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2.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3.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Sarah\Sarah_USU\Specialization\Model_development\Urban_economic_loss_functions\"/>
    </mc:Choice>
  </mc:AlternateContent>
  <bookViews>
    <workbookView xWindow="0" yWindow="105" windowWidth="11415" windowHeight="14385"/>
  </bookViews>
  <sheets>
    <sheet name="Res price per af figs" sheetId="17" r:id="rId1"/>
    <sheet name="Urban Economic Loss Functions" sheetId="19" r:id="rId2"/>
    <sheet name="Data" sheetId="1" r:id="rId3"/>
    <sheet name="Logan" sheetId="10" r:id="rId4"/>
    <sheet name="Ogden" sheetId="11" r:id="rId5"/>
    <sheet name="SLC" sheetId="12" r:id="rId6"/>
    <sheet name="Provo" sheetId="13" r:id="rId7"/>
    <sheet name="2010 Population" sheetId="2" r:id="rId8"/>
    <sheet name="2010 Water Rates" sheetId="5" r:id="rId9"/>
    <sheet name="2010 Water Use" sheetId="6" r:id="rId10"/>
  </sheets>
  <calcPr calcId="162913"/>
</workbook>
</file>

<file path=xl/calcChain.xml><?xml version="1.0" encoding="utf-8"?>
<calcChain xmlns="http://schemas.openxmlformats.org/spreadsheetml/2006/main">
  <c r="E51" i="12" l="1"/>
  <c r="F15" i="1" l="1"/>
  <c r="C31" i="1" l="1"/>
  <c r="C30" i="1"/>
  <c r="C29" i="1"/>
  <c r="B12" i="1"/>
  <c r="H5" i="2"/>
  <c r="G5" i="2"/>
  <c r="C5" i="2"/>
  <c r="C15" i="6"/>
  <c r="A31" i="13" l="1"/>
  <c r="A30" i="13" s="1"/>
  <c r="A29" i="13" s="1"/>
  <c r="A28" i="13" s="1"/>
  <c r="A27" i="13" s="1"/>
  <c r="A26" i="13" s="1"/>
  <c r="A25" i="13" s="1"/>
  <c r="A24" i="13" s="1"/>
  <c r="A23" i="13" s="1"/>
  <c r="A22" i="13" s="1"/>
  <c r="A21" i="13" s="1"/>
  <c r="A20" i="13" s="1"/>
  <c r="A19" i="13" s="1"/>
  <c r="A18" i="13" s="1"/>
  <c r="A17" i="13" s="1"/>
  <c r="A16" i="13" s="1"/>
  <c r="A15" i="13" s="1"/>
  <c r="A14" i="13" s="1"/>
  <c r="A13" i="13" s="1"/>
  <c r="A12" i="13" s="1"/>
  <c r="A30" i="12"/>
  <c r="A29" i="12" s="1"/>
  <c r="A28" i="12" s="1"/>
  <c r="A27" i="12" s="1"/>
  <c r="A26" i="12" s="1"/>
  <c r="A25" i="12" s="1"/>
  <c r="A24" i="12" s="1"/>
  <c r="A23" i="12" s="1"/>
  <c r="A22" i="12" s="1"/>
  <c r="A21" i="12" s="1"/>
  <c r="A20" i="12" s="1"/>
  <c r="A19" i="12" s="1"/>
  <c r="A18" i="12" s="1"/>
  <c r="A17" i="12" s="1"/>
  <c r="A16" i="12" s="1"/>
  <c r="A15" i="12" s="1"/>
  <c r="A14" i="12" s="1"/>
  <c r="A13" i="12" s="1"/>
  <c r="A12" i="12" s="1"/>
  <c r="A11" i="12" s="1"/>
  <c r="A31" i="11"/>
  <c r="A30" i="11" s="1"/>
  <c r="A29" i="11" s="1"/>
  <c r="A28" i="11" s="1"/>
  <c r="A27" i="11" s="1"/>
  <c r="A26" i="11" s="1"/>
  <c r="A25" i="11" s="1"/>
  <c r="A24" i="11" s="1"/>
  <c r="A23" i="11" s="1"/>
  <c r="A22" i="11" s="1"/>
  <c r="A21" i="11" s="1"/>
  <c r="A20" i="11" s="1"/>
  <c r="A19" i="11" s="1"/>
  <c r="A18" i="11" s="1"/>
  <c r="A17" i="11" s="1"/>
  <c r="A16" i="11" s="1"/>
  <c r="A15" i="11" s="1"/>
  <c r="A14" i="11" s="1"/>
  <c r="A13" i="11" s="1"/>
  <c r="A12" i="11" s="1"/>
  <c r="A29" i="10"/>
  <c r="A28" i="10" s="1"/>
  <c r="A27" i="10" s="1"/>
  <c r="A26" i="10" s="1"/>
  <c r="A25" i="10" s="1"/>
  <c r="A24" i="10" s="1"/>
  <c r="A23" i="10" s="1"/>
  <c r="A22" i="10" s="1"/>
  <c r="A21" i="10" s="1"/>
  <c r="A20" i="10" s="1"/>
  <c r="A19" i="10" s="1"/>
  <c r="A18" i="10" s="1"/>
  <c r="A17" i="10" s="1"/>
  <c r="A16" i="10" s="1"/>
  <c r="A15" i="10" s="1"/>
  <c r="A14" i="10" s="1"/>
  <c r="A13" i="10" s="1"/>
  <c r="A12" i="10" s="1"/>
  <c r="D10" i="13" l="1"/>
  <c r="C10" i="13"/>
  <c r="B10" i="13"/>
  <c r="D10" i="12"/>
  <c r="C10" i="12"/>
  <c r="B10" i="12"/>
  <c r="D10" i="11"/>
  <c r="C10" i="11"/>
  <c r="B10" i="11"/>
  <c r="D10" i="10"/>
  <c r="C10" i="10"/>
  <c r="B10" i="10"/>
  <c r="B14" i="1" l="1"/>
  <c r="C14" i="1" s="1"/>
  <c r="C12" i="1"/>
  <c r="B13" i="1"/>
  <c r="C13" i="1" s="1"/>
  <c r="O98" i="2"/>
  <c r="N98" i="2"/>
  <c r="M98" i="2"/>
  <c r="L98" i="2"/>
  <c r="O96" i="2"/>
  <c r="N96" i="2"/>
  <c r="M96" i="2"/>
  <c r="L96" i="2"/>
  <c r="O95" i="2"/>
  <c r="N95" i="2"/>
  <c r="M95" i="2"/>
  <c r="L95" i="2"/>
  <c r="O94" i="2"/>
  <c r="N94" i="2"/>
  <c r="M94" i="2"/>
  <c r="L94" i="2"/>
  <c r="O93" i="2"/>
  <c r="N93" i="2"/>
  <c r="M93" i="2"/>
  <c r="L93" i="2"/>
  <c r="O92" i="2"/>
  <c r="N92" i="2"/>
  <c r="M92" i="2"/>
  <c r="L92" i="2"/>
  <c r="O91" i="2"/>
  <c r="N91" i="2"/>
  <c r="M91" i="2"/>
  <c r="L91" i="2"/>
  <c r="O90" i="2"/>
  <c r="N90" i="2"/>
  <c r="M90" i="2"/>
  <c r="L90" i="2"/>
  <c r="O89" i="2"/>
  <c r="N89" i="2"/>
  <c r="M89" i="2"/>
  <c r="L89" i="2"/>
  <c r="O87" i="2"/>
  <c r="N87" i="2"/>
  <c r="M87" i="2"/>
  <c r="L87" i="2"/>
  <c r="O86" i="2"/>
  <c r="N86" i="2"/>
  <c r="M86" i="2"/>
  <c r="L86" i="2"/>
  <c r="O85" i="2"/>
  <c r="N85" i="2"/>
  <c r="M85" i="2"/>
  <c r="L85" i="2"/>
  <c r="O84" i="2"/>
  <c r="N84" i="2"/>
  <c r="M84" i="2"/>
  <c r="L84" i="2"/>
  <c r="O83" i="2"/>
  <c r="N83" i="2"/>
  <c r="M83" i="2"/>
  <c r="L83" i="2"/>
  <c r="O82" i="2"/>
  <c r="N82" i="2"/>
  <c r="M82" i="2"/>
  <c r="L82" i="2"/>
  <c r="O81" i="2"/>
  <c r="N81" i="2"/>
  <c r="M81" i="2"/>
  <c r="L81" i="2"/>
  <c r="O80" i="2"/>
  <c r="N80" i="2"/>
  <c r="M80" i="2"/>
  <c r="L80" i="2"/>
  <c r="O79" i="2"/>
  <c r="N79" i="2"/>
  <c r="M79" i="2"/>
  <c r="L79" i="2"/>
  <c r="O78" i="2"/>
  <c r="N78" i="2"/>
  <c r="M78" i="2"/>
  <c r="L78" i="2"/>
  <c r="O74" i="2"/>
  <c r="N74" i="2"/>
  <c r="M74" i="2"/>
  <c r="L74" i="2"/>
  <c r="O73" i="2"/>
  <c r="N73" i="2"/>
  <c r="M73" i="2"/>
  <c r="L73" i="2"/>
  <c r="O72" i="2"/>
  <c r="N72" i="2"/>
  <c r="M72" i="2"/>
  <c r="L72" i="2"/>
  <c r="O71" i="2"/>
  <c r="N71" i="2"/>
  <c r="M71" i="2"/>
  <c r="L71" i="2"/>
  <c r="O70" i="2"/>
  <c r="N70" i="2"/>
  <c r="M70" i="2"/>
  <c r="L70" i="2"/>
  <c r="O69" i="2"/>
  <c r="N69" i="2"/>
  <c r="M69" i="2"/>
  <c r="L69" i="2"/>
  <c r="O68" i="2"/>
  <c r="N68" i="2"/>
  <c r="M68" i="2"/>
  <c r="L68" i="2"/>
  <c r="O67" i="2"/>
  <c r="N67" i="2"/>
  <c r="M67" i="2"/>
  <c r="L67" i="2"/>
  <c r="O66" i="2"/>
  <c r="N66" i="2"/>
  <c r="M66" i="2"/>
  <c r="L66" i="2"/>
  <c r="O65" i="2"/>
  <c r="N65" i="2"/>
  <c r="M65" i="2"/>
  <c r="L65" i="2"/>
  <c r="O63" i="2"/>
  <c r="N63" i="2"/>
  <c r="M63" i="2"/>
  <c r="L63" i="2"/>
  <c r="O62" i="2"/>
  <c r="N62" i="2"/>
  <c r="M62" i="2"/>
  <c r="L62" i="2"/>
  <c r="O61" i="2"/>
  <c r="N61" i="2"/>
  <c r="M61" i="2"/>
  <c r="L61" i="2"/>
  <c r="O60" i="2"/>
  <c r="N60" i="2"/>
  <c r="M60" i="2"/>
  <c r="L60" i="2"/>
  <c r="O59" i="2"/>
  <c r="N59" i="2"/>
  <c r="M59" i="2"/>
  <c r="L59" i="2"/>
  <c r="O55" i="2"/>
  <c r="N55" i="2"/>
  <c r="M55" i="2"/>
  <c r="L55" i="2"/>
  <c r="O51" i="2"/>
  <c r="N51" i="2"/>
  <c r="M51" i="2"/>
  <c r="L51" i="2"/>
  <c r="O50" i="2"/>
  <c r="N50" i="2"/>
  <c r="M50" i="2"/>
  <c r="L50" i="2"/>
  <c r="O49" i="2"/>
  <c r="N49" i="2"/>
  <c r="M49" i="2"/>
  <c r="L49" i="2"/>
  <c r="O47" i="2"/>
  <c r="N47" i="2"/>
  <c r="M47" i="2"/>
  <c r="L47" i="2"/>
  <c r="O46" i="2"/>
  <c r="N46" i="2"/>
  <c r="M46" i="2"/>
  <c r="L46" i="2"/>
  <c r="O45" i="2"/>
  <c r="N45" i="2"/>
  <c r="M45" i="2"/>
  <c r="L45" i="2"/>
  <c r="O44" i="2"/>
  <c r="N44" i="2"/>
  <c r="M44" i="2"/>
  <c r="L44" i="2"/>
  <c r="O43" i="2"/>
  <c r="N43" i="2"/>
  <c r="M43" i="2"/>
  <c r="L43" i="2"/>
  <c r="O42" i="2"/>
  <c r="N42" i="2"/>
  <c r="M42" i="2"/>
  <c r="L42" i="2"/>
  <c r="O41" i="2"/>
  <c r="N41" i="2"/>
  <c r="M41" i="2"/>
  <c r="L41" i="2"/>
  <c r="O40" i="2"/>
  <c r="N40" i="2"/>
  <c r="M40" i="2"/>
  <c r="L40" i="2"/>
  <c r="O39" i="2"/>
  <c r="N39" i="2"/>
  <c r="M39" i="2"/>
  <c r="L39" i="2"/>
  <c r="O38" i="2"/>
  <c r="N38" i="2"/>
  <c r="M38" i="2"/>
  <c r="L38" i="2"/>
  <c r="O37" i="2"/>
  <c r="N37" i="2"/>
  <c r="M37" i="2"/>
  <c r="L37" i="2"/>
  <c r="O35" i="2"/>
  <c r="N35" i="2"/>
  <c r="M35" i="2"/>
  <c r="L35" i="2"/>
  <c r="O34" i="2"/>
  <c r="N34" i="2"/>
  <c r="M34" i="2"/>
  <c r="L34" i="2"/>
  <c r="O33" i="2"/>
  <c r="N33" i="2"/>
  <c r="M33" i="2"/>
  <c r="L33" i="2"/>
  <c r="O32" i="2"/>
  <c r="N32" i="2"/>
  <c r="M32" i="2"/>
  <c r="L32" i="2"/>
  <c r="O30" i="2"/>
  <c r="N30" i="2"/>
  <c r="M30" i="2"/>
  <c r="L30" i="2"/>
  <c r="O29" i="2"/>
  <c r="N29" i="2"/>
  <c r="M29" i="2"/>
  <c r="L29" i="2"/>
  <c r="O28" i="2"/>
  <c r="N28" i="2"/>
  <c r="M28" i="2"/>
  <c r="L28" i="2"/>
  <c r="O26" i="2"/>
  <c r="N26" i="2"/>
  <c r="M26" i="2"/>
  <c r="L26" i="2"/>
  <c r="O24" i="2"/>
  <c r="N24" i="2"/>
  <c r="M24" i="2"/>
  <c r="L24" i="2"/>
  <c r="O23" i="2"/>
  <c r="N23" i="2"/>
  <c r="M23" i="2"/>
  <c r="L23" i="2"/>
  <c r="O22" i="2"/>
  <c r="N22" i="2"/>
  <c r="M22" i="2"/>
  <c r="L22" i="2"/>
  <c r="O21" i="2"/>
  <c r="N21" i="2"/>
  <c r="M21" i="2"/>
  <c r="L21" i="2"/>
  <c r="O20" i="2"/>
  <c r="N20" i="2"/>
  <c r="M20" i="2"/>
  <c r="L20" i="2"/>
  <c r="O19" i="2"/>
  <c r="N19" i="2"/>
  <c r="M19" i="2"/>
  <c r="L19" i="2"/>
  <c r="O15" i="2"/>
  <c r="N15" i="2"/>
  <c r="M15" i="2"/>
  <c r="L15" i="2"/>
  <c r="O14" i="2"/>
  <c r="N14" i="2"/>
  <c r="M14" i="2"/>
  <c r="L14" i="2"/>
  <c r="O13" i="2"/>
  <c r="N13" i="2"/>
  <c r="M13" i="2"/>
  <c r="L13" i="2"/>
  <c r="O12" i="2"/>
  <c r="N12" i="2"/>
  <c r="M12" i="2"/>
  <c r="L12" i="2"/>
  <c r="O11" i="2"/>
  <c r="N11" i="2"/>
  <c r="M11" i="2"/>
  <c r="L11" i="2"/>
  <c r="O10" i="2"/>
  <c r="N10" i="2"/>
  <c r="M10" i="2"/>
  <c r="L10" i="2"/>
  <c r="O9" i="2"/>
  <c r="N9" i="2"/>
  <c r="M9" i="2"/>
  <c r="L9" i="2"/>
  <c r="O8" i="2"/>
  <c r="N8" i="2"/>
  <c r="M8" i="2"/>
  <c r="L8" i="2"/>
  <c r="O7" i="2"/>
  <c r="N7" i="2"/>
  <c r="M7" i="2"/>
  <c r="L7" i="2"/>
  <c r="O6" i="2"/>
  <c r="N6" i="2"/>
  <c r="M6" i="2"/>
  <c r="L6" i="2"/>
  <c r="F15" i="6"/>
  <c r="M57" i="2" s="1"/>
  <c r="H15" i="6"/>
  <c r="O57" i="2" s="1"/>
  <c r="G15" i="6"/>
  <c r="N57" i="2" s="1"/>
  <c r="E15" i="6"/>
  <c r="L57" i="2" s="1"/>
  <c r="D15" i="6"/>
  <c r="K98" i="2"/>
  <c r="K96" i="2"/>
  <c r="K95" i="2"/>
  <c r="K94" i="2"/>
  <c r="K93" i="2"/>
  <c r="K92" i="2"/>
  <c r="K91" i="2"/>
  <c r="K90" i="2"/>
  <c r="K89" i="2"/>
  <c r="K87" i="2"/>
  <c r="K86" i="2"/>
  <c r="K85" i="2"/>
  <c r="K84" i="2"/>
  <c r="K83" i="2"/>
  <c r="K82" i="2"/>
  <c r="K81" i="2"/>
  <c r="K80" i="2"/>
  <c r="K79" i="2"/>
  <c r="K78" i="2"/>
  <c r="K74" i="2"/>
  <c r="K73" i="2"/>
  <c r="K72" i="2"/>
  <c r="K71" i="2"/>
  <c r="K70" i="2"/>
  <c r="K69" i="2"/>
  <c r="K68" i="2"/>
  <c r="K67" i="2"/>
  <c r="K66" i="2"/>
  <c r="K65" i="2"/>
  <c r="K63" i="2"/>
  <c r="K62" i="2"/>
  <c r="K61" i="2"/>
  <c r="K60" i="2"/>
  <c r="K59" i="2"/>
  <c r="K57" i="2"/>
  <c r="K55" i="2"/>
  <c r="K51" i="2"/>
  <c r="K50" i="2"/>
  <c r="K49" i="2"/>
  <c r="K47" i="2"/>
  <c r="K46" i="2"/>
  <c r="K45" i="2"/>
  <c r="K44" i="2"/>
  <c r="K43" i="2"/>
  <c r="K42" i="2"/>
  <c r="K41" i="2"/>
  <c r="K40" i="2"/>
  <c r="K39" i="2"/>
  <c r="K38" i="2"/>
  <c r="K37" i="2"/>
  <c r="K35" i="2"/>
  <c r="K34" i="2"/>
  <c r="K33" i="2"/>
  <c r="K32" i="2"/>
  <c r="K30" i="2"/>
  <c r="K29" i="2"/>
  <c r="K28" i="2"/>
  <c r="K26" i="2"/>
  <c r="K24" i="2"/>
  <c r="K23" i="2"/>
  <c r="K22" i="2"/>
  <c r="K21" i="2"/>
  <c r="K20" i="2"/>
  <c r="K19" i="2"/>
  <c r="K15" i="2"/>
  <c r="K14" i="2"/>
  <c r="K13" i="2"/>
  <c r="K12" i="2"/>
  <c r="K11" i="2"/>
  <c r="K10" i="2"/>
  <c r="K9" i="2"/>
  <c r="K8" i="2"/>
  <c r="K7" i="2"/>
  <c r="K6" i="2"/>
  <c r="C93" i="6"/>
  <c r="E93" i="6" s="1"/>
  <c r="B93" i="6"/>
  <c r="D13" i="1" l="1"/>
  <c r="E13" i="1" s="1"/>
  <c r="D12" i="1"/>
  <c r="E12" i="1" s="1"/>
  <c r="D14" i="1"/>
  <c r="E14" i="1" s="1"/>
  <c r="K18" i="2"/>
  <c r="J18" i="2" s="1"/>
  <c r="K5" i="2"/>
  <c r="J5" i="2" s="1"/>
  <c r="J6" i="2" s="1"/>
  <c r="J51" i="2" l="1"/>
  <c r="J50" i="2"/>
  <c r="J49" i="2"/>
  <c r="J47" i="2"/>
  <c r="J46" i="2"/>
  <c r="J45" i="2"/>
  <c r="J44" i="2"/>
  <c r="J43" i="2"/>
  <c r="J41" i="2"/>
  <c r="J40" i="2"/>
  <c r="J39" i="2"/>
  <c r="J38" i="2"/>
  <c r="J37" i="2"/>
  <c r="J35" i="2"/>
  <c r="J34" i="2"/>
  <c r="J33" i="2"/>
  <c r="J32" i="2"/>
  <c r="J30" i="2"/>
  <c r="J29" i="2"/>
  <c r="J28" i="2"/>
  <c r="J26" i="2"/>
  <c r="J24" i="2"/>
  <c r="J23" i="2"/>
  <c r="J22" i="2"/>
  <c r="J21" i="2"/>
  <c r="J20" i="2"/>
  <c r="J19" i="2"/>
  <c r="K77" i="2"/>
  <c r="K54" i="2"/>
  <c r="J54" i="2" s="1"/>
  <c r="J74" i="2" s="1"/>
  <c r="I98" i="2"/>
  <c r="I96" i="2"/>
  <c r="I95" i="2"/>
  <c r="I94" i="2"/>
  <c r="I93" i="2"/>
  <c r="I92" i="2"/>
  <c r="I91" i="2"/>
  <c r="I90" i="2"/>
  <c r="I89" i="2"/>
  <c r="I87" i="2"/>
  <c r="I86" i="2"/>
  <c r="I85" i="2"/>
  <c r="I84" i="2"/>
  <c r="I83" i="2"/>
  <c r="I82" i="2"/>
  <c r="I81" i="2"/>
  <c r="I80" i="2"/>
  <c r="I79" i="2"/>
  <c r="I78" i="2"/>
  <c r="I74" i="2"/>
  <c r="I73" i="2"/>
  <c r="I72" i="2"/>
  <c r="I71" i="2"/>
  <c r="I70" i="2"/>
  <c r="I69" i="2"/>
  <c r="I68" i="2"/>
  <c r="I67" i="2"/>
  <c r="I66" i="2"/>
  <c r="I65" i="2"/>
  <c r="I63" i="2"/>
  <c r="I62" i="2"/>
  <c r="I61" i="2"/>
  <c r="I60" i="2"/>
  <c r="I59" i="2"/>
  <c r="I57" i="2"/>
  <c r="I55" i="2"/>
  <c r="I51" i="2"/>
  <c r="I50" i="2"/>
  <c r="I49" i="2"/>
  <c r="I47" i="2"/>
  <c r="I46" i="2"/>
  <c r="I45" i="2"/>
  <c r="I44" i="2"/>
  <c r="I43" i="2"/>
  <c r="I41" i="2"/>
  <c r="I40" i="2"/>
  <c r="I39" i="2"/>
  <c r="I38" i="2"/>
  <c r="I37" i="2"/>
  <c r="I35" i="2"/>
  <c r="I34" i="2"/>
  <c r="I33" i="2"/>
  <c r="I32" i="2"/>
  <c r="I30" i="2"/>
  <c r="I29" i="2"/>
  <c r="I28" i="2"/>
  <c r="I26" i="2"/>
  <c r="I24" i="2"/>
  <c r="I23" i="2"/>
  <c r="I22" i="2"/>
  <c r="I21" i="2"/>
  <c r="I20" i="2"/>
  <c r="I19" i="2"/>
  <c r="I15" i="2"/>
  <c r="I14" i="2"/>
  <c r="I13" i="2"/>
  <c r="I12" i="2"/>
  <c r="I11" i="2"/>
  <c r="I10" i="2"/>
  <c r="I9" i="2"/>
  <c r="I8" i="2"/>
  <c r="I7" i="2"/>
  <c r="I6" i="2"/>
  <c r="E54" i="2"/>
  <c r="E18" i="2"/>
  <c r="G94" i="2"/>
  <c r="G90" i="2"/>
  <c r="G81" i="2"/>
  <c r="G80" i="2"/>
  <c r="G77" i="2"/>
  <c r="G91" i="2" s="1"/>
  <c r="G71" i="2"/>
  <c r="G69" i="2"/>
  <c r="G63" i="2"/>
  <c r="G60" i="2"/>
  <c r="G57" i="2"/>
  <c r="G54" i="2"/>
  <c r="G68" i="2" s="1"/>
  <c r="G50" i="2"/>
  <c r="G46" i="2"/>
  <c r="G40" i="2"/>
  <c r="G37" i="2"/>
  <c r="G30" i="2"/>
  <c r="G29" i="2"/>
  <c r="G23" i="2"/>
  <c r="G19" i="2"/>
  <c r="G6" i="2"/>
  <c r="G18" i="2"/>
  <c r="G49" i="2" s="1"/>
  <c r="G15" i="2"/>
  <c r="G14" i="2"/>
  <c r="G13" i="2"/>
  <c r="G12" i="2"/>
  <c r="G11" i="2"/>
  <c r="G9" i="2"/>
  <c r="G8" i="2"/>
  <c r="H74" i="2"/>
  <c r="H40" i="2"/>
  <c r="H35" i="2"/>
  <c r="H24" i="2"/>
  <c r="H8" i="2"/>
  <c r="H12" i="2"/>
  <c r="H13" i="2"/>
  <c r="F72" i="5"/>
  <c r="F60" i="5"/>
  <c r="F42" i="5"/>
  <c r="F33" i="5"/>
  <c r="F32" i="5"/>
  <c r="F8" i="5"/>
  <c r="H19" i="2" s="1"/>
  <c r="F9" i="5"/>
  <c r="F10" i="5"/>
  <c r="H80" i="2" s="1"/>
  <c r="F12" i="5"/>
  <c r="F13" i="5"/>
  <c r="H23" i="2" s="1"/>
  <c r="F14" i="5"/>
  <c r="F16" i="5"/>
  <c r="H81" i="2" s="1"/>
  <c r="F17" i="5"/>
  <c r="H82" i="2" s="1"/>
  <c r="F18" i="5"/>
  <c r="F20" i="5"/>
  <c r="H26" i="2" s="1"/>
  <c r="F21" i="5"/>
  <c r="F22" i="5"/>
  <c r="F24" i="5"/>
  <c r="H83" i="2" s="1"/>
  <c r="F25" i="5"/>
  <c r="H60" i="2" s="1"/>
  <c r="F26" i="5"/>
  <c r="H28" i="2" s="1"/>
  <c r="F28" i="5"/>
  <c r="F29" i="5"/>
  <c r="H29" i="2" s="1"/>
  <c r="F30" i="5"/>
  <c r="H61" i="2" s="1"/>
  <c r="F34" i="5"/>
  <c r="F35" i="5"/>
  <c r="H62" i="2" s="1"/>
  <c r="F36" i="5"/>
  <c r="F38" i="5"/>
  <c r="H63" i="2" s="1"/>
  <c r="F39" i="5"/>
  <c r="F40" i="5"/>
  <c r="H9" i="2" s="1"/>
  <c r="F43" i="5"/>
  <c r="H11" i="2" s="1"/>
  <c r="F44" i="5"/>
  <c r="H32" i="2" s="1"/>
  <c r="F45" i="5"/>
  <c r="H33" i="2" s="1"/>
  <c r="F48" i="5"/>
  <c r="F49" i="5"/>
  <c r="H89" i="2" s="1"/>
  <c r="F50" i="5"/>
  <c r="F52" i="5"/>
  <c r="H90" i="2" s="1"/>
  <c r="F53" i="5"/>
  <c r="H37" i="2" s="1"/>
  <c r="F54" i="5"/>
  <c r="F56" i="5"/>
  <c r="F57" i="5"/>
  <c r="H38" i="2" s="1"/>
  <c r="F58" i="5"/>
  <c r="F62" i="5"/>
  <c r="H68" i="2" s="1"/>
  <c r="F63" i="5"/>
  <c r="F64" i="5"/>
  <c r="H14" i="2" s="1"/>
  <c r="F66" i="5"/>
  <c r="F67" i="5"/>
  <c r="F68" i="5"/>
  <c r="F70" i="5"/>
  <c r="H94" i="2" s="1"/>
  <c r="F71" i="5"/>
  <c r="H95" i="2" s="1"/>
  <c r="F73" i="5"/>
  <c r="H43" i="2" s="1"/>
  <c r="F75" i="5"/>
  <c r="H71" i="2" s="1"/>
  <c r="F76" i="5"/>
  <c r="H45" i="2" s="1"/>
  <c r="F77" i="5"/>
  <c r="F79" i="5"/>
  <c r="H15" i="2" s="1"/>
  <c r="F80" i="5"/>
  <c r="H47" i="2" s="1"/>
  <c r="F81" i="5"/>
  <c r="F83" i="5"/>
  <c r="H49" i="2" s="1"/>
  <c r="F84" i="5"/>
  <c r="F85" i="5"/>
  <c r="F87" i="5"/>
  <c r="F88" i="5"/>
  <c r="H51" i="2" s="1"/>
  <c r="F6" i="5"/>
  <c r="H79" i="2" s="1"/>
  <c r="B96" i="5"/>
  <c r="F47" i="5" s="1"/>
  <c r="C93" i="5"/>
  <c r="I18" i="2" l="1"/>
  <c r="L18" i="2"/>
  <c r="N18" i="2"/>
  <c r="O18" i="2"/>
  <c r="M18" i="2"/>
  <c r="J67" i="2"/>
  <c r="J62" i="2"/>
  <c r="J71" i="2"/>
  <c r="J57" i="2"/>
  <c r="J59" i="2"/>
  <c r="J63" i="2"/>
  <c r="J68" i="2"/>
  <c r="J72" i="2"/>
  <c r="G24" i="2"/>
  <c r="G32" i="2"/>
  <c r="G42" i="2"/>
  <c r="G51" i="2"/>
  <c r="G83" i="2"/>
  <c r="G95" i="2"/>
  <c r="J60" i="2"/>
  <c r="J65" i="2"/>
  <c r="J69" i="2"/>
  <c r="J73" i="2"/>
  <c r="G26" i="2"/>
  <c r="G35" i="2"/>
  <c r="G45" i="2"/>
  <c r="G65" i="2"/>
  <c r="G79" i="2"/>
  <c r="G89" i="2"/>
  <c r="J77" i="2"/>
  <c r="K99" i="2"/>
  <c r="J55" i="2"/>
  <c r="I54" i="2" s="1"/>
  <c r="J61" i="2"/>
  <c r="J66" i="2"/>
  <c r="J70" i="2"/>
  <c r="C5" i="1"/>
  <c r="F86" i="5"/>
  <c r="H50" i="2" s="1"/>
  <c r="F82" i="5"/>
  <c r="F78" i="5"/>
  <c r="H46" i="2" s="1"/>
  <c r="F74" i="5"/>
  <c r="H44" i="2" s="1"/>
  <c r="F69" i="5"/>
  <c r="H42" i="2" s="1"/>
  <c r="F65" i="5"/>
  <c r="H69" i="2" s="1"/>
  <c r="F59" i="5"/>
  <c r="H39" i="2" s="1"/>
  <c r="F55" i="5"/>
  <c r="H91" i="2" s="1"/>
  <c r="F51" i="5"/>
  <c r="F46" i="5"/>
  <c r="H34" i="2" s="1"/>
  <c r="F41" i="5"/>
  <c r="H65" i="2" s="1"/>
  <c r="F37" i="5"/>
  <c r="F31" i="5"/>
  <c r="H30" i="2" s="1"/>
  <c r="F27" i="5"/>
  <c r="H6" i="2" s="1"/>
  <c r="F23" i="5"/>
  <c r="F19" i="5"/>
  <c r="F15" i="5"/>
  <c r="H57" i="2" s="1"/>
  <c r="F11" i="5"/>
  <c r="H21" i="2" s="1"/>
  <c r="F7" i="5"/>
  <c r="H55" i="2" s="1"/>
  <c r="G21" i="2"/>
  <c r="G28" i="2"/>
  <c r="G33" i="2"/>
  <c r="G38" i="2"/>
  <c r="G43" i="2"/>
  <c r="G47" i="2"/>
  <c r="G61" i="2"/>
  <c r="G67" i="2"/>
  <c r="G74" i="2"/>
  <c r="G34" i="2"/>
  <c r="G39" i="2"/>
  <c r="G44" i="2"/>
  <c r="G55" i="2"/>
  <c r="G62" i="2"/>
  <c r="G82" i="2"/>
  <c r="B3" i="1"/>
  <c r="B4" i="1"/>
  <c r="E77" i="2"/>
  <c r="D77" i="2"/>
  <c r="C77" i="2"/>
  <c r="G99" i="2" s="1"/>
  <c r="D54" i="2"/>
  <c r="C54" i="2"/>
  <c r="K75" i="2" s="1"/>
  <c r="D18" i="2"/>
  <c r="C18" i="2"/>
  <c r="K52" i="2" s="1"/>
  <c r="F5" i="2"/>
  <c r="E5" i="2"/>
  <c r="D5" i="2"/>
  <c r="L54" i="2" l="1"/>
  <c r="N54" i="2"/>
  <c r="O54" i="2"/>
  <c r="M54" i="2"/>
  <c r="C10" i="1"/>
  <c r="C9" i="1" s="1"/>
  <c r="D5" i="1"/>
  <c r="H77" i="2"/>
  <c r="E3" i="1" s="1"/>
  <c r="H18" i="2"/>
  <c r="C3" i="1" s="1"/>
  <c r="J94" i="2"/>
  <c r="J90" i="2"/>
  <c r="J85" i="2"/>
  <c r="J81" i="2"/>
  <c r="J98" i="2"/>
  <c r="J93" i="2"/>
  <c r="J89" i="2"/>
  <c r="J84" i="2"/>
  <c r="J80" i="2"/>
  <c r="J91" i="2"/>
  <c r="J82" i="2"/>
  <c r="J96" i="2"/>
  <c r="J92" i="2"/>
  <c r="J87" i="2"/>
  <c r="J83" i="2"/>
  <c r="J79" i="2"/>
  <c r="J95" i="2"/>
  <c r="J86" i="2"/>
  <c r="J78" i="2"/>
  <c r="H54" i="2"/>
  <c r="D3" i="1" s="1"/>
  <c r="K16" i="2"/>
  <c r="G16" i="2"/>
  <c r="E4" i="1"/>
  <c r="D4" i="1"/>
  <c r="G75" i="2"/>
  <c r="G52" i="2"/>
  <c r="F18" i="2"/>
  <c r="C4" i="1"/>
  <c r="C2" i="2"/>
  <c r="E2" i="2" s="1"/>
  <c r="F77" i="2"/>
  <c r="F54" i="2"/>
  <c r="D10" i="1" l="1"/>
  <c r="D9" i="1" s="1"/>
  <c r="L77" i="2"/>
  <c r="N77" i="2"/>
  <c r="O77" i="2"/>
  <c r="M77" i="2"/>
  <c r="E10" i="1" s="1"/>
  <c r="E9" i="1" s="1"/>
  <c r="I77" i="2"/>
  <c r="E5" i="1"/>
  <c r="E6" i="1" s="1"/>
  <c r="E7" i="1" s="1"/>
  <c r="B54" i="13" s="1"/>
  <c r="D6" i="1"/>
  <c r="D7" i="1" s="1"/>
  <c r="B53" i="12" s="1"/>
  <c r="C6" i="1"/>
  <c r="C7" i="1" s="1"/>
  <c r="B54" i="11" s="1"/>
  <c r="B4" i="12" l="1"/>
  <c r="B3" i="12"/>
  <c r="B2" i="12"/>
  <c r="B2" i="13"/>
  <c r="B3" i="13"/>
  <c r="B4" i="13"/>
  <c r="B4" i="11"/>
  <c r="B2" i="11"/>
  <c r="B32" i="11" s="1"/>
  <c r="B57" i="11" s="1"/>
  <c r="B3" i="11"/>
  <c r="J9" i="2"/>
  <c r="J11" i="2"/>
  <c r="J8" i="2"/>
  <c r="J7" i="2"/>
  <c r="J14" i="2"/>
  <c r="J15" i="2"/>
  <c r="J12" i="2"/>
  <c r="J10" i="2"/>
  <c r="J13" i="2"/>
  <c r="O5" i="2" l="1"/>
  <c r="L5" i="2"/>
  <c r="N5" i="2"/>
  <c r="M5" i="2"/>
  <c r="I5" i="2"/>
  <c r="B5" i="1" s="1"/>
  <c r="D32" i="13"/>
  <c r="D57" i="13" s="1"/>
  <c r="B8" i="13"/>
  <c r="C31" i="12"/>
  <c r="C56" i="12" s="1"/>
  <c r="B7" i="12"/>
  <c r="D32" i="11"/>
  <c r="D57" i="11" s="1"/>
  <c r="B8" i="11"/>
  <c r="C32" i="13"/>
  <c r="C57" i="13" s="1"/>
  <c r="B7" i="13"/>
  <c r="B32" i="13"/>
  <c r="B57" i="13" s="1"/>
  <c r="B6" i="13"/>
  <c r="B6" i="11"/>
  <c r="C32" i="11"/>
  <c r="C57" i="11" s="1"/>
  <c r="B7" i="11"/>
  <c r="B31" i="12"/>
  <c r="B56" i="12" s="1"/>
  <c r="B6" i="12"/>
  <c r="D31" i="12"/>
  <c r="D56" i="12" s="1"/>
  <c r="B8" i="12"/>
  <c r="B10" i="1" l="1"/>
  <c r="B9" i="1" s="1"/>
  <c r="B30" i="13"/>
  <c r="F30" i="13" s="1"/>
  <c r="B26" i="13"/>
  <c r="F26" i="13" s="1"/>
  <c r="B22" i="13"/>
  <c r="F22" i="13" s="1"/>
  <c r="B18" i="13"/>
  <c r="F18" i="13" s="1"/>
  <c r="B14" i="13"/>
  <c r="F14" i="13" s="1"/>
  <c r="B23" i="13"/>
  <c r="F23" i="13" s="1"/>
  <c r="B19" i="13"/>
  <c r="F19" i="13" s="1"/>
  <c r="B15" i="13"/>
  <c r="F15" i="13" s="1"/>
  <c r="B31" i="13"/>
  <c r="F31" i="13" s="1"/>
  <c r="B29" i="13"/>
  <c r="B25" i="13"/>
  <c r="B13" i="13"/>
  <c r="B28" i="13"/>
  <c r="F28" i="13" s="1"/>
  <c r="B24" i="13"/>
  <c r="F24" i="13" s="1"/>
  <c r="B20" i="13"/>
  <c r="F20" i="13" s="1"/>
  <c r="B16" i="13"/>
  <c r="F16" i="13" s="1"/>
  <c r="B12" i="13"/>
  <c r="F12" i="13" s="1"/>
  <c r="B27" i="13"/>
  <c r="F27" i="13" s="1"/>
  <c r="B21" i="13"/>
  <c r="B17" i="13"/>
  <c r="C28" i="13"/>
  <c r="C24" i="13"/>
  <c r="C20" i="13"/>
  <c r="C16" i="13"/>
  <c r="C12" i="13"/>
  <c r="C25" i="13"/>
  <c r="G25" i="13" s="1"/>
  <c r="C26" i="13"/>
  <c r="G26" i="13" s="1"/>
  <c r="C22" i="13"/>
  <c r="G22" i="13" s="1"/>
  <c r="C14" i="13"/>
  <c r="G14" i="13" s="1"/>
  <c r="C27" i="13"/>
  <c r="G27" i="13" s="1"/>
  <c r="C23" i="13"/>
  <c r="G23" i="13" s="1"/>
  <c r="C19" i="13"/>
  <c r="G19" i="13" s="1"/>
  <c r="C15" i="13"/>
  <c r="G15" i="13" s="1"/>
  <c r="C31" i="13"/>
  <c r="G31" i="13" s="1"/>
  <c r="C29" i="13"/>
  <c r="G29" i="13" s="1"/>
  <c r="C21" i="13"/>
  <c r="G21" i="13" s="1"/>
  <c r="C17" i="13"/>
  <c r="G17" i="13" s="1"/>
  <c r="C13" i="13"/>
  <c r="G13" i="13" s="1"/>
  <c r="C30" i="13"/>
  <c r="G30" i="13" s="1"/>
  <c r="C18" i="13"/>
  <c r="G18" i="13" s="1"/>
  <c r="D27" i="13"/>
  <c r="D23" i="13"/>
  <c r="D19" i="13"/>
  <c r="D15" i="13"/>
  <c r="D30" i="13"/>
  <c r="H30" i="13" s="1"/>
  <c r="D26" i="13"/>
  <c r="H26" i="13" s="1"/>
  <c r="D20" i="13"/>
  <c r="H20" i="13" s="1"/>
  <c r="D16" i="13"/>
  <c r="H16" i="13" s="1"/>
  <c r="D12" i="13"/>
  <c r="H12" i="13" s="1"/>
  <c r="D31" i="13"/>
  <c r="D29" i="13"/>
  <c r="H29" i="13" s="1"/>
  <c r="D25" i="13"/>
  <c r="H25" i="13" s="1"/>
  <c r="D21" i="13"/>
  <c r="H21" i="13" s="1"/>
  <c r="D17" i="13"/>
  <c r="H17" i="13" s="1"/>
  <c r="D13" i="13"/>
  <c r="H13" i="13" s="1"/>
  <c r="D22" i="13"/>
  <c r="H22" i="13" s="1"/>
  <c r="D18" i="13"/>
  <c r="H18" i="13" s="1"/>
  <c r="D14" i="13"/>
  <c r="H14" i="13" s="1"/>
  <c r="D28" i="13"/>
  <c r="H28" i="13" s="1"/>
  <c r="D24" i="13"/>
  <c r="H24" i="13" s="1"/>
  <c r="D27" i="12"/>
  <c r="H27" i="12" s="1"/>
  <c r="D24" i="12"/>
  <c r="D17" i="12"/>
  <c r="H17" i="12" s="1"/>
  <c r="D14" i="12"/>
  <c r="D11" i="12"/>
  <c r="H11" i="12" s="1"/>
  <c r="D30" i="12"/>
  <c r="D29" i="12"/>
  <c r="H29" i="12" s="1"/>
  <c r="D26" i="12"/>
  <c r="D23" i="12"/>
  <c r="H23" i="12" s="1"/>
  <c r="D20" i="12"/>
  <c r="D13" i="12"/>
  <c r="H13" i="12" s="1"/>
  <c r="D25" i="12"/>
  <c r="H25" i="12" s="1"/>
  <c r="D22" i="12"/>
  <c r="D19" i="12"/>
  <c r="H19" i="12" s="1"/>
  <c r="D16" i="12"/>
  <c r="D28" i="12"/>
  <c r="D21" i="12"/>
  <c r="H21" i="12" s="1"/>
  <c r="D18" i="12"/>
  <c r="D15" i="12"/>
  <c r="H15" i="12" s="1"/>
  <c r="D12" i="12"/>
  <c r="C28" i="12"/>
  <c r="G28" i="12" s="1"/>
  <c r="C21" i="12"/>
  <c r="C18" i="12"/>
  <c r="G18" i="12" s="1"/>
  <c r="C15" i="12"/>
  <c r="C12" i="12"/>
  <c r="G12" i="12" s="1"/>
  <c r="C27" i="12"/>
  <c r="C24" i="12"/>
  <c r="G24" i="12" s="1"/>
  <c r="C17" i="12"/>
  <c r="C14" i="12"/>
  <c r="G14" i="12" s="1"/>
  <c r="C11" i="12"/>
  <c r="C30" i="12"/>
  <c r="G30" i="12" s="1"/>
  <c r="C29" i="12"/>
  <c r="G29" i="12" s="1"/>
  <c r="C26" i="12"/>
  <c r="G26" i="12" s="1"/>
  <c r="C23" i="12"/>
  <c r="C20" i="12"/>
  <c r="G20" i="12" s="1"/>
  <c r="C13" i="12"/>
  <c r="C25" i="12"/>
  <c r="C22" i="12"/>
  <c r="G22" i="12" s="1"/>
  <c r="C19" i="12"/>
  <c r="C16" i="12"/>
  <c r="G16" i="12" s="1"/>
  <c r="K23" i="12"/>
  <c r="B25" i="12"/>
  <c r="F25" i="12" s="1"/>
  <c r="B22" i="12"/>
  <c r="B19" i="12"/>
  <c r="F19" i="12" s="1"/>
  <c r="B16" i="12"/>
  <c r="B28" i="12"/>
  <c r="B21" i="12"/>
  <c r="F21" i="12" s="1"/>
  <c r="B18" i="12"/>
  <c r="B15" i="12"/>
  <c r="F15" i="12" s="1"/>
  <c r="B12" i="12"/>
  <c r="B27" i="12"/>
  <c r="F27" i="12" s="1"/>
  <c r="B24" i="12"/>
  <c r="B17" i="12"/>
  <c r="F17" i="12" s="1"/>
  <c r="B14" i="12"/>
  <c r="B11" i="12"/>
  <c r="F11" i="12" s="1"/>
  <c r="B30" i="12"/>
  <c r="F30" i="12" s="1"/>
  <c r="B29" i="12"/>
  <c r="F29" i="12" s="1"/>
  <c r="B26" i="12"/>
  <c r="B23" i="12"/>
  <c r="F23" i="12" s="1"/>
  <c r="B20" i="12"/>
  <c r="B13" i="12"/>
  <c r="F13" i="12" s="1"/>
  <c r="B30" i="11"/>
  <c r="F30" i="11" s="1"/>
  <c r="B26" i="11"/>
  <c r="F26" i="11" s="1"/>
  <c r="B22" i="11"/>
  <c r="F22" i="11" s="1"/>
  <c r="B18" i="11"/>
  <c r="F18" i="11" s="1"/>
  <c r="B14" i="11"/>
  <c r="F14" i="11" s="1"/>
  <c r="B31" i="11"/>
  <c r="F31" i="11" s="1"/>
  <c r="B28" i="11"/>
  <c r="F28" i="11" s="1"/>
  <c r="B24" i="11"/>
  <c r="F24" i="11" s="1"/>
  <c r="B20" i="11"/>
  <c r="F20" i="11" s="1"/>
  <c r="B16" i="11"/>
  <c r="F16" i="11" s="1"/>
  <c r="B12" i="11"/>
  <c r="F12" i="11" s="1"/>
  <c r="B29" i="11"/>
  <c r="B25" i="11"/>
  <c r="B21" i="11"/>
  <c r="B17" i="11"/>
  <c r="B13" i="11"/>
  <c r="B27" i="11"/>
  <c r="F27" i="11" s="1"/>
  <c r="B23" i="11"/>
  <c r="F23" i="11" s="1"/>
  <c r="B19" i="11"/>
  <c r="F19" i="11" s="1"/>
  <c r="B15" i="11"/>
  <c r="F15" i="11" s="1"/>
  <c r="D27" i="11"/>
  <c r="D23" i="11"/>
  <c r="D19" i="11"/>
  <c r="D15" i="11"/>
  <c r="D28" i="11"/>
  <c r="H28" i="11" s="1"/>
  <c r="D24" i="11"/>
  <c r="H24" i="11" s="1"/>
  <c r="D20" i="11"/>
  <c r="H20" i="11" s="1"/>
  <c r="D16" i="11"/>
  <c r="H16" i="11" s="1"/>
  <c r="D12" i="11"/>
  <c r="H12" i="11" s="1"/>
  <c r="D31" i="11"/>
  <c r="D29" i="11"/>
  <c r="H29" i="11" s="1"/>
  <c r="D25" i="11"/>
  <c r="H25" i="11" s="1"/>
  <c r="D21" i="11"/>
  <c r="H21" i="11" s="1"/>
  <c r="D17" i="11"/>
  <c r="H17" i="11" s="1"/>
  <c r="D13" i="11"/>
  <c r="H13" i="11" s="1"/>
  <c r="D30" i="11"/>
  <c r="H30" i="11" s="1"/>
  <c r="D26" i="11"/>
  <c r="H26" i="11" s="1"/>
  <c r="D22" i="11"/>
  <c r="H22" i="11" s="1"/>
  <c r="D18" i="11"/>
  <c r="H18" i="11" s="1"/>
  <c r="D14" i="11"/>
  <c r="H14" i="11" s="1"/>
  <c r="C28" i="11"/>
  <c r="C24" i="11"/>
  <c r="C20" i="11"/>
  <c r="C16" i="11"/>
  <c r="C12" i="11"/>
  <c r="C27" i="11"/>
  <c r="G27" i="11" s="1"/>
  <c r="C23" i="11"/>
  <c r="G23" i="11" s="1"/>
  <c r="C19" i="11"/>
  <c r="G19" i="11" s="1"/>
  <c r="C15" i="11"/>
  <c r="G15" i="11" s="1"/>
  <c r="C30" i="11"/>
  <c r="G30" i="11" s="1"/>
  <c r="C26" i="11"/>
  <c r="G26" i="11" s="1"/>
  <c r="C22" i="11"/>
  <c r="G22" i="11" s="1"/>
  <c r="C18" i="11"/>
  <c r="G18" i="11" s="1"/>
  <c r="C14" i="11"/>
  <c r="G14" i="11" s="1"/>
  <c r="C31" i="11"/>
  <c r="G31" i="11" s="1"/>
  <c r="C29" i="11"/>
  <c r="G29" i="11" s="1"/>
  <c r="C25" i="11"/>
  <c r="G25" i="11" s="1"/>
  <c r="C21" i="11"/>
  <c r="G21" i="11" s="1"/>
  <c r="C17" i="11"/>
  <c r="G17" i="11" s="1"/>
  <c r="C13" i="11"/>
  <c r="G13" i="11" s="1"/>
  <c r="K20" i="11"/>
  <c r="J32" i="11"/>
  <c r="F57" i="11" s="1"/>
  <c r="J31" i="12"/>
  <c r="F56" i="12" s="1"/>
  <c r="F32" i="11"/>
  <c r="E11" i="11" s="1"/>
  <c r="B36" i="11"/>
  <c r="B61" i="11" s="1"/>
  <c r="B40" i="11"/>
  <c r="B65" i="11" s="1"/>
  <c r="B44" i="11"/>
  <c r="B69" i="11" s="1"/>
  <c r="B48" i="11"/>
  <c r="B73" i="11" s="1"/>
  <c r="B33" i="11"/>
  <c r="B58" i="11" s="1"/>
  <c r="B37" i="11"/>
  <c r="B62" i="11" s="1"/>
  <c r="B41" i="11"/>
  <c r="B66" i="11" s="1"/>
  <c r="B45" i="11"/>
  <c r="B70" i="11" s="1"/>
  <c r="B49" i="11"/>
  <c r="B74" i="11" s="1"/>
  <c r="B39" i="11"/>
  <c r="B64" i="11" s="1"/>
  <c r="B51" i="11"/>
  <c r="B76" i="11" s="1"/>
  <c r="B34" i="11"/>
  <c r="B59" i="11" s="1"/>
  <c r="B38" i="11"/>
  <c r="B63" i="11" s="1"/>
  <c r="B42" i="11"/>
  <c r="B67" i="11" s="1"/>
  <c r="B46" i="11"/>
  <c r="B71" i="11" s="1"/>
  <c r="B50" i="11"/>
  <c r="B75" i="11" s="1"/>
  <c r="B35" i="11"/>
  <c r="B60" i="11" s="1"/>
  <c r="B43" i="11"/>
  <c r="B68" i="11" s="1"/>
  <c r="B47" i="11"/>
  <c r="B72" i="11" s="1"/>
  <c r="C46" i="12"/>
  <c r="C43" i="12"/>
  <c r="C47" i="12"/>
  <c r="C39" i="12"/>
  <c r="C49" i="12"/>
  <c r="C42" i="12"/>
  <c r="C40" i="12"/>
  <c r="C44" i="12"/>
  <c r="G31" i="12"/>
  <c r="C36" i="12"/>
  <c r="C38" i="12"/>
  <c r="C37" i="12"/>
  <c r="C41" i="12"/>
  <c r="C48" i="12"/>
  <c r="C45" i="12"/>
  <c r="C50" i="12"/>
  <c r="C35" i="12"/>
  <c r="C34" i="12"/>
  <c r="C33" i="12"/>
  <c r="C32" i="12"/>
  <c r="I31" i="12"/>
  <c r="E56" i="12" s="1"/>
  <c r="I32" i="13"/>
  <c r="E57" i="13" s="1"/>
  <c r="J32" i="13"/>
  <c r="F57" i="13" s="1"/>
  <c r="K32" i="13"/>
  <c r="G57" i="13" s="1"/>
  <c r="K31" i="12"/>
  <c r="G56" i="12" s="1"/>
  <c r="I32" i="11"/>
  <c r="E57" i="11" s="1"/>
  <c r="K32" i="11"/>
  <c r="G57" i="11" s="1"/>
  <c r="D39" i="12"/>
  <c r="H31" i="12"/>
  <c r="D42" i="12"/>
  <c r="D36" i="12"/>
  <c r="D49" i="12"/>
  <c r="D50" i="12"/>
  <c r="D32" i="12"/>
  <c r="D33" i="12"/>
  <c r="D43" i="12"/>
  <c r="D45" i="12"/>
  <c r="D47" i="12"/>
  <c r="D48" i="12"/>
  <c r="D40" i="12"/>
  <c r="D41" i="12"/>
  <c r="D38" i="12"/>
  <c r="D44" i="12"/>
  <c r="D34" i="12"/>
  <c r="D37" i="12"/>
  <c r="D35" i="12"/>
  <c r="D46" i="12"/>
  <c r="C35" i="11"/>
  <c r="C60" i="11" s="1"/>
  <c r="C39" i="11"/>
  <c r="C64" i="11" s="1"/>
  <c r="C43" i="11"/>
  <c r="C68" i="11" s="1"/>
  <c r="C47" i="11"/>
  <c r="C72" i="11" s="1"/>
  <c r="C51" i="11"/>
  <c r="C76" i="11" s="1"/>
  <c r="C36" i="11"/>
  <c r="C61" i="11" s="1"/>
  <c r="C40" i="11"/>
  <c r="C65" i="11" s="1"/>
  <c r="C44" i="11"/>
  <c r="C69" i="11" s="1"/>
  <c r="C48" i="11"/>
  <c r="C73" i="11" s="1"/>
  <c r="C33" i="11"/>
  <c r="C58" i="11" s="1"/>
  <c r="C42" i="11"/>
  <c r="C67" i="11" s="1"/>
  <c r="C50" i="11"/>
  <c r="C75" i="11" s="1"/>
  <c r="G32" i="11"/>
  <c r="C37" i="11"/>
  <c r="C62" i="11" s="1"/>
  <c r="C41" i="11"/>
  <c r="C66" i="11" s="1"/>
  <c r="C45" i="11"/>
  <c r="C70" i="11" s="1"/>
  <c r="C49" i="11"/>
  <c r="C74" i="11" s="1"/>
  <c r="C34" i="11"/>
  <c r="C59" i="11" s="1"/>
  <c r="C38" i="11"/>
  <c r="C63" i="11" s="1"/>
  <c r="C46" i="11"/>
  <c r="C71" i="11" s="1"/>
  <c r="H32" i="11"/>
  <c r="D33" i="11"/>
  <c r="D58" i="11" s="1"/>
  <c r="D50" i="11"/>
  <c r="D75" i="11" s="1"/>
  <c r="D49" i="11"/>
  <c r="D74" i="11" s="1"/>
  <c r="D51" i="11"/>
  <c r="D76" i="11" s="1"/>
  <c r="D48" i="11"/>
  <c r="D73" i="11" s="1"/>
  <c r="D44" i="11"/>
  <c r="D69" i="11" s="1"/>
  <c r="D46" i="11"/>
  <c r="D71" i="11" s="1"/>
  <c r="D45" i="11"/>
  <c r="D70" i="11" s="1"/>
  <c r="D43" i="11"/>
  <c r="D68" i="11" s="1"/>
  <c r="D40" i="11"/>
  <c r="D65" i="11" s="1"/>
  <c r="D36" i="11"/>
  <c r="D61" i="11" s="1"/>
  <c r="D41" i="11"/>
  <c r="D66" i="11" s="1"/>
  <c r="D47" i="11"/>
  <c r="D72" i="11" s="1"/>
  <c r="D38" i="11"/>
  <c r="D63" i="11" s="1"/>
  <c r="D37" i="11"/>
  <c r="D62" i="11" s="1"/>
  <c r="D39" i="11"/>
  <c r="D64" i="11" s="1"/>
  <c r="D42" i="11"/>
  <c r="D67" i="11" s="1"/>
  <c r="D35" i="11"/>
  <c r="D60" i="11" s="1"/>
  <c r="D34" i="11"/>
  <c r="D59" i="11" s="1"/>
  <c r="B44" i="12"/>
  <c r="B32" i="12"/>
  <c r="F31" i="12"/>
  <c r="B39" i="12"/>
  <c r="B36" i="12"/>
  <c r="B34" i="12"/>
  <c r="B41" i="12"/>
  <c r="B35" i="12"/>
  <c r="B50" i="12"/>
  <c r="B33" i="12"/>
  <c r="B48" i="12"/>
  <c r="B49" i="12"/>
  <c r="B38" i="12"/>
  <c r="B47" i="12"/>
  <c r="B40" i="12"/>
  <c r="B46" i="12"/>
  <c r="B42" i="12"/>
  <c r="B37" i="12"/>
  <c r="B45" i="12"/>
  <c r="B43" i="12"/>
  <c r="B36" i="13"/>
  <c r="B39" i="13"/>
  <c r="B42" i="13"/>
  <c r="B37" i="13"/>
  <c r="F32" i="13"/>
  <c r="E11" i="13" s="1"/>
  <c r="B48" i="13"/>
  <c r="B51" i="13"/>
  <c r="B35" i="13"/>
  <c r="B38" i="13"/>
  <c r="B45" i="13"/>
  <c r="B44" i="13"/>
  <c r="B50" i="13"/>
  <c r="B34" i="13"/>
  <c r="B47" i="13"/>
  <c r="B41" i="13"/>
  <c r="B40" i="13"/>
  <c r="B46" i="13"/>
  <c r="B49" i="13"/>
  <c r="B33" i="13"/>
  <c r="B43" i="13"/>
  <c r="C47" i="13"/>
  <c r="C50" i="13"/>
  <c r="C49" i="13"/>
  <c r="C48" i="13"/>
  <c r="C40" i="13"/>
  <c r="C43" i="13"/>
  <c r="C46" i="13"/>
  <c r="C45" i="13"/>
  <c r="C33" i="13"/>
  <c r="C34" i="13"/>
  <c r="C39" i="13"/>
  <c r="C41" i="13"/>
  <c r="C44" i="13"/>
  <c r="C35" i="13"/>
  <c r="C37" i="13"/>
  <c r="C36" i="13"/>
  <c r="C42" i="13"/>
  <c r="C51" i="13"/>
  <c r="C38" i="13"/>
  <c r="G32" i="13"/>
  <c r="D50" i="13"/>
  <c r="D49" i="13"/>
  <c r="D48" i="13"/>
  <c r="D47" i="13"/>
  <c r="D39" i="13"/>
  <c r="D46" i="13"/>
  <c r="D45" i="13"/>
  <c r="D44" i="13"/>
  <c r="D43" i="13"/>
  <c r="D51" i="13"/>
  <c r="D41" i="13"/>
  <c r="D33" i="13"/>
  <c r="D34" i="13"/>
  <c r="H32" i="13"/>
  <c r="D40" i="13"/>
  <c r="D36" i="13"/>
  <c r="D37" i="13"/>
  <c r="D35" i="13"/>
  <c r="D42" i="13"/>
  <c r="D38" i="13"/>
  <c r="B6" i="1"/>
  <c r="B7" i="1" s="1"/>
  <c r="G41" i="13" l="1"/>
  <c r="C66" i="13"/>
  <c r="F43" i="13"/>
  <c r="B68" i="13"/>
  <c r="F35" i="13"/>
  <c r="B60" i="13"/>
  <c r="F43" i="12"/>
  <c r="B68" i="12"/>
  <c r="F35" i="12"/>
  <c r="B60" i="12"/>
  <c r="F39" i="12"/>
  <c r="B64" i="12"/>
  <c r="H46" i="12"/>
  <c r="D71" i="12"/>
  <c r="H44" i="12"/>
  <c r="D69" i="12"/>
  <c r="H48" i="12"/>
  <c r="D73" i="12"/>
  <c r="H33" i="12"/>
  <c r="D58" i="12"/>
  <c r="K36" i="12"/>
  <c r="G61" i="12" s="1"/>
  <c r="D61" i="12"/>
  <c r="G33" i="12"/>
  <c r="C58" i="12"/>
  <c r="G40" i="12"/>
  <c r="C65" i="12"/>
  <c r="H42" i="13"/>
  <c r="D67" i="13"/>
  <c r="H40" i="13"/>
  <c r="D65" i="13"/>
  <c r="H41" i="13"/>
  <c r="D66" i="13"/>
  <c r="H45" i="13"/>
  <c r="D70" i="13"/>
  <c r="H48" i="13"/>
  <c r="D73" i="13"/>
  <c r="G38" i="13"/>
  <c r="C63" i="13"/>
  <c r="G37" i="13"/>
  <c r="C62" i="13"/>
  <c r="G39" i="13"/>
  <c r="C64" i="13"/>
  <c r="G46" i="13"/>
  <c r="C71" i="13"/>
  <c r="G49" i="13"/>
  <c r="C74" i="13"/>
  <c r="F33" i="13"/>
  <c r="B58" i="13"/>
  <c r="F41" i="13"/>
  <c r="B66" i="13"/>
  <c r="F44" i="13"/>
  <c r="B69" i="13"/>
  <c r="F51" i="13"/>
  <c r="B76" i="13"/>
  <c r="F42" i="13"/>
  <c r="B67" i="13"/>
  <c r="F45" i="12"/>
  <c r="B70" i="12"/>
  <c r="F40" i="12"/>
  <c r="B65" i="12"/>
  <c r="F48" i="12"/>
  <c r="B73" i="12"/>
  <c r="F41" i="12"/>
  <c r="B66" i="12"/>
  <c r="H35" i="12"/>
  <c r="D60" i="12"/>
  <c r="H38" i="12"/>
  <c r="D63" i="12"/>
  <c r="H47" i="12"/>
  <c r="D72" i="12"/>
  <c r="H32" i="12"/>
  <c r="D57" i="12"/>
  <c r="H42" i="12"/>
  <c r="D67" i="12"/>
  <c r="G34" i="12"/>
  <c r="C59" i="12"/>
  <c r="G48" i="12"/>
  <c r="C73" i="12"/>
  <c r="G36" i="12"/>
  <c r="C61" i="12"/>
  <c r="G42" i="12"/>
  <c r="C67" i="12"/>
  <c r="G43" i="12"/>
  <c r="C68" i="12"/>
  <c r="H36" i="13"/>
  <c r="D61" i="13"/>
  <c r="H47" i="13"/>
  <c r="D72" i="13"/>
  <c r="G45" i="13"/>
  <c r="C70" i="13"/>
  <c r="F50" i="13"/>
  <c r="B75" i="13"/>
  <c r="F46" i="12"/>
  <c r="B71" i="12"/>
  <c r="G38" i="12"/>
  <c r="C63" i="12"/>
  <c r="H35" i="13"/>
  <c r="D60" i="13"/>
  <c r="H51" i="13"/>
  <c r="D76" i="13"/>
  <c r="H49" i="13"/>
  <c r="D74" i="13"/>
  <c r="G34" i="13"/>
  <c r="C59" i="13"/>
  <c r="F47" i="13"/>
  <c r="B72" i="13"/>
  <c r="F39" i="13"/>
  <c r="B64" i="13"/>
  <c r="F47" i="12"/>
  <c r="B72" i="12"/>
  <c r="F34" i="12"/>
  <c r="B59" i="12"/>
  <c r="H37" i="12"/>
  <c r="D62" i="12"/>
  <c r="H41" i="12"/>
  <c r="D66" i="12"/>
  <c r="H45" i="12"/>
  <c r="D70" i="12"/>
  <c r="H50" i="12"/>
  <c r="D75" i="12"/>
  <c r="G35" i="12"/>
  <c r="C60" i="12"/>
  <c r="G41" i="12"/>
  <c r="C66" i="12"/>
  <c r="G49" i="12"/>
  <c r="C74" i="12"/>
  <c r="G46" i="12"/>
  <c r="C71" i="12"/>
  <c r="H38" i="13"/>
  <c r="D63" i="13"/>
  <c r="H33" i="13"/>
  <c r="D58" i="13"/>
  <c r="H44" i="13"/>
  <c r="D69" i="13"/>
  <c r="G36" i="13"/>
  <c r="C61" i="13"/>
  <c r="G48" i="13"/>
  <c r="C73" i="13"/>
  <c r="F40" i="13"/>
  <c r="B65" i="13"/>
  <c r="F37" i="13"/>
  <c r="B62" i="13"/>
  <c r="F49" i="12"/>
  <c r="B74" i="12"/>
  <c r="G45" i="12"/>
  <c r="C70" i="12"/>
  <c r="G47" i="12"/>
  <c r="C72" i="12"/>
  <c r="H46" i="13"/>
  <c r="D71" i="13"/>
  <c r="G51" i="13"/>
  <c r="C76" i="13"/>
  <c r="G35" i="13"/>
  <c r="C60" i="13"/>
  <c r="G43" i="13"/>
  <c r="C68" i="13"/>
  <c r="G50" i="13"/>
  <c r="C75" i="13"/>
  <c r="F49" i="13"/>
  <c r="B74" i="13"/>
  <c r="F45" i="13"/>
  <c r="B70" i="13"/>
  <c r="F48" i="13"/>
  <c r="B73" i="13"/>
  <c r="F37" i="12"/>
  <c r="B62" i="12"/>
  <c r="F33" i="12"/>
  <c r="B58" i="12"/>
  <c r="F32" i="12"/>
  <c r="B57" i="12"/>
  <c r="B2" i="10"/>
  <c r="B54" i="10"/>
  <c r="H37" i="13"/>
  <c r="D62" i="13"/>
  <c r="H34" i="13"/>
  <c r="D59" i="13"/>
  <c r="H43" i="13"/>
  <c r="D68" i="13"/>
  <c r="H39" i="13"/>
  <c r="D64" i="13"/>
  <c r="H50" i="13"/>
  <c r="D75" i="13"/>
  <c r="G42" i="13"/>
  <c r="C67" i="13"/>
  <c r="G44" i="13"/>
  <c r="C69" i="13"/>
  <c r="G33" i="13"/>
  <c r="C58" i="13"/>
  <c r="G40" i="13"/>
  <c r="C65" i="13"/>
  <c r="G47" i="13"/>
  <c r="C72" i="13"/>
  <c r="F46" i="13"/>
  <c r="B71" i="13"/>
  <c r="F34" i="13"/>
  <c r="B59" i="13"/>
  <c r="F38" i="13"/>
  <c r="B63" i="13"/>
  <c r="F36" i="13"/>
  <c r="B61" i="13"/>
  <c r="F42" i="12"/>
  <c r="B67" i="12"/>
  <c r="F38" i="12"/>
  <c r="B63" i="12"/>
  <c r="F50" i="12"/>
  <c r="B75" i="12"/>
  <c r="F36" i="12"/>
  <c r="B61" i="12"/>
  <c r="F44" i="12"/>
  <c r="B69" i="12"/>
  <c r="H34" i="12"/>
  <c r="D59" i="12"/>
  <c r="H40" i="12"/>
  <c r="D65" i="12"/>
  <c r="H43" i="12"/>
  <c r="D68" i="12"/>
  <c r="H49" i="12"/>
  <c r="D74" i="12"/>
  <c r="H39" i="12"/>
  <c r="D64" i="12"/>
  <c r="G32" i="12"/>
  <c r="C57" i="12"/>
  <c r="G50" i="12"/>
  <c r="C75" i="12"/>
  <c r="G37" i="12"/>
  <c r="C62" i="12"/>
  <c r="G44" i="12"/>
  <c r="C69" i="12"/>
  <c r="G39" i="12"/>
  <c r="C64" i="12"/>
  <c r="H35" i="11"/>
  <c r="H40" i="11"/>
  <c r="H50" i="11"/>
  <c r="G41" i="11"/>
  <c r="G40" i="11"/>
  <c r="G43" i="11"/>
  <c r="F34" i="11"/>
  <c r="H42" i="11"/>
  <c r="H47" i="11"/>
  <c r="H43" i="11"/>
  <c r="H48" i="11"/>
  <c r="H33" i="11"/>
  <c r="G34" i="11"/>
  <c r="G37" i="11"/>
  <c r="G33" i="11"/>
  <c r="G36" i="11"/>
  <c r="G39" i="11"/>
  <c r="F47" i="11"/>
  <c r="F46" i="11"/>
  <c r="F51" i="11"/>
  <c r="F41" i="11"/>
  <c r="F44" i="11"/>
  <c r="F43" i="11"/>
  <c r="F42" i="11"/>
  <c r="F39" i="11"/>
  <c r="F37" i="11"/>
  <c r="F40" i="11"/>
  <c r="H38" i="11"/>
  <c r="H44" i="11"/>
  <c r="G38" i="11"/>
  <c r="G42" i="11"/>
  <c r="F50" i="11"/>
  <c r="F45" i="11"/>
  <c r="F48" i="11"/>
  <c r="H39" i="11"/>
  <c r="H41" i="11"/>
  <c r="H45" i="11"/>
  <c r="H51" i="11"/>
  <c r="G49" i="11"/>
  <c r="G48" i="11"/>
  <c r="G51" i="11"/>
  <c r="G35" i="11"/>
  <c r="H34" i="11"/>
  <c r="H37" i="11"/>
  <c r="H36" i="11"/>
  <c r="H46" i="11"/>
  <c r="H49" i="11"/>
  <c r="G46" i="11"/>
  <c r="G45" i="11"/>
  <c r="G50" i="11"/>
  <c r="G44" i="11"/>
  <c r="G47" i="11"/>
  <c r="F35" i="11"/>
  <c r="F38" i="11"/>
  <c r="F49" i="11"/>
  <c r="F33" i="11"/>
  <c r="F36" i="11"/>
  <c r="K21" i="12"/>
  <c r="K13" i="11"/>
  <c r="K17" i="12"/>
  <c r="J13" i="11"/>
  <c r="K14" i="11"/>
  <c r="J14" i="11"/>
  <c r="K29" i="11"/>
  <c r="J17" i="11"/>
  <c r="K13" i="12"/>
  <c r="K39" i="11"/>
  <c r="G64" i="11" s="1"/>
  <c r="K38" i="11"/>
  <c r="G63" i="11" s="1"/>
  <c r="K35" i="11"/>
  <c r="G60" i="11" s="1"/>
  <c r="K37" i="11"/>
  <c r="G62" i="11" s="1"/>
  <c r="K44" i="11"/>
  <c r="G69" i="11" s="1"/>
  <c r="K41" i="13"/>
  <c r="G66" i="13" s="1"/>
  <c r="K40" i="13"/>
  <c r="G65" i="13" s="1"/>
  <c r="K51" i="13"/>
  <c r="G76" i="13" s="1"/>
  <c r="K35" i="13"/>
  <c r="G60" i="13" s="1"/>
  <c r="K38" i="13"/>
  <c r="G63" i="13" s="1"/>
  <c r="I50" i="13"/>
  <c r="E75" i="13" s="1"/>
  <c r="I34" i="13"/>
  <c r="E59" i="13" s="1"/>
  <c r="I49" i="13"/>
  <c r="E74" i="13" s="1"/>
  <c r="I33" i="13"/>
  <c r="E58" i="13" s="1"/>
  <c r="I36" i="13"/>
  <c r="E61" i="13" s="1"/>
  <c r="J45" i="13"/>
  <c r="F70" i="13" s="1"/>
  <c r="J42" i="13"/>
  <c r="F67" i="13" s="1"/>
  <c r="J44" i="13"/>
  <c r="F69" i="13" s="1"/>
  <c r="J47" i="13"/>
  <c r="F72" i="13" s="1"/>
  <c r="I32" i="12"/>
  <c r="E57" i="12" s="1"/>
  <c r="I46" i="12"/>
  <c r="E71" i="12" s="1"/>
  <c r="I47" i="12"/>
  <c r="E72" i="12" s="1"/>
  <c r="I41" i="12"/>
  <c r="E66" i="12" s="1"/>
  <c r="I44" i="12"/>
  <c r="E69" i="12" s="1"/>
  <c r="J49" i="12"/>
  <c r="F74" i="12" s="1"/>
  <c r="J44" i="12"/>
  <c r="F69" i="12" s="1"/>
  <c r="J37" i="12"/>
  <c r="F62" i="12" s="1"/>
  <c r="J39" i="12"/>
  <c r="F64" i="12" s="1"/>
  <c r="J42" i="12"/>
  <c r="F67" i="12" s="1"/>
  <c r="I33" i="11"/>
  <c r="E58" i="11" s="1"/>
  <c r="I36" i="11"/>
  <c r="E61" i="11" s="1"/>
  <c r="I39" i="11"/>
  <c r="E64" i="11" s="1"/>
  <c r="I43" i="11"/>
  <c r="E68" i="11" s="1"/>
  <c r="I38" i="11"/>
  <c r="E63" i="11" s="1"/>
  <c r="J36" i="11"/>
  <c r="F61" i="11" s="1"/>
  <c r="J39" i="11"/>
  <c r="F64" i="11" s="1"/>
  <c r="J46" i="11"/>
  <c r="F71" i="11" s="1"/>
  <c r="J44" i="11"/>
  <c r="F69" i="11" s="1"/>
  <c r="J37" i="11"/>
  <c r="F62" i="11" s="1"/>
  <c r="K47" i="12"/>
  <c r="G72" i="12" s="1"/>
  <c r="K44" i="12"/>
  <c r="G69" i="12" s="1"/>
  <c r="K42" i="12"/>
  <c r="G67" i="12" s="1"/>
  <c r="K45" i="12"/>
  <c r="G70" i="12" s="1"/>
  <c r="K50" i="11"/>
  <c r="G75" i="11" s="1"/>
  <c r="K34" i="11"/>
  <c r="G59" i="11" s="1"/>
  <c r="K49" i="11"/>
  <c r="G74" i="11" s="1"/>
  <c r="K43" i="11"/>
  <c r="G68" i="11" s="1"/>
  <c r="K40" i="11"/>
  <c r="G65" i="11" s="1"/>
  <c r="K33" i="13"/>
  <c r="G58" i="13" s="1"/>
  <c r="K36" i="13"/>
  <c r="G61" i="13" s="1"/>
  <c r="K47" i="13"/>
  <c r="G72" i="13" s="1"/>
  <c r="K50" i="13"/>
  <c r="G75" i="13" s="1"/>
  <c r="K34" i="13"/>
  <c r="G59" i="13" s="1"/>
  <c r="I46" i="13"/>
  <c r="E71" i="13" s="1"/>
  <c r="I51" i="13"/>
  <c r="E76" i="13" s="1"/>
  <c r="I45" i="13"/>
  <c r="E70" i="13" s="1"/>
  <c r="I48" i="13"/>
  <c r="E73" i="13" s="1"/>
  <c r="J46" i="13"/>
  <c r="F71" i="13" s="1"/>
  <c r="J41" i="13"/>
  <c r="F66" i="13" s="1"/>
  <c r="J34" i="13"/>
  <c r="F59" i="13" s="1"/>
  <c r="J40" i="13"/>
  <c r="F65" i="13" s="1"/>
  <c r="J43" i="13"/>
  <c r="F68" i="13" s="1"/>
  <c r="I43" i="12"/>
  <c r="E68" i="12" s="1"/>
  <c r="I42" i="12"/>
  <c r="E67" i="12" s="1"/>
  <c r="I39" i="12"/>
  <c r="E64" i="12" s="1"/>
  <c r="I37" i="12"/>
  <c r="E62" i="12" s="1"/>
  <c r="I40" i="12"/>
  <c r="E65" i="12" s="1"/>
  <c r="J41" i="12"/>
  <c r="F66" i="12" s="1"/>
  <c r="J40" i="12"/>
  <c r="F65" i="12" s="1"/>
  <c r="J32" i="12"/>
  <c r="F57" i="12" s="1"/>
  <c r="J35" i="12"/>
  <c r="F60" i="12" s="1"/>
  <c r="J38" i="12"/>
  <c r="F63" i="12" s="1"/>
  <c r="I48" i="11"/>
  <c r="E73" i="11" s="1"/>
  <c r="I49" i="11"/>
  <c r="E74" i="11" s="1"/>
  <c r="I35" i="11"/>
  <c r="E60" i="11" s="1"/>
  <c r="I50" i="11"/>
  <c r="E75" i="11" s="1"/>
  <c r="I34" i="11"/>
  <c r="E59" i="11" s="1"/>
  <c r="J51" i="11"/>
  <c r="F76" i="11" s="1"/>
  <c r="J35" i="11"/>
  <c r="F60" i="11" s="1"/>
  <c r="J42" i="11"/>
  <c r="F67" i="11" s="1"/>
  <c r="J49" i="11"/>
  <c r="F74" i="11" s="1"/>
  <c r="K48" i="12"/>
  <c r="G73" i="12" s="1"/>
  <c r="K43" i="12"/>
  <c r="G68" i="12" s="1"/>
  <c r="K38" i="12"/>
  <c r="G63" i="12" s="1"/>
  <c r="K41" i="12"/>
  <c r="G66" i="12" s="1"/>
  <c r="K18" i="11"/>
  <c r="J23" i="11"/>
  <c r="I19" i="11"/>
  <c r="K29" i="12"/>
  <c r="K46" i="11"/>
  <c r="G71" i="11" s="1"/>
  <c r="K51" i="11"/>
  <c r="G76" i="11" s="1"/>
  <c r="K45" i="11"/>
  <c r="G70" i="11" s="1"/>
  <c r="K33" i="11"/>
  <c r="G58" i="11" s="1"/>
  <c r="K36" i="11"/>
  <c r="G61" i="11" s="1"/>
  <c r="K48" i="13"/>
  <c r="G73" i="13" s="1"/>
  <c r="K45" i="13"/>
  <c r="G70" i="13" s="1"/>
  <c r="K43" i="13"/>
  <c r="G68" i="13" s="1"/>
  <c r="K46" i="13"/>
  <c r="G71" i="13" s="1"/>
  <c r="I43" i="13"/>
  <c r="E68" i="13" s="1"/>
  <c r="I42" i="13"/>
  <c r="E67" i="13" s="1"/>
  <c r="I47" i="13"/>
  <c r="E72" i="13" s="1"/>
  <c r="I41" i="13"/>
  <c r="E66" i="13" s="1"/>
  <c r="I44" i="13"/>
  <c r="E69" i="13" s="1"/>
  <c r="J38" i="13"/>
  <c r="F63" i="13" s="1"/>
  <c r="J37" i="13"/>
  <c r="F62" i="13" s="1"/>
  <c r="J33" i="13"/>
  <c r="F58" i="13" s="1"/>
  <c r="J36" i="13"/>
  <c r="F61" i="13" s="1"/>
  <c r="J39" i="13"/>
  <c r="F64" i="13" s="1"/>
  <c r="I35" i="12"/>
  <c r="E60" i="12" s="1"/>
  <c r="I38" i="12"/>
  <c r="E63" i="12" s="1"/>
  <c r="I49" i="12"/>
  <c r="E74" i="12" s="1"/>
  <c r="I33" i="12"/>
  <c r="E58" i="12" s="1"/>
  <c r="I36" i="12"/>
  <c r="E61" i="12" s="1"/>
  <c r="J33" i="12"/>
  <c r="F58" i="12" s="1"/>
  <c r="J36" i="12"/>
  <c r="F61" i="12" s="1"/>
  <c r="J47" i="12"/>
  <c r="F72" i="12" s="1"/>
  <c r="J50" i="12"/>
  <c r="F75" i="12" s="1"/>
  <c r="J34" i="12"/>
  <c r="F59" i="12" s="1"/>
  <c r="I44" i="11"/>
  <c r="E69" i="11" s="1"/>
  <c r="I37" i="11"/>
  <c r="E62" i="11" s="1"/>
  <c r="I41" i="11"/>
  <c r="E66" i="11" s="1"/>
  <c r="I46" i="11"/>
  <c r="E71" i="11" s="1"/>
  <c r="J33" i="11"/>
  <c r="F58" i="11" s="1"/>
  <c r="J47" i="11"/>
  <c r="F72" i="11" s="1"/>
  <c r="J48" i="11"/>
  <c r="F73" i="11" s="1"/>
  <c r="J38" i="11"/>
  <c r="F63" i="11" s="1"/>
  <c r="J45" i="11"/>
  <c r="F70" i="11" s="1"/>
  <c r="K40" i="12"/>
  <c r="G65" i="12" s="1"/>
  <c r="K39" i="12"/>
  <c r="G64" i="12" s="1"/>
  <c r="K50" i="12"/>
  <c r="G75" i="12" s="1"/>
  <c r="K34" i="12"/>
  <c r="G59" i="12" s="1"/>
  <c r="K37" i="12"/>
  <c r="G62" i="12" s="1"/>
  <c r="K42" i="11"/>
  <c r="G67" i="11" s="1"/>
  <c r="K47" i="11"/>
  <c r="G72" i="11" s="1"/>
  <c r="K41" i="11"/>
  <c r="G66" i="11" s="1"/>
  <c r="K48" i="11"/>
  <c r="G73" i="11" s="1"/>
  <c r="K49" i="13"/>
  <c r="G74" i="13" s="1"/>
  <c r="K44" i="13"/>
  <c r="G69" i="13" s="1"/>
  <c r="K37" i="13"/>
  <c r="G62" i="13" s="1"/>
  <c r="K39" i="13"/>
  <c r="G64" i="13" s="1"/>
  <c r="K42" i="13"/>
  <c r="G67" i="13" s="1"/>
  <c r="I35" i="13"/>
  <c r="E60" i="13" s="1"/>
  <c r="I38" i="13"/>
  <c r="E63" i="13" s="1"/>
  <c r="I39" i="13"/>
  <c r="E64" i="13" s="1"/>
  <c r="I37" i="13"/>
  <c r="E62" i="13" s="1"/>
  <c r="I40" i="13"/>
  <c r="E65" i="13" s="1"/>
  <c r="J49" i="13"/>
  <c r="F74" i="13" s="1"/>
  <c r="J50" i="13"/>
  <c r="F75" i="13" s="1"/>
  <c r="J48" i="13"/>
  <c r="F73" i="13" s="1"/>
  <c r="J51" i="13"/>
  <c r="F76" i="13" s="1"/>
  <c r="J35" i="13"/>
  <c r="F60" i="13" s="1"/>
  <c r="I50" i="12"/>
  <c r="E75" i="12" s="1"/>
  <c r="I34" i="12"/>
  <c r="E59" i="12" s="1"/>
  <c r="I45" i="12"/>
  <c r="E70" i="12" s="1"/>
  <c r="I48" i="12"/>
  <c r="E73" i="12" s="1"/>
  <c r="J48" i="12"/>
  <c r="F73" i="12" s="1"/>
  <c r="J45" i="12"/>
  <c r="F70" i="12" s="1"/>
  <c r="J43" i="12"/>
  <c r="F68" i="12" s="1"/>
  <c r="J46" i="12"/>
  <c r="F71" i="12" s="1"/>
  <c r="I45" i="11"/>
  <c r="E70" i="11" s="1"/>
  <c r="I40" i="11"/>
  <c r="E65" i="11" s="1"/>
  <c r="I47" i="11"/>
  <c r="E72" i="11" s="1"/>
  <c r="I51" i="11"/>
  <c r="E76" i="11" s="1"/>
  <c r="I42" i="11"/>
  <c r="E67" i="11" s="1"/>
  <c r="J40" i="11"/>
  <c r="F65" i="11" s="1"/>
  <c r="J43" i="11"/>
  <c r="F68" i="11" s="1"/>
  <c r="J50" i="11"/>
  <c r="F75" i="11" s="1"/>
  <c r="J34" i="11"/>
  <c r="F59" i="11" s="1"/>
  <c r="J41" i="11"/>
  <c r="F66" i="11" s="1"/>
  <c r="K32" i="12"/>
  <c r="G57" i="12" s="1"/>
  <c r="K35" i="12"/>
  <c r="G60" i="12" s="1"/>
  <c r="K46" i="12"/>
  <c r="G71" i="12" s="1"/>
  <c r="K49" i="12"/>
  <c r="G74" i="12" s="1"/>
  <c r="K33" i="12"/>
  <c r="G58" i="12" s="1"/>
  <c r="K17" i="11"/>
  <c r="J31" i="11"/>
  <c r="J26" i="11"/>
  <c r="K25" i="12"/>
  <c r="K15" i="12"/>
  <c r="J29" i="11"/>
  <c r="I27" i="12"/>
  <c r="K11" i="12"/>
  <c r="K16" i="13"/>
  <c r="K19" i="12"/>
  <c r="I25" i="12"/>
  <c r="K27" i="12"/>
  <c r="J22" i="13"/>
  <c r="E14" i="12"/>
  <c r="E18" i="12"/>
  <c r="E22" i="12"/>
  <c r="E26" i="12"/>
  <c r="E30" i="12"/>
  <c r="E34" i="12"/>
  <c r="E38" i="12"/>
  <c r="E42" i="12"/>
  <c r="E46" i="12"/>
  <c r="E50" i="12"/>
  <c r="E15" i="12"/>
  <c r="E19" i="12"/>
  <c r="E23" i="12"/>
  <c r="E27" i="12"/>
  <c r="E31" i="12"/>
  <c r="E35" i="12"/>
  <c r="E39" i="12"/>
  <c r="E43" i="12"/>
  <c r="E47" i="12"/>
  <c r="E11" i="12"/>
  <c r="E21" i="12"/>
  <c r="E29" i="12"/>
  <c r="E41" i="12"/>
  <c r="E49" i="12"/>
  <c r="E12" i="12"/>
  <c r="E16" i="12"/>
  <c r="E20" i="12"/>
  <c r="E24" i="12"/>
  <c r="E28" i="12"/>
  <c r="E32" i="12"/>
  <c r="E36" i="12"/>
  <c r="E40" i="12"/>
  <c r="E44" i="12"/>
  <c r="E48" i="12"/>
  <c r="E13" i="12"/>
  <c r="E17" i="12"/>
  <c r="E25" i="12"/>
  <c r="E33" i="12"/>
  <c r="E37" i="12"/>
  <c r="E45" i="12"/>
  <c r="I28" i="13"/>
  <c r="K22" i="13"/>
  <c r="J19" i="13"/>
  <c r="I31" i="13"/>
  <c r="K18" i="13"/>
  <c r="K24" i="13"/>
  <c r="E13" i="13"/>
  <c r="E17" i="13"/>
  <c r="E21" i="13"/>
  <c r="E25" i="13"/>
  <c r="E29" i="13"/>
  <c r="E33" i="13"/>
  <c r="E37" i="13"/>
  <c r="E41" i="13"/>
  <c r="E45" i="13"/>
  <c r="E49" i="13"/>
  <c r="E31" i="13"/>
  <c r="E47" i="13"/>
  <c r="E16" i="13"/>
  <c r="E20" i="13"/>
  <c r="E24" i="13"/>
  <c r="E28" i="13"/>
  <c r="E36" i="13"/>
  <c r="E44" i="13"/>
  <c r="E12" i="13"/>
  <c r="E14" i="13"/>
  <c r="E18" i="13"/>
  <c r="E22" i="13"/>
  <c r="E26" i="13"/>
  <c r="E30" i="13"/>
  <c r="E34" i="13"/>
  <c r="E38" i="13"/>
  <c r="E42" i="13"/>
  <c r="E46" i="13"/>
  <c r="E50" i="13"/>
  <c r="E15" i="13"/>
  <c r="E19" i="13"/>
  <c r="E23" i="13"/>
  <c r="E27" i="13"/>
  <c r="E35" i="13"/>
  <c r="E39" i="13"/>
  <c r="E43" i="13"/>
  <c r="E51" i="13"/>
  <c r="E52" i="13" s="1"/>
  <c r="E32" i="13"/>
  <c r="E40" i="13"/>
  <c r="E48" i="13"/>
  <c r="K12" i="13"/>
  <c r="J27" i="13"/>
  <c r="I18" i="13"/>
  <c r="K31" i="13"/>
  <c r="H31" i="13"/>
  <c r="K23" i="13"/>
  <c r="H23" i="13"/>
  <c r="J24" i="13"/>
  <c r="G24" i="13"/>
  <c r="I29" i="13"/>
  <c r="F29" i="13"/>
  <c r="K17" i="13"/>
  <c r="K28" i="13"/>
  <c r="J31" i="13"/>
  <c r="J25" i="13"/>
  <c r="J13" i="13"/>
  <c r="I24" i="13"/>
  <c r="I23" i="13"/>
  <c r="I22" i="13"/>
  <c r="K19" i="13"/>
  <c r="H19" i="13"/>
  <c r="I25" i="13"/>
  <c r="F25" i="13"/>
  <c r="K29" i="13"/>
  <c r="I19" i="13"/>
  <c r="K27" i="13"/>
  <c r="H27" i="13"/>
  <c r="J12" i="13"/>
  <c r="G12" i="13"/>
  <c r="J28" i="13"/>
  <c r="G28" i="13"/>
  <c r="K14" i="13"/>
  <c r="K21" i="13"/>
  <c r="J15" i="13"/>
  <c r="J14" i="13"/>
  <c r="J17" i="13"/>
  <c r="I12" i="13"/>
  <c r="I20" i="13"/>
  <c r="I27" i="13"/>
  <c r="I26" i="13"/>
  <c r="J20" i="13"/>
  <c r="G20" i="13"/>
  <c r="I21" i="13"/>
  <c r="F21" i="13"/>
  <c r="K13" i="13"/>
  <c r="J26" i="13"/>
  <c r="J29" i="13"/>
  <c r="K15" i="13"/>
  <c r="H15" i="13"/>
  <c r="J16" i="13"/>
  <c r="G16" i="13"/>
  <c r="I17" i="13"/>
  <c r="F17" i="13"/>
  <c r="I13" i="13"/>
  <c r="F13" i="13"/>
  <c r="K30" i="13"/>
  <c r="K26" i="13"/>
  <c r="K25" i="13"/>
  <c r="K20" i="13"/>
  <c r="J23" i="13"/>
  <c r="J30" i="13"/>
  <c r="J18" i="13"/>
  <c r="J21" i="13"/>
  <c r="I16" i="13"/>
  <c r="I15" i="13"/>
  <c r="I14" i="13"/>
  <c r="I30" i="13"/>
  <c r="I16" i="12"/>
  <c r="F16" i="12"/>
  <c r="I15" i="12"/>
  <c r="I21" i="12"/>
  <c r="J25" i="12"/>
  <c r="G25" i="12"/>
  <c r="K22" i="12"/>
  <c r="H22" i="12"/>
  <c r="J30" i="12"/>
  <c r="J20" i="12"/>
  <c r="I20" i="12"/>
  <c r="F20" i="12"/>
  <c r="I24" i="12"/>
  <c r="F24" i="12"/>
  <c r="I18" i="12"/>
  <c r="F18" i="12"/>
  <c r="I11" i="12"/>
  <c r="I23" i="12"/>
  <c r="J13" i="12"/>
  <c r="G13" i="12"/>
  <c r="J17" i="12"/>
  <c r="G17" i="12"/>
  <c r="J15" i="12"/>
  <c r="G15" i="12"/>
  <c r="K12" i="12"/>
  <c r="H12" i="12"/>
  <c r="K28" i="12"/>
  <c r="H28" i="12"/>
  <c r="K26" i="12"/>
  <c r="H26" i="12"/>
  <c r="K14" i="12"/>
  <c r="H14" i="12"/>
  <c r="J14" i="12"/>
  <c r="J18" i="12"/>
  <c r="J24" i="12"/>
  <c r="I22" i="12"/>
  <c r="F22" i="12"/>
  <c r="I19" i="12"/>
  <c r="I13" i="12"/>
  <c r="I29" i="12"/>
  <c r="J19" i="12"/>
  <c r="G19" i="12"/>
  <c r="K16" i="12"/>
  <c r="H16" i="12"/>
  <c r="J22" i="12"/>
  <c r="J29" i="12"/>
  <c r="J12" i="12"/>
  <c r="I26" i="12"/>
  <c r="F26" i="12"/>
  <c r="I14" i="12"/>
  <c r="F14" i="12"/>
  <c r="I12" i="12"/>
  <c r="F12" i="12"/>
  <c r="I28" i="12"/>
  <c r="F28" i="12"/>
  <c r="I30" i="12"/>
  <c r="I17" i="12"/>
  <c r="J23" i="12"/>
  <c r="G23" i="12"/>
  <c r="J11" i="12"/>
  <c r="G11" i="12"/>
  <c r="J27" i="12"/>
  <c r="G27" i="12"/>
  <c r="J21" i="12"/>
  <c r="G21" i="12"/>
  <c r="K18" i="12"/>
  <c r="H18" i="12"/>
  <c r="K20" i="12"/>
  <c r="H20" i="12"/>
  <c r="K30" i="12"/>
  <c r="H30" i="12"/>
  <c r="K24" i="12"/>
  <c r="H24" i="12"/>
  <c r="J26" i="12"/>
  <c r="J16" i="12"/>
  <c r="J28" i="12"/>
  <c r="E13" i="11"/>
  <c r="E17" i="11"/>
  <c r="E21" i="11"/>
  <c r="E25" i="11"/>
  <c r="E29" i="11"/>
  <c r="E33" i="11"/>
  <c r="E37" i="11"/>
  <c r="E41" i="11"/>
  <c r="E45" i="11"/>
  <c r="E49" i="11"/>
  <c r="E14" i="11"/>
  <c r="E18" i="11"/>
  <c r="E22" i="11"/>
  <c r="E26" i="11"/>
  <c r="E30" i="11"/>
  <c r="E34" i="11"/>
  <c r="E38" i="11"/>
  <c r="E42" i="11"/>
  <c r="E46" i="11"/>
  <c r="E50" i="11"/>
  <c r="E20" i="11"/>
  <c r="E28" i="11"/>
  <c r="E36" i="11"/>
  <c r="E44" i="11"/>
  <c r="E12" i="11"/>
  <c r="E15" i="11"/>
  <c r="E19" i="11"/>
  <c r="E23" i="11"/>
  <c r="E27" i="11"/>
  <c r="E31" i="11"/>
  <c r="E35" i="11"/>
  <c r="E39" i="11"/>
  <c r="E43" i="11"/>
  <c r="E47" i="11"/>
  <c r="E51" i="11"/>
  <c r="E52" i="11" s="1"/>
  <c r="E16" i="11"/>
  <c r="E24" i="11"/>
  <c r="E32" i="11"/>
  <c r="E40" i="11"/>
  <c r="E48" i="11"/>
  <c r="K22" i="11"/>
  <c r="J21" i="11"/>
  <c r="I16" i="11"/>
  <c r="I18" i="11"/>
  <c r="J27" i="11"/>
  <c r="I23" i="11"/>
  <c r="K24" i="11"/>
  <c r="J30" i="11"/>
  <c r="I31" i="11"/>
  <c r="I22" i="11"/>
  <c r="J28" i="11"/>
  <c r="G28" i="11"/>
  <c r="K12" i="11"/>
  <c r="K28" i="11"/>
  <c r="J16" i="11"/>
  <c r="G16" i="11"/>
  <c r="K15" i="11"/>
  <c r="H15" i="11"/>
  <c r="I13" i="11"/>
  <c r="F13" i="11"/>
  <c r="I29" i="11"/>
  <c r="F29" i="11"/>
  <c r="I24" i="11"/>
  <c r="J12" i="11"/>
  <c r="G12" i="11"/>
  <c r="K21" i="11"/>
  <c r="K16" i="11"/>
  <c r="J15" i="11"/>
  <c r="J18" i="11"/>
  <c r="J20" i="11"/>
  <c r="G20" i="11"/>
  <c r="K19" i="11"/>
  <c r="H19" i="11"/>
  <c r="I17" i="11"/>
  <c r="F17" i="11"/>
  <c r="I28" i="11"/>
  <c r="I20" i="11"/>
  <c r="I27" i="11"/>
  <c r="I26" i="11"/>
  <c r="K27" i="11"/>
  <c r="H27" i="11"/>
  <c r="I25" i="11"/>
  <c r="F25" i="11"/>
  <c r="K30" i="11"/>
  <c r="K26" i="11"/>
  <c r="K25" i="11"/>
  <c r="J19" i="11"/>
  <c r="J25" i="11"/>
  <c r="J22" i="11"/>
  <c r="J24" i="11"/>
  <c r="G24" i="11"/>
  <c r="K31" i="11"/>
  <c r="H31" i="11"/>
  <c r="K23" i="11"/>
  <c r="H23" i="11"/>
  <c r="I21" i="11"/>
  <c r="F21" i="11"/>
  <c r="I12" i="11"/>
  <c r="I15" i="11"/>
  <c r="I14" i="11"/>
  <c r="I30" i="11"/>
  <c r="B3" i="10"/>
  <c r="B4" i="10"/>
  <c r="H36" i="12"/>
  <c r="B32" i="10" l="1"/>
  <c r="B6" i="10"/>
  <c r="C32" i="10"/>
  <c r="C57" i="10" s="1"/>
  <c r="B7" i="10"/>
  <c r="D32" i="10"/>
  <c r="D57" i="10" s="1"/>
  <c r="B8" i="10"/>
  <c r="B31" i="10" l="1"/>
  <c r="B29" i="10" s="1"/>
  <c r="B27" i="10" s="1"/>
  <c r="B25" i="10" s="1"/>
  <c r="B23" i="10" s="1"/>
  <c r="B21" i="10" s="1"/>
  <c r="B19" i="10" s="1"/>
  <c r="B17" i="10" s="1"/>
  <c r="B15" i="10" s="1"/>
  <c r="B13" i="10" s="1"/>
  <c r="B33" i="10"/>
  <c r="B58" i="10" s="1"/>
  <c r="B57" i="10"/>
  <c r="B30" i="10"/>
  <c r="B28" i="10" s="1"/>
  <c r="B26" i="10" s="1"/>
  <c r="B24" i="10" s="1"/>
  <c r="B22" i="10" s="1"/>
  <c r="B20" i="10" s="1"/>
  <c r="B18" i="10" s="1"/>
  <c r="B16" i="10" s="1"/>
  <c r="B14" i="10" s="1"/>
  <c r="B12" i="10" s="1"/>
  <c r="C28" i="10"/>
  <c r="G28" i="10" s="1"/>
  <c r="C24" i="10"/>
  <c r="G24" i="10" s="1"/>
  <c r="C20" i="10"/>
  <c r="G20" i="10" s="1"/>
  <c r="C16" i="10"/>
  <c r="G16" i="10" s="1"/>
  <c r="C12" i="10"/>
  <c r="G12" i="10" s="1"/>
  <c r="C26" i="10"/>
  <c r="G26" i="10" s="1"/>
  <c r="C18" i="10"/>
  <c r="G18" i="10" s="1"/>
  <c r="C25" i="10"/>
  <c r="G25" i="10" s="1"/>
  <c r="C17" i="10"/>
  <c r="G17" i="10" s="1"/>
  <c r="C27" i="10"/>
  <c r="G27" i="10" s="1"/>
  <c r="C23" i="10"/>
  <c r="G23" i="10" s="1"/>
  <c r="C19" i="10"/>
  <c r="G19" i="10" s="1"/>
  <c r="C15" i="10"/>
  <c r="G15" i="10" s="1"/>
  <c r="C22" i="10"/>
  <c r="G22" i="10" s="1"/>
  <c r="C14" i="10"/>
  <c r="G14" i="10" s="1"/>
  <c r="C29" i="10"/>
  <c r="G29" i="10" s="1"/>
  <c r="C21" i="10"/>
  <c r="G21" i="10" s="1"/>
  <c r="C13" i="10"/>
  <c r="G13" i="10" s="1"/>
  <c r="D25" i="10"/>
  <c r="D23" i="10"/>
  <c r="D21" i="10"/>
  <c r="D19" i="10"/>
  <c r="D17" i="10"/>
  <c r="D15" i="10"/>
  <c r="D13" i="10"/>
  <c r="D14" i="10"/>
  <c r="D28" i="10"/>
  <c r="D26" i="10"/>
  <c r="D24" i="10"/>
  <c r="D22" i="10"/>
  <c r="D20" i="10"/>
  <c r="D18" i="10"/>
  <c r="D16" i="10"/>
  <c r="D12" i="10"/>
  <c r="H12" i="10" s="1"/>
  <c r="D29" i="10"/>
  <c r="D27" i="10"/>
  <c r="D31" i="10"/>
  <c r="H31" i="10" s="1"/>
  <c r="D30" i="10"/>
  <c r="H30" i="10" s="1"/>
  <c r="C33" i="10"/>
  <c r="C30" i="10"/>
  <c r="G30" i="10" s="1"/>
  <c r="C31" i="10"/>
  <c r="G31" i="10" s="1"/>
  <c r="B34" i="10"/>
  <c r="B59" i="10" s="1"/>
  <c r="G32" i="10"/>
  <c r="J32" i="10"/>
  <c r="F57" i="10" s="1"/>
  <c r="C43" i="10"/>
  <c r="C37" i="10"/>
  <c r="C40" i="10"/>
  <c r="C47" i="10"/>
  <c r="C50" i="10"/>
  <c r="C36" i="10"/>
  <c r="C35" i="10"/>
  <c r="C51" i="10"/>
  <c r="C41" i="10"/>
  <c r="C38" i="10"/>
  <c r="C42" i="10"/>
  <c r="C49" i="10"/>
  <c r="C45" i="10"/>
  <c r="C44" i="10"/>
  <c r="C34" i="10"/>
  <c r="C48" i="10"/>
  <c r="C46" i="10"/>
  <c r="C39" i="10"/>
  <c r="K32" i="10"/>
  <c r="G57" i="10" s="1"/>
  <c r="B38" i="10"/>
  <c r="B63" i="10" s="1"/>
  <c r="B41" i="10"/>
  <c r="B66" i="10" s="1"/>
  <c r="B47" i="10"/>
  <c r="B72" i="10" s="1"/>
  <c r="B44" i="10"/>
  <c r="B69" i="10" s="1"/>
  <c r="F32" i="10"/>
  <c r="E32" i="10" s="1"/>
  <c r="B50" i="10"/>
  <c r="B75" i="10" s="1"/>
  <c r="B37" i="10"/>
  <c r="B62" i="10" s="1"/>
  <c r="B39" i="10"/>
  <c r="B64" i="10" s="1"/>
  <c r="B36" i="10"/>
  <c r="B61" i="10" s="1"/>
  <c r="B49" i="10"/>
  <c r="B74" i="10" s="1"/>
  <c r="B48" i="10"/>
  <c r="B73" i="10" s="1"/>
  <c r="B42" i="10"/>
  <c r="B67" i="10" s="1"/>
  <c r="B35" i="10"/>
  <c r="B60" i="10" s="1"/>
  <c r="B45" i="10"/>
  <c r="B70" i="10" s="1"/>
  <c r="B40" i="10"/>
  <c r="B65" i="10" s="1"/>
  <c r="B46" i="10"/>
  <c r="B71" i="10" s="1"/>
  <c r="B43" i="10"/>
  <c r="B68" i="10" s="1"/>
  <c r="B51" i="10"/>
  <c r="B76" i="10" s="1"/>
  <c r="D48" i="10"/>
  <c r="D49" i="10"/>
  <c r="D41" i="10"/>
  <c r="D33" i="10"/>
  <c r="D46" i="10"/>
  <c r="D38" i="10"/>
  <c r="D42" i="10"/>
  <c r="D45" i="10"/>
  <c r="D37" i="10"/>
  <c r="D50" i="10"/>
  <c r="D34" i="10"/>
  <c r="H32" i="10"/>
  <c r="D47" i="10"/>
  <c r="D51" i="10"/>
  <c r="D36" i="10"/>
  <c r="D44" i="10"/>
  <c r="D35" i="10"/>
  <c r="D40" i="10"/>
  <c r="D39" i="10"/>
  <c r="D43" i="10"/>
  <c r="I32" i="10"/>
  <c r="E57" i="10" s="1"/>
  <c r="H34" i="10" l="1"/>
  <c r="D59" i="10"/>
  <c r="G48" i="10"/>
  <c r="C73" i="10"/>
  <c r="G49" i="10"/>
  <c r="C74" i="10"/>
  <c r="G51" i="10"/>
  <c r="C76" i="10"/>
  <c r="G47" i="10"/>
  <c r="C72" i="10"/>
  <c r="H40" i="10"/>
  <c r="D65" i="10"/>
  <c r="H51" i="10"/>
  <c r="D76" i="10"/>
  <c r="H50" i="10"/>
  <c r="D75" i="10"/>
  <c r="H38" i="10"/>
  <c r="D63" i="10"/>
  <c r="H49" i="10"/>
  <c r="D74" i="10"/>
  <c r="G34" i="10"/>
  <c r="C59" i="10"/>
  <c r="G42" i="10"/>
  <c r="C67" i="10"/>
  <c r="G35" i="10"/>
  <c r="C60" i="10"/>
  <c r="G40" i="10"/>
  <c r="C65" i="10"/>
  <c r="G33" i="10"/>
  <c r="C58" i="10"/>
  <c r="H39" i="10"/>
  <c r="D64" i="10"/>
  <c r="H41" i="10"/>
  <c r="D66" i="10"/>
  <c r="H35" i="10"/>
  <c r="D60" i="10"/>
  <c r="H46" i="10"/>
  <c r="D71" i="10"/>
  <c r="G39" i="10"/>
  <c r="C64" i="10"/>
  <c r="G44" i="10"/>
  <c r="C69" i="10"/>
  <c r="G38" i="10"/>
  <c r="C63" i="10"/>
  <c r="G36" i="10"/>
  <c r="C61" i="10"/>
  <c r="G37" i="10"/>
  <c r="C62" i="10"/>
  <c r="H36" i="10"/>
  <c r="D61" i="10"/>
  <c r="H42" i="10"/>
  <c r="D67" i="10"/>
  <c r="H47" i="10"/>
  <c r="D72" i="10"/>
  <c r="H37" i="10"/>
  <c r="D62" i="10"/>
  <c r="H48" i="10"/>
  <c r="D73" i="10"/>
  <c r="H43" i="10"/>
  <c r="D68" i="10"/>
  <c r="H44" i="10"/>
  <c r="D69" i="10"/>
  <c r="H45" i="10"/>
  <c r="D70" i="10"/>
  <c r="H33" i="10"/>
  <c r="D58" i="10"/>
  <c r="G46" i="10"/>
  <c r="C71" i="10"/>
  <c r="G45" i="10"/>
  <c r="C70" i="10"/>
  <c r="G41" i="10"/>
  <c r="C66" i="10"/>
  <c r="G50" i="10"/>
  <c r="C75" i="10"/>
  <c r="G43" i="10"/>
  <c r="C68" i="10"/>
  <c r="K31" i="10"/>
  <c r="K39" i="10"/>
  <c r="G64" i="10" s="1"/>
  <c r="K36" i="10"/>
  <c r="G61" i="10" s="1"/>
  <c r="J48" i="10"/>
  <c r="F73" i="10" s="1"/>
  <c r="J51" i="10"/>
  <c r="F76" i="10" s="1"/>
  <c r="K43" i="10"/>
  <c r="G68" i="10" s="1"/>
  <c r="K42" i="10"/>
  <c r="G67" i="10" s="1"/>
  <c r="J36" i="10"/>
  <c r="F61" i="10" s="1"/>
  <c r="J41" i="10"/>
  <c r="F66" i="10" s="1"/>
  <c r="K46" i="10"/>
  <c r="G71" i="10" s="1"/>
  <c r="J45" i="10"/>
  <c r="F70" i="10" s="1"/>
  <c r="J39" i="10"/>
  <c r="F64" i="10" s="1"/>
  <c r="K44" i="10"/>
  <c r="G69" i="10" s="1"/>
  <c r="K45" i="10"/>
  <c r="G70" i="10" s="1"/>
  <c r="F46" i="10"/>
  <c r="I46" i="10"/>
  <c r="E71" i="10" s="1"/>
  <c r="F39" i="10"/>
  <c r="I39" i="10"/>
  <c r="E64" i="10" s="1"/>
  <c r="F44" i="10"/>
  <c r="I44" i="10"/>
  <c r="E69" i="10" s="1"/>
  <c r="F40" i="10"/>
  <c r="I40" i="10"/>
  <c r="E65" i="10" s="1"/>
  <c r="F48" i="10"/>
  <c r="I48" i="10"/>
  <c r="E73" i="10" s="1"/>
  <c r="F37" i="10"/>
  <c r="I37" i="10"/>
  <c r="E62" i="10" s="1"/>
  <c r="F47" i="10"/>
  <c r="I47" i="10"/>
  <c r="E72" i="10" s="1"/>
  <c r="J40" i="10"/>
  <c r="F65" i="10" s="1"/>
  <c r="J35" i="10"/>
  <c r="F60" i="10" s="1"/>
  <c r="J38" i="10"/>
  <c r="F63" i="10" s="1"/>
  <c r="F51" i="10"/>
  <c r="I51" i="10"/>
  <c r="E76" i="10" s="1"/>
  <c r="F49" i="10"/>
  <c r="I49" i="10"/>
  <c r="E74" i="10" s="1"/>
  <c r="F50" i="10"/>
  <c r="I50" i="10"/>
  <c r="E75" i="10" s="1"/>
  <c r="F41" i="10"/>
  <c r="I41" i="10"/>
  <c r="E66" i="10" s="1"/>
  <c r="F34" i="10"/>
  <c r="I34" i="10"/>
  <c r="E59" i="10" s="1"/>
  <c r="J33" i="10"/>
  <c r="F58" i="10" s="1"/>
  <c r="J37" i="10"/>
  <c r="F62" i="10" s="1"/>
  <c r="J47" i="10"/>
  <c r="F72" i="10" s="1"/>
  <c r="J50" i="10"/>
  <c r="F75" i="10" s="1"/>
  <c r="J34" i="10"/>
  <c r="F59" i="10" s="1"/>
  <c r="K40" i="10"/>
  <c r="G65" i="10" s="1"/>
  <c r="K48" i="10"/>
  <c r="G73" i="10" s="1"/>
  <c r="K35" i="10"/>
  <c r="G60" i="10" s="1"/>
  <c r="K38" i="10"/>
  <c r="G63" i="10" s="1"/>
  <c r="K41" i="10"/>
  <c r="G66" i="10" s="1"/>
  <c r="F42" i="10"/>
  <c r="I42" i="10"/>
  <c r="E67" i="10" s="1"/>
  <c r="J42" i="10"/>
  <c r="F67" i="10" s="1"/>
  <c r="K49" i="10"/>
  <c r="G74" i="10" s="1"/>
  <c r="F33" i="10"/>
  <c r="I33" i="10"/>
  <c r="E58" i="10" s="1"/>
  <c r="K51" i="10"/>
  <c r="G76" i="10" s="1"/>
  <c r="F45" i="10"/>
  <c r="I45" i="10"/>
  <c r="E70" i="10" s="1"/>
  <c r="F43" i="10"/>
  <c r="I43" i="10"/>
  <c r="E68" i="10" s="1"/>
  <c r="F35" i="10"/>
  <c r="I35" i="10"/>
  <c r="E60" i="10" s="1"/>
  <c r="F36" i="10"/>
  <c r="I36" i="10"/>
  <c r="E61" i="10" s="1"/>
  <c r="F38" i="10"/>
  <c r="I38" i="10"/>
  <c r="E63" i="10" s="1"/>
  <c r="J17" i="10"/>
  <c r="J44" i="10"/>
  <c r="F69" i="10" s="1"/>
  <c r="J49" i="10"/>
  <c r="F74" i="10" s="1"/>
  <c r="J43" i="10"/>
  <c r="F68" i="10" s="1"/>
  <c r="J46" i="10"/>
  <c r="F71" i="10" s="1"/>
  <c r="K47" i="10"/>
  <c r="G72" i="10" s="1"/>
  <c r="K33" i="10"/>
  <c r="G58" i="10" s="1"/>
  <c r="K50" i="10"/>
  <c r="G75" i="10" s="1"/>
  <c r="K34" i="10"/>
  <c r="G59" i="10" s="1"/>
  <c r="K37" i="10"/>
  <c r="G62" i="10" s="1"/>
  <c r="J29" i="10"/>
  <c r="J18" i="10"/>
  <c r="J19" i="10"/>
  <c r="K16" i="10"/>
  <c r="H16" i="10"/>
  <c r="K24" i="10"/>
  <c r="H24" i="10"/>
  <c r="K13" i="10"/>
  <c r="H13" i="10"/>
  <c r="K21" i="10"/>
  <c r="H21" i="10"/>
  <c r="J23" i="10"/>
  <c r="J12" i="10"/>
  <c r="J20" i="10"/>
  <c r="J21" i="10"/>
  <c r="K12" i="10"/>
  <c r="K22" i="10"/>
  <c r="H22" i="10"/>
  <c r="K19" i="10"/>
  <c r="H19" i="10"/>
  <c r="F29" i="10"/>
  <c r="I29" i="10"/>
  <c r="K27" i="10"/>
  <c r="H27" i="10"/>
  <c r="K18" i="10"/>
  <c r="H18" i="10"/>
  <c r="K26" i="10"/>
  <c r="H26" i="10"/>
  <c r="K15" i="10"/>
  <c r="H15" i="10"/>
  <c r="K23" i="10"/>
  <c r="H23" i="10"/>
  <c r="J13" i="10"/>
  <c r="J25" i="10"/>
  <c r="J14" i="10"/>
  <c r="J22" i="10"/>
  <c r="J26" i="10"/>
  <c r="K14" i="10"/>
  <c r="H14" i="10"/>
  <c r="F28" i="10"/>
  <c r="I28" i="10"/>
  <c r="K29" i="10"/>
  <c r="H29" i="10"/>
  <c r="K20" i="10"/>
  <c r="H20" i="10"/>
  <c r="K28" i="10"/>
  <c r="H28" i="10"/>
  <c r="K17" i="10"/>
  <c r="H17" i="10"/>
  <c r="K25" i="10"/>
  <c r="H25" i="10"/>
  <c r="J15" i="10"/>
  <c r="J27" i="10"/>
  <c r="J16" i="10"/>
  <c r="J24" i="10"/>
  <c r="J28" i="10"/>
  <c r="J31" i="10"/>
  <c r="F31" i="10"/>
  <c r="I31" i="10"/>
  <c r="F30" i="10"/>
  <c r="I30" i="10"/>
  <c r="E33" i="10"/>
  <c r="E34" i="10" s="1"/>
  <c r="E35" i="10" s="1"/>
  <c r="E36" i="10" s="1"/>
  <c r="E37" i="10" s="1"/>
  <c r="E38" i="10" s="1"/>
  <c r="E39" i="10" s="1"/>
  <c r="E40" i="10" s="1"/>
  <c r="E41" i="10" s="1"/>
  <c r="E42" i="10" s="1"/>
  <c r="E43" i="10" s="1"/>
  <c r="E44" i="10" s="1"/>
  <c r="E45" i="10" s="1"/>
  <c r="E46" i="10" s="1"/>
  <c r="E47" i="10" s="1"/>
  <c r="E48" i="10" s="1"/>
  <c r="E49" i="10" s="1"/>
  <c r="E50" i="10" s="1"/>
  <c r="E51" i="10" s="1"/>
  <c r="E52" i="10" s="1"/>
  <c r="E31" i="10"/>
  <c r="E29" i="10" s="1"/>
  <c r="E27" i="10" s="1"/>
  <c r="E25" i="10" s="1"/>
  <c r="E23" i="10" s="1"/>
  <c r="E21" i="10" s="1"/>
  <c r="E19" i="10" s="1"/>
  <c r="E17" i="10" s="1"/>
  <c r="E15" i="10" s="1"/>
  <c r="E13" i="10" s="1"/>
  <c r="E30" i="10"/>
  <c r="E28" i="10" s="1"/>
  <c r="E26" i="10" s="1"/>
  <c r="E24" i="10" s="1"/>
  <c r="E22" i="10" s="1"/>
  <c r="E20" i="10" s="1"/>
  <c r="E18" i="10" s="1"/>
  <c r="E16" i="10" s="1"/>
  <c r="E14" i="10" s="1"/>
  <c r="E12" i="10" s="1"/>
  <c r="E11" i="10" s="1"/>
  <c r="K30" i="10"/>
  <c r="J30" i="10"/>
  <c r="F26" i="10" l="1"/>
  <c r="I26" i="10"/>
  <c r="F27" i="10"/>
  <c r="I27" i="10"/>
  <c r="F25" i="10" l="1"/>
  <c r="I25" i="10"/>
  <c r="F24" i="10"/>
  <c r="I24" i="10"/>
  <c r="F22" i="10" l="1"/>
  <c r="I22" i="10"/>
  <c r="F23" i="10"/>
  <c r="I23" i="10"/>
  <c r="F21" i="10" l="1"/>
  <c r="I21" i="10"/>
  <c r="F20" i="10"/>
  <c r="I20" i="10"/>
  <c r="F18" i="10" l="1"/>
  <c r="I18" i="10"/>
  <c r="F19" i="10"/>
  <c r="I19" i="10"/>
  <c r="F17" i="10" l="1"/>
  <c r="I17" i="10"/>
  <c r="F16" i="10"/>
  <c r="I16" i="10"/>
  <c r="F14" i="10" l="1"/>
  <c r="I14" i="10"/>
  <c r="F15" i="10"/>
  <c r="I15" i="10"/>
  <c r="F13" i="10" l="1"/>
  <c r="I13" i="10"/>
  <c r="F12" i="10"/>
  <c r="I12" i="10"/>
</calcChain>
</file>

<file path=xl/sharedStrings.xml><?xml version="1.0" encoding="utf-8"?>
<sst xmlns="http://schemas.openxmlformats.org/spreadsheetml/2006/main" count="536" uniqueCount="215">
  <si>
    <t>Urban Areas</t>
  </si>
  <si>
    <t>Logan</t>
  </si>
  <si>
    <t>Ogden/Layton</t>
  </si>
  <si>
    <t>SLC/West Valley City</t>
  </si>
  <si>
    <t>Provo/Orem</t>
  </si>
  <si>
    <t>Notes</t>
  </si>
  <si>
    <t>Population_2010</t>
  </si>
  <si>
    <t>Total applied water of urban region (PCU*Pop'n)</t>
  </si>
  <si>
    <t>Residential_fraction</t>
  </si>
  <si>
    <t>Source</t>
  </si>
  <si>
    <t xml:space="preserve">Residential </t>
  </si>
  <si>
    <t>Nonresidential</t>
  </si>
  <si>
    <t>Long run</t>
  </si>
  <si>
    <t>Short Run</t>
  </si>
  <si>
    <t>Summer</t>
  </si>
  <si>
    <t>Winter</t>
  </si>
  <si>
    <t>Salt Lake City Price Elasticities</t>
  </si>
  <si>
    <t>Short run for droughts.  Greater long run because consermers switch to more-efficient appliances…</t>
  </si>
  <si>
    <t>Nonresidential consumers more responsive to changes in price.</t>
  </si>
  <si>
    <t>* CA statewide winter long-term elasticity = -0.15 and summer = -0.35.  Intermediate is average at -0.25.  So water consumption in UT is much more elastic than California.</t>
  </si>
  <si>
    <t>Logan Urbanized Area</t>
  </si>
  <si>
    <t>Hyde Park</t>
  </si>
  <si>
    <t xml:space="preserve">Hyrum </t>
  </si>
  <si>
    <t>Millville</t>
  </si>
  <si>
    <t>Nibley</t>
  </si>
  <si>
    <t>North Logan</t>
  </si>
  <si>
    <t>Providence</t>
  </si>
  <si>
    <t>River Heights</t>
  </si>
  <si>
    <t>Smithfield</t>
  </si>
  <si>
    <t>Wellsville</t>
  </si>
  <si>
    <t>Ogden/Layton Urbanized Area</t>
  </si>
  <si>
    <t>Bountiful</t>
  </si>
  <si>
    <t>Brigham City</t>
  </si>
  <si>
    <t>Centerville</t>
  </si>
  <si>
    <t>Clearfield</t>
  </si>
  <si>
    <t>Clinton</t>
  </si>
  <si>
    <t>Farmington</t>
  </si>
  <si>
    <t>Farr West</t>
  </si>
  <si>
    <t>Fruit Heights</t>
  </si>
  <si>
    <t>Harrisville</t>
  </si>
  <si>
    <t>Hooper</t>
  </si>
  <si>
    <t>Kaysville</t>
  </si>
  <si>
    <t>Layton</t>
  </si>
  <si>
    <t>Marriott-Slaterville</t>
  </si>
  <si>
    <t>North Ogden</t>
  </si>
  <si>
    <t>North Salt Lake</t>
  </si>
  <si>
    <t>Ogden</t>
  </si>
  <si>
    <t>Perry</t>
  </si>
  <si>
    <t>Plain City</t>
  </si>
  <si>
    <t>Pleasant View</t>
  </si>
  <si>
    <t>Riverdale</t>
  </si>
  <si>
    <t>Roy</t>
  </si>
  <si>
    <t>South Ogden</t>
  </si>
  <si>
    <t>South Weber</t>
  </si>
  <si>
    <t>Sunset</t>
  </si>
  <si>
    <t>Syracuse</t>
  </si>
  <si>
    <t>Uintah</t>
  </si>
  <si>
    <t>Washington Terrace</t>
  </si>
  <si>
    <t>West Bountiful</t>
  </si>
  <si>
    <t>West Haven</t>
  </si>
  <si>
    <t>West Point</t>
  </si>
  <si>
    <t>Willard</t>
  </si>
  <si>
    <t>Woods Cross</t>
  </si>
  <si>
    <t>2010 Population</t>
  </si>
  <si>
    <t>% growth since 2000</t>
  </si>
  <si>
    <t>Salt Lake City / West Valley City Urbanized Area</t>
  </si>
  <si>
    <t>Bluffdale</t>
  </si>
  <si>
    <t>Cottonwood Heights</t>
  </si>
  <si>
    <t>Draper</t>
  </si>
  <si>
    <t>Granite</t>
  </si>
  <si>
    <t>Herriman</t>
  </si>
  <si>
    <t>Holladay</t>
  </si>
  <si>
    <t>Kearns</t>
  </si>
  <si>
    <t>Magna</t>
  </si>
  <si>
    <t>Midvale</t>
  </si>
  <si>
    <t>Millcreek</t>
  </si>
  <si>
    <t>Murray</t>
  </si>
  <si>
    <t>Riverton</t>
  </si>
  <si>
    <t>Salt Lake City</t>
  </si>
  <si>
    <t>Sandy</t>
  </si>
  <si>
    <t>South Jordan</t>
  </si>
  <si>
    <t>Taylorsville</t>
  </si>
  <si>
    <t>West Jordan</t>
  </si>
  <si>
    <t>West Valley</t>
  </si>
  <si>
    <t>White City</t>
  </si>
  <si>
    <t>Provo / Orem Urbanized Area</t>
  </si>
  <si>
    <t>Alpine</t>
  </si>
  <si>
    <t>American Fork</t>
  </si>
  <si>
    <t>Cedar Hills</t>
  </si>
  <si>
    <t>Eagle Mountain</t>
  </si>
  <si>
    <t>Elk Ridge</t>
  </si>
  <si>
    <t>Highland</t>
  </si>
  <si>
    <t>Lehi</t>
  </si>
  <si>
    <t>Lindon</t>
  </si>
  <si>
    <t>Mapleton</t>
  </si>
  <si>
    <t>Orem</t>
  </si>
  <si>
    <t>Palmyra</t>
  </si>
  <si>
    <t>Payson</t>
  </si>
  <si>
    <t>Pleasant Grove</t>
  </si>
  <si>
    <t>Provo</t>
  </si>
  <si>
    <t>Salem</t>
  </si>
  <si>
    <t>Saratoga Springs</t>
  </si>
  <si>
    <t>Spanish Fork</t>
  </si>
  <si>
    <t>Spring Lake</t>
  </si>
  <si>
    <t>Springville</t>
  </si>
  <si>
    <t>Vineyard</t>
  </si>
  <si>
    <t>Woodland Hills</t>
  </si>
  <si>
    <t>* Utah 2010 population = 2,763,885</t>
  </si>
  <si>
    <t>Population Density, avg / mi2</t>
  </si>
  <si>
    <t>Area, mi2</t>
  </si>
  <si>
    <t>South Salt Lake</t>
  </si>
  <si>
    <t>South Willard</t>
  </si>
  <si>
    <t>Logan, Ogden, SLC, Provo pop'n =</t>
  </si>
  <si>
    <t>Percent of Utah's total population</t>
  </si>
  <si>
    <t>Base</t>
  </si>
  <si>
    <t>Gallons</t>
  </si>
  <si>
    <t>1st Block</t>
  </si>
  <si>
    <t>per gal</t>
  </si>
  <si>
    <t>up to</t>
  </si>
  <si>
    <t>2nd Block</t>
  </si>
  <si>
    <t>3rd Block</t>
  </si>
  <si>
    <t>4th Block</t>
  </si>
  <si>
    <t>n/a</t>
  </si>
  <si>
    <t xml:space="preserve">   unlimted            </t>
  </si>
  <si>
    <t xml:space="preserve">   unlimited           </t>
  </si>
  <si>
    <t xml:space="preserve">   Unlimited           </t>
  </si>
  <si>
    <t>Elk Ridge Corporation</t>
  </si>
  <si>
    <t xml:space="preserve">   9000-10000          </t>
  </si>
  <si>
    <t xml:space="preserve">   11000-14000         </t>
  </si>
  <si>
    <t xml:space="preserve">   15000-24000         </t>
  </si>
  <si>
    <t xml:space="preserve">   above               </t>
  </si>
  <si>
    <t xml:space="preserve">   unlimited winter    </t>
  </si>
  <si>
    <t xml:space="preserve">   unlimited summer    </t>
  </si>
  <si>
    <t>gallons</t>
  </si>
  <si>
    <t>af</t>
  </si>
  <si>
    <t xml:space="preserve">   any                 </t>
  </si>
  <si>
    <t xml:space="preserve">   &gt;10000              </t>
  </si>
  <si>
    <t>SLC (http://www.slcgov.com/utilities/public-utilities-finance)</t>
  </si>
  <si>
    <t>per gallon</t>
  </si>
  <si>
    <t>gallons/per af</t>
  </si>
  <si>
    <t>per af</t>
  </si>
  <si>
    <t>kilogallons (1000 gallons)</t>
  </si>
  <si>
    <t>$/af</t>
  </si>
  <si>
    <t>Water Price, $/af</t>
  </si>
  <si>
    <t>Population Weighted Avg</t>
  </si>
  <si>
    <t>%age of population represented</t>
  </si>
  <si>
    <t>Est gallons per capita per day - total combined (all parcel types)</t>
  </si>
  <si>
    <t>2010 Water use, gallons/person/day</t>
  </si>
  <si>
    <t>Calculated</t>
  </si>
  <si>
    <t xml:space="preserve"> </t>
  </si>
  <si>
    <t>Total Population</t>
  </si>
  <si>
    <t>Percent of population</t>
  </si>
  <si>
    <t>Water use, gallons/person/day</t>
  </si>
  <si>
    <t>Water Use pop'n</t>
  </si>
  <si>
    <t>Use pop'n weighted Avg</t>
  </si>
  <si>
    <t>Q_2010 (af)</t>
  </si>
  <si>
    <t>Price_2010 ($/af)</t>
  </si>
  <si>
    <t>PCU_2010 (gpcd)</t>
  </si>
  <si>
    <t>Population weighted average residential water price 2010 for majority of water agencies</t>
  </si>
  <si>
    <t>Q_2010 (gpd)</t>
  </si>
  <si>
    <t>POT_Population</t>
  </si>
  <si>
    <t>GPCD_ALL_TOTAL</t>
  </si>
  <si>
    <t>Res%</t>
  </si>
  <si>
    <t>Inst%</t>
  </si>
  <si>
    <t>Ind%</t>
  </si>
  <si>
    <t>Comm%</t>
  </si>
  <si>
    <t>Draper City Water System</t>
  </si>
  <si>
    <t>Draper City Water System (Utah Co.)</t>
  </si>
  <si>
    <t>Draper Irrigation Company (water Pro)</t>
  </si>
  <si>
    <t>Holliday Water Company</t>
  </si>
  <si>
    <t>Bear River Water Conservancy District - South Wilard Water Co.</t>
  </si>
  <si>
    <t>Granger-Hunter Improvemnet District</t>
  </si>
  <si>
    <t>Part of Salt Lake City PU (and a little in Jordan Valley)</t>
  </si>
  <si>
    <t>Part of Salt Lake City PU</t>
  </si>
  <si>
    <t>Total urban applied water as daily per capita water use (population weighted average).  Maupin et al. 2014 USGS estimates statewide average of 167 gpcd for residential users (excludes industrial, commercial, and institutional).  My residenital only are 169, 185, 148, and 148 for Logan, Ogden, SLC, and Provo, respectively.</t>
  </si>
  <si>
    <t>Summer_fraction</t>
  </si>
  <si>
    <t>Winter_fraction</t>
  </si>
  <si>
    <t>Intermediate_fraction</t>
  </si>
  <si>
    <t>Intermediate</t>
  </si>
  <si>
    <t>I estimated this from summer and winter.</t>
  </si>
  <si>
    <t>Deliveries</t>
  </si>
  <si>
    <t>EconLoss_sum, $</t>
  </si>
  <si>
    <t>EconLoss_win, $</t>
  </si>
  <si>
    <t>EconLoss_int, $</t>
  </si>
  <si>
    <t>Constant_int</t>
  </si>
  <si>
    <t>Constant_sum</t>
  </si>
  <si>
    <t>Constant_wint</t>
  </si>
  <si>
    <t>Q_sum, af</t>
  </si>
  <si>
    <t>Q_wint, af</t>
  </si>
  <si>
    <t>Q_int, af</t>
  </si>
  <si>
    <t>Ind_Comm_Inst_fraction</t>
  </si>
  <si>
    <t>2010 Price</t>
  </si>
  <si>
    <t>a) Logan, b) Ogden, c) Salt Lake City, d) Provo/Orem</t>
  </si>
  <si>
    <t>Economic Loss, $</t>
  </si>
  <si>
    <t>Q, af</t>
  </si>
  <si>
    <t>Summer = may - sept</t>
  </si>
  <si>
    <t>Winter = nov - mar</t>
  </si>
  <si>
    <t>Intermediate = oct, apr</t>
  </si>
  <si>
    <t>months</t>
  </si>
  <si>
    <t>Season_fraction</t>
  </si>
  <si>
    <t>ECONOMIC LOSS FUNCTIONS FOR RESIDENTIAL, INDUSTRIAL, COMMERCIAL, AND INSTITUTIONAL DEMANDS</t>
  </si>
  <si>
    <t>Water consumption elastic to price in summer.  Average water use increases dramatically in summer.  Coleman's summer elasticity was -1.445, but I changed it because it crossed the other lines.</t>
  </si>
  <si>
    <t>$/taf</t>
  </si>
  <si>
    <t>Q_sum, taf</t>
  </si>
  <si>
    <t>Q_wint, taf</t>
  </si>
  <si>
    <t>Q_int, taf</t>
  </si>
  <si>
    <t>Fall, Spring</t>
  </si>
  <si>
    <t>Only using 1st tier.</t>
  </si>
  <si>
    <t>RESIDENTIAL WATER DEMAND FUNCTION</t>
  </si>
  <si>
    <t>(US. Census Bureau 2012)</t>
  </si>
  <si>
    <t>(Jackson-Smith, pers. comm., 2015)</t>
  </si>
  <si>
    <t>DWR2010ConsolidatedFINALSHARE.xlsx (Jackson-Smith 2017)</t>
  </si>
  <si>
    <t>Changed summer so demand functions didn’t overlap, estimated parameter</t>
  </si>
  <si>
    <t>(Jenkins et al. 2003)  Ratios from CA.  Used for residential only</t>
  </si>
  <si>
    <t>(Coleman 2009)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</si>
</sst>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8" formatCode="&quot;$&quot;#,##0.00_);[Red]\(&quot;$&quot;#,##0.00\)"/>
    <numFmt numFmtId="44" formatCode="_(&quot;$&quot;* #,##0.00_);_(&quot;$&quot;* \(#,##0.00\);_(&quot;$&quot;* &quot;-&quot;??_);_(@_)"/>
    <numFmt numFmtId="164" formatCode="&quot;$&quot;#,##0.00"/>
    <numFmt numFmtId="165" formatCode="0.0"/>
    <numFmt numFmtId="166" formatCode="0.000"/>
    <numFmt numFmtId="167" formatCode="0.000000"/>
  </numFmts>
  <fonts count="12">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9"/>
      <name val="Arial"/>
      <family val="2"/>
    </font>
    <font>
      <sz val="9"/>
      <name val="Arial Unicode MS"/>
      <family val="2"/>
    </font>
    <font>
      <b/>
      <sz val="11"/>
      <color rgb="FFFF0000"/>
      <name val="Calibri"/>
      <family val="2"/>
      <scheme val="minor"/>
    </font>
    <font>
      <b/>
      <sz val="11"/>
      <color theme="3"/>
      <name val="Calibri"/>
      <family val="2"/>
      <scheme val="minor"/>
    </font>
    <font>
      <sz val="11"/>
      <name val="Calibri"/>
      <family val="2"/>
      <scheme val="minor"/>
    </font>
    <font>
      <b/>
      <sz val="11"/>
      <color theme="2" tint="-0.749992370372631"/>
      <name val="Calibri"/>
      <family val="2"/>
      <scheme val="minor"/>
    </font>
    <font>
      <b/>
      <sz val="11"/>
      <color theme="9" tint="-0.499984740745262"/>
      <name val="Calibri"/>
      <family val="2"/>
      <scheme val="minor"/>
    </font>
    <font>
      <i/>
      <sz val="11"/>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44" fontId="1" fillId="0" borderId="0" applyFont="0" applyFill="0" applyBorder="0" applyAlignment="0" applyProtection="0"/>
  </cellStyleXfs>
  <cellXfs count="81">
    <xf numFmtId="0" fontId="0" fillId="0" borderId="0" xfId="0"/>
    <xf numFmtId="0" fontId="3" fillId="0" borderId="0" xfId="0" applyFont="1" applyAlignment="1">
      <alignment horizontal="right"/>
    </xf>
    <xf numFmtId="0" fontId="3" fillId="0" borderId="0" xfId="0" applyFont="1"/>
    <xf numFmtId="0" fontId="0" fillId="0" borderId="0" xfId="0" applyAlignment="1">
      <alignment wrapText="1"/>
    </xf>
    <xf numFmtId="0" fontId="0" fillId="0" borderId="0" xfId="0" applyFont="1" applyAlignment="1">
      <alignment horizontal="right"/>
    </xf>
    <xf numFmtId="0" fontId="2" fillId="0" borderId="0" xfId="0" applyFont="1"/>
    <xf numFmtId="3" fontId="0" fillId="0" borderId="0" xfId="0" applyNumberFormat="1"/>
    <xf numFmtId="0" fontId="0" fillId="0" borderId="1" xfId="0" applyBorder="1" applyAlignment="1">
      <alignment horizontal="center"/>
    </xf>
    <xf numFmtId="44" fontId="4" fillId="0" borderId="1" xfId="1" applyFont="1" applyBorder="1" applyAlignment="1">
      <alignment wrapText="1"/>
    </xf>
    <xf numFmtId="0" fontId="4" fillId="0" borderId="1" xfId="0" applyFont="1" applyBorder="1" applyAlignment="1">
      <alignment wrapText="1"/>
    </xf>
    <xf numFmtId="3" fontId="4" fillId="0" borderId="1" xfId="0" applyNumberFormat="1" applyFont="1" applyBorder="1" applyAlignment="1">
      <alignment wrapText="1"/>
    </xf>
    <xf numFmtId="44" fontId="5" fillId="0" borderId="1" xfId="1" applyFont="1" applyBorder="1"/>
    <xf numFmtId="1" fontId="5" fillId="0" borderId="1" xfId="1" applyNumberFormat="1" applyFont="1" applyBorder="1"/>
    <xf numFmtId="1" fontId="5" fillId="0" borderId="1" xfId="0" applyNumberFormat="1" applyFont="1" applyBorder="1"/>
    <xf numFmtId="8" fontId="0" fillId="0" borderId="0" xfId="0" applyNumberFormat="1"/>
    <xf numFmtId="164" fontId="0" fillId="0" borderId="0" xfId="0" applyNumberFormat="1"/>
    <xf numFmtId="44" fontId="4" fillId="0" borderId="1" xfId="0" applyNumberFormat="1" applyFont="1" applyBorder="1" applyAlignment="1">
      <alignment wrapText="1"/>
    </xf>
    <xf numFmtId="2" fontId="0" fillId="0" borderId="0" xfId="0" applyNumberFormat="1"/>
    <xf numFmtId="0" fontId="6" fillId="0" borderId="0" xfId="0" applyFont="1"/>
    <xf numFmtId="2" fontId="3" fillId="0" borderId="2" xfId="0" applyNumberFormat="1" applyFont="1" applyBorder="1"/>
    <xf numFmtId="0" fontId="3" fillId="0" borderId="2" xfId="0" applyFont="1" applyBorder="1" applyAlignment="1">
      <alignment horizontal="left"/>
    </xf>
    <xf numFmtId="2" fontId="2" fillId="0" borderId="0" xfId="0" applyNumberFormat="1" applyFont="1"/>
    <xf numFmtId="164" fontId="2" fillId="0" borderId="0" xfId="0" applyNumberFormat="1" applyFont="1"/>
    <xf numFmtId="0" fontId="0" fillId="0" borderId="0" xfId="0" applyBorder="1"/>
    <xf numFmtId="0" fontId="0" fillId="0" borderId="0" xfId="0" applyBorder="1" applyAlignment="1">
      <alignment horizontal="center"/>
    </xf>
    <xf numFmtId="44" fontId="4" fillId="0" borderId="0" xfId="1" applyFont="1" applyBorder="1" applyAlignment="1">
      <alignment wrapText="1"/>
    </xf>
    <xf numFmtId="0" fontId="4" fillId="0" borderId="0" xfId="0" applyFont="1" applyBorder="1" applyAlignment="1">
      <alignment wrapText="1"/>
    </xf>
    <xf numFmtId="3" fontId="4" fillId="0" borderId="0" xfId="0" applyNumberFormat="1" applyFont="1" applyBorder="1" applyAlignment="1">
      <alignment wrapText="1"/>
    </xf>
    <xf numFmtId="44" fontId="5" fillId="0" borderId="0" xfId="1" applyFont="1" applyBorder="1"/>
    <xf numFmtId="1" fontId="5" fillId="0" borderId="0" xfId="1" applyNumberFormat="1" applyFont="1" applyBorder="1"/>
    <xf numFmtId="1" fontId="5" fillId="0" borderId="0" xfId="0" applyNumberFormat="1" applyFont="1" applyBorder="1"/>
    <xf numFmtId="0" fontId="0" fillId="0" borderId="0" xfId="0" applyFill="1"/>
    <xf numFmtId="165" fontId="0" fillId="0" borderId="0" xfId="0" applyNumberFormat="1"/>
    <xf numFmtId="1" fontId="0" fillId="0" borderId="0" xfId="0" applyNumberFormat="1"/>
    <xf numFmtId="0" fontId="0" fillId="0" borderId="0" xfId="0" applyAlignment="1">
      <alignment vertical="center"/>
    </xf>
    <xf numFmtId="0" fontId="0" fillId="0" borderId="0" xfId="0" applyAlignment="1"/>
    <xf numFmtId="0" fontId="8" fillId="0" borderId="0" xfId="0" applyFont="1"/>
    <xf numFmtId="1" fontId="2" fillId="0" borderId="0" xfId="0" applyNumberFormat="1" applyFont="1"/>
    <xf numFmtId="0" fontId="0" fillId="2" borderId="0" xfId="0" applyFill="1"/>
    <xf numFmtId="167" fontId="0" fillId="0" borderId="0" xfId="0" applyNumberFormat="1"/>
    <xf numFmtId="166" fontId="0" fillId="0" borderId="0" xfId="0" applyNumberFormat="1" applyFont="1"/>
    <xf numFmtId="166" fontId="3" fillId="0" borderId="0" xfId="0" applyNumberFormat="1" applyFont="1"/>
    <xf numFmtId="0" fontId="9" fillId="0" borderId="0" xfId="0" applyFont="1"/>
    <xf numFmtId="0" fontId="3" fillId="0" borderId="0" xfId="0" applyFont="1" applyAlignment="1">
      <alignment wrapText="1"/>
    </xf>
    <xf numFmtId="9" fontId="0" fillId="0" borderId="0" xfId="0" applyNumberFormat="1"/>
    <xf numFmtId="0" fontId="7" fillId="0" borderId="0" xfId="0" applyFont="1"/>
    <xf numFmtId="0" fontId="10" fillId="0" borderId="0" xfId="0" applyFont="1"/>
    <xf numFmtId="9" fontId="0" fillId="2" borderId="0" xfId="0" applyNumberFormat="1" applyFill="1"/>
    <xf numFmtId="2" fontId="0" fillId="2" borderId="0" xfId="0" applyNumberFormat="1" applyFill="1"/>
    <xf numFmtId="0" fontId="0" fillId="3" borderId="0" xfId="0" applyFill="1"/>
    <xf numFmtId="9" fontId="0" fillId="3" borderId="0" xfId="0" applyNumberFormat="1" applyFill="1"/>
    <xf numFmtId="2" fontId="0" fillId="3" borderId="0" xfId="0" applyNumberFormat="1" applyFill="1"/>
    <xf numFmtId="165" fontId="0" fillId="2" borderId="0" xfId="0" applyNumberFormat="1" applyFill="1"/>
    <xf numFmtId="2" fontId="0" fillId="0" borderId="0" xfId="0" applyNumberFormat="1" applyFont="1"/>
    <xf numFmtId="0" fontId="0" fillId="0" borderId="0" xfId="0" applyFont="1" applyAlignment="1">
      <alignment horizontal="left"/>
    </xf>
    <xf numFmtId="9" fontId="0" fillId="0" borderId="0" xfId="0" applyNumberFormat="1" applyFill="1"/>
    <xf numFmtId="0" fontId="10" fillId="4" borderId="0" xfId="0" applyFont="1" applyFill="1"/>
    <xf numFmtId="0" fontId="0" fillId="4" borderId="0" xfId="0" applyFill="1"/>
    <xf numFmtId="165" fontId="0" fillId="3" borderId="0" xfId="0" applyNumberFormat="1" applyFill="1"/>
    <xf numFmtId="0" fontId="2" fillId="0" borderId="0" xfId="0" applyFont="1" applyAlignment="1">
      <alignment horizontal="center"/>
    </xf>
    <xf numFmtId="0" fontId="0" fillId="0" borderId="0" xfId="0" applyAlignment="1">
      <alignment vertical="center"/>
    </xf>
    <xf numFmtId="0" fontId="0" fillId="0" borderId="0" xfId="0" applyAlignment="1"/>
    <xf numFmtId="2" fontId="0" fillId="2" borderId="0" xfId="0" applyNumberFormat="1" applyFill="1" applyAlignment="1">
      <alignment horizontal="center"/>
    </xf>
    <xf numFmtId="0" fontId="0" fillId="0" borderId="0" xfId="0" applyAlignment="1">
      <alignment horizontal="center"/>
    </xf>
    <xf numFmtId="0" fontId="4" fillId="0" borderId="0" xfId="0" applyFont="1" applyFill="1" applyBorder="1" applyAlignment="1">
      <alignment wrapText="1"/>
    </xf>
    <xf numFmtId="3" fontId="4" fillId="0" borderId="0" xfId="0" applyNumberFormat="1" applyFont="1" applyFill="1" applyBorder="1" applyAlignment="1">
      <alignment wrapText="1"/>
    </xf>
    <xf numFmtId="0" fontId="8" fillId="0" borderId="0" xfId="0" applyFont="1" applyFill="1"/>
    <xf numFmtId="44" fontId="4" fillId="0" borderId="0" xfId="0" applyNumberFormat="1" applyFont="1" applyFill="1" applyBorder="1" applyAlignment="1">
      <alignment wrapText="1"/>
    </xf>
    <xf numFmtId="3" fontId="4" fillId="0" borderId="0" xfId="0" applyNumberFormat="1" applyFont="1" applyFill="1" applyBorder="1" applyAlignment="1"/>
    <xf numFmtId="1" fontId="5" fillId="0" borderId="0" xfId="1" applyNumberFormat="1" applyFont="1" applyFill="1" applyBorder="1"/>
    <xf numFmtId="1" fontId="5" fillId="0" borderId="0" xfId="0" applyNumberFormat="1" applyFont="1" applyFill="1" applyBorder="1"/>
    <xf numFmtId="44" fontId="4" fillId="0" borderId="0" xfId="1" applyFont="1" applyFill="1" applyBorder="1" applyAlignment="1">
      <alignment wrapText="1"/>
    </xf>
    <xf numFmtId="0" fontId="8" fillId="0" borderId="0" xfId="0" applyFont="1" applyFill="1" applyBorder="1"/>
    <xf numFmtId="3" fontId="8" fillId="0" borderId="0" xfId="0" applyNumberFormat="1" applyFont="1" applyFill="1" applyAlignment="1"/>
    <xf numFmtId="0" fontId="8" fillId="0" borderId="0" xfId="0" applyFont="1" applyFill="1" applyAlignment="1"/>
    <xf numFmtId="0" fontId="8" fillId="0" borderId="0" xfId="0" applyFont="1" applyFill="1" applyBorder="1" applyAlignment="1">
      <alignment horizontal="center"/>
    </xf>
    <xf numFmtId="3" fontId="8" fillId="0" borderId="0" xfId="0" applyNumberFormat="1" applyFont="1" applyFill="1"/>
    <xf numFmtId="165" fontId="8" fillId="0" borderId="0" xfId="0" applyNumberFormat="1" applyFont="1" applyFill="1"/>
    <xf numFmtId="2" fontId="8" fillId="0" borderId="0" xfId="0" applyNumberFormat="1" applyFont="1" applyFill="1"/>
    <xf numFmtId="0" fontId="11" fillId="0" borderId="0" xfId="0" applyFont="1" applyFill="1" applyAlignment="1">
      <alignment horizontal="right"/>
    </xf>
    <xf numFmtId="3" fontId="11" fillId="0" borderId="0" xfId="0" applyNumberFormat="1" applyFont="1" applyFill="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147244094488188"/>
          <c:y val="3.9960104986876639E-2"/>
          <c:w val="0.65752755905511817"/>
          <c:h val="0.73334173228346444"/>
        </c:manualLayout>
      </c:layout>
      <c:scatterChart>
        <c:scatterStyle val="smoothMarker"/>
        <c:varyColors val="0"/>
        <c:ser>
          <c:idx val="1"/>
          <c:order val="0"/>
          <c:tx>
            <c:strRef>
              <c:f>Logan!$F$10</c:f>
              <c:strCache>
                <c:ptCount val="1"/>
                <c:pt idx="0">
                  <c:v>Summer</c:v>
                </c:pt>
              </c:strCache>
            </c:strRef>
          </c:tx>
          <c:spPr>
            <a:ln w="12700" cap="rnd">
              <a:solidFill>
                <a:schemeClr val="accent6">
                  <a:lumMod val="50000"/>
                </a:schemeClr>
              </a:solidFill>
              <a:round/>
            </a:ln>
            <a:effectLst/>
          </c:spPr>
          <c:marker>
            <c:symbol val="none"/>
          </c:marker>
          <c:xVal>
            <c:numRef>
              <c:f>Logan!$B$12:$B$48</c:f>
              <c:numCache>
                <c:formatCode>0.0</c:formatCode>
                <c:ptCount val="37"/>
                <c:pt idx="0">
                  <c:v>21987.132974413733</c:v>
                </c:pt>
                <c:pt idx="1">
                  <c:v>20987.717839213106</c:v>
                </c:pt>
                <c:pt idx="2">
                  <c:v>19988.302704012483</c:v>
                </c:pt>
                <c:pt idx="3">
                  <c:v>19079.74349019373</c:v>
                </c:pt>
                <c:pt idx="4">
                  <c:v>18171.184276374985</c:v>
                </c:pt>
                <c:pt idx="5">
                  <c:v>17345.221354721572</c:v>
                </c:pt>
                <c:pt idx="6">
                  <c:v>16519.258433068168</c:v>
                </c:pt>
                <c:pt idx="7">
                  <c:v>15768.383049746884</c:v>
                </c:pt>
                <c:pt idx="8">
                  <c:v>15017.507666425605</c:v>
                </c:pt>
                <c:pt idx="9">
                  <c:v>14334.893681588075</c:v>
                </c:pt>
                <c:pt idx="10">
                  <c:v>13652.279696750549</c:v>
                </c:pt>
                <c:pt idx="11">
                  <c:v>13031.721528716431</c:v>
                </c:pt>
                <c:pt idx="12">
                  <c:v>12411.163360682316</c:v>
                </c:pt>
                <c:pt idx="13">
                  <c:v>11847.019571560391</c:v>
                </c:pt>
                <c:pt idx="14">
                  <c:v>11282.875782438468</c:v>
                </c:pt>
                <c:pt idx="15">
                  <c:v>10770.017792327628</c:v>
                </c:pt>
                <c:pt idx="16">
                  <c:v>10257.159802216789</c:v>
                </c:pt>
                <c:pt idx="17">
                  <c:v>9790.9252657523884</c:v>
                </c:pt>
                <c:pt idx="18">
                  <c:v>9324.6907292879896</c:v>
                </c:pt>
                <c:pt idx="19">
                  <c:v>8900.8411506839893</c:v>
                </c:pt>
                <c:pt idx="20">
                  <c:v>8476.9915720799891</c:v>
                </c:pt>
                <c:pt idx="21">
                  <c:v>8053.1419934759888</c:v>
                </c:pt>
                <c:pt idx="22">
                  <c:v>7629.2924148719903</c:v>
                </c:pt>
                <c:pt idx="23">
                  <c:v>7205.4428362679901</c:v>
                </c:pt>
                <c:pt idx="24">
                  <c:v>6781.5932576639916</c:v>
                </c:pt>
                <c:pt idx="25">
                  <c:v>6357.7436790599913</c:v>
                </c:pt>
                <c:pt idx="26">
                  <c:v>5933.894100455992</c:v>
                </c:pt>
                <c:pt idx="27">
                  <c:v>5510.0445218519935</c:v>
                </c:pt>
                <c:pt idx="28">
                  <c:v>5086.1949432479933</c:v>
                </c:pt>
                <c:pt idx="29">
                  <c:v>4662.3453646439948</c:v>
                </c:pt>
                <c:pt idx="30">
                  <c:v>4238.4957860399945</c:v>
                </c:pt>
                <c:pt idx="31">
                  <c:v>3814.6462074359952</c:v>
                </c:pt>
                <c:pt idx="32">
                  <c:v>3390.7966288319958</c:v>
                </c:pt>
                <c:pt idx="33">
                  <c:v>2966.947050227996</c:v>
                </c:pt>
                <c:pt idx="34">
                  <c:v>2543.0974716239966</c:v>
                </c:pt>
                <c:pt idx="35">
                  <c:v>2119.2478930199973</c:v>
                </c:pt>
                <c:pt idx="36">
                  <c:v>1695.3983144159979</c:v>
                </c:pt>
              </c:numCache>
            </c:numRef>
          </c:xVal>
          <c:yVal>
            <c:numRef>
              <c:f>Logan!$F$12:$F$48</c:f>
              <c:numCache>
                <c:formatCode>0.0</c:formatCode>
                <c:ptCount val="37"/>
                <c:pt idx="0">
                  <c:v>70.228759093034839</c:v>
                </c:pt>
                <c:pt idx="1">
                  <c:v>75.054541258406573</c:v>
                </c:pt>
                <c:pt idx="2">
                  <c:v>80.472483052075418</c:v>
                </c:pt>
                <c:pt idx="3">
                  <c:v>86.002164603211085</c:v>
                </c:pt>
                <c:pt idx="4">
                  <c:v>92.210379511160227</c:v>
                </c:pt>
                <c:pt idx="5">
                  <c:v>98.546632787651248</c:v>
                </c:pt>
                <c:pt idx="6">
                  <c:v>105.66039181480052</c:v>
                </c:pt>
                <c:pt idx="7">
                  <c:v>112.92086517345109</c:v>
                </c:pt>
                <c:pt idx="8">
                  <c:v>121.07225301145162</c:v>
                </c:pt>
                <c:pt idx="9">
                  <c:v>129.39175526166321</c:v>
                </c:pt>
                <c:pt idx="10">
                  <c:v>138.73212277086856</c:v>
                </c:pt>
                <c:pt idx="11">
                  <c:v>148.26512623665579</c:v>
                </c:pt>
                <c:pt idx="12">
                  <c:v>158.96790065260348</c:v>
                </c:pt>
                <c:pt idx="13">
                  <c:v>169.8914093368403</c:v>
                </c:pt>
                <c:pt idx="14">
                  <c:v>182.1553143797386</c:v>
                </c:pt>
                <c:pt idx="15">
                  <c:v>194.67215048525659</c:v>
                </c:pt>
                <c:pt idx="16">
                  <c:v>208.72489616184581</c:v>
                </c:pt>
                <c:pt idx="17">
                  <c:v>223.06746599185806</c:v>
                </c:pt>
                <c:pt idx="18">
                  <c:v>239.16997660003156</c:v>
                </c:pt>
                <c:pt idx="19">
                  <c:v>255.60458576121411</c:v>
                </c:pt>
                <c:pt idx="20">
                  <c:v>274.05584460085134</c:v>
                </c:pt>
                <c:pt idx="21">
                  <c:v>294.89165947632767</c:v>
                </c:pt>
                <c:pt idx="22">
                  <c:v>318.57149387936761</c:v>
                </c:pt>
                <c:pt idx="23">
                  <c:v>345.67595753520061</c:v>
                </c:pt>
                <c:pt idx="24">
                  <c:v>376.94843462516997</c:v>
                </c:pt>
                <c:pt idx="25">
                  <c:v>413.35479304885723</c:v>
                </c:pt>
                <c:pt idx="26">
                  <c:v>456.17090557796644</c:v>
                </c:pt>
                <c:pt idx="27">
                  <c:v>507.11411840739021</c:v>
                </c:pt>
                <c:pt idx="28">
                  <c:v>568.54632095700379</c:v>
                </c:pt>
                <c:pt idx="29">
                  <c:v>643.79783515571739</c:v>
                </c:pt>
                <c:pt idx="30">
                  <c:v>737.70362808061543</c:v>
                </c:pt>
                <c:pt idx="31">
                  <c:v>857.530869958837</c:v>
                </c:pt>
                <c:pt idx="32">
                  <c:v>1014.6699415489632</c:v>
                </c:pt>
                <c:pt idx="33">
                  <c:v>1227.9210193813233</c:v>
                </c:pt>
                <c:pt idx="34">
                  <c:v>1530.4132057928955</c:v>
                </c:pt>
                <c:pt idx="35">
                  <c:v>1985.7509102785809</c:v>
                </c:pt>
                <c:pt idx="36">
                  <c:v>2731.288939578023</c:v>
                </c:pt>
              </c:numCache>
            </c:numRef>
          </c:yVal>
          <c:smooth val="1"/>
          <c:extLst>
            <c:ext xmlns:c16="http://schemas.microsoft.com/office/drawing/2014/chart" uri="{C3380CC4-5D6E-409C-BE32-E72D297353CC}">
              <c16:uniqueId val="{00000000-3FB5-48C4-BEBC-ADC6A55976C1}"/>
            </c:ext>
          </c:extLst>
        </c:ser>
        <c:ser>
          <c:idx val="0"/>
          <c:order val="1"/>
          <c:tx>
            <c:strRef>
              <c:f>Logan!$G$10</c:f>
              <c:strCache>
                <c:ptCount val="1"/>
                <c:pt idx="0">
                  <c:v>Winter</c:v>
                </c:pt>
              </c:strCache>
            </c:strRef>
          </c:tx>
          <c:spPr>
            <a:ln w="12700" cap="rnd">
              <a:solidFill>
                <a:schemeClr val="tx2"/>
              </a:solidFill>
              <a:round/>
            </a:ln>
            <a:effectLst/>
          </c:spPr>
          <c:marker>
            <c:symbol val="none"/>
          </c:marker>
          <c:xVal>
            <c:numRef>
              <c:f>Logan!$C$12:$C$45</c:f>
              <c:numCache>
                <c:formatCode>0.0</c:formatCode>
                <c:ptCount val="34"/>
                <c:pt idx="0">
                  <c:v>8174.2418730771369</c:v>
                </c:pt>
                <c:pt idx="1">
                  <c:v>7969.8858262502081</c:v>
                </c:pt>
                <c:pt idx="2">
                  <c:v>7765.5297794232802</c:v>
                </c:pt>
                <c:pt idx="3">
                  <c:v>7561.1737325963513</c:v>
                </c:pt>
                <c:pt idx="4">
                  <c:v>7356.8176857694225</c:v>
                </c:pt>
                <c:pt idx="5">
                  <c:v>7152.4616389424946</c:v>
                </c:pt>
                <c:pt idx="6">
                  <c:v>6948.1055921155657</c:v>
                </c:pt>
                <c:pt idx="7">
                  <c:v>6743.7495452886369</c:v>
                </c:pt>
                <c:pt idx="8">
                  <c:v>6539.393498461709</c:v>
                </c:pt>
                <c:pt idx="9">
                  <c:v>6335.0374516347802</c:v>
                </c:pt>
                <c:pt idx="10">
                  <c:v>6130.6814048078513</c:v>
                </c:pt>
                <c:pt idx="11">
                  <c:v>5926.3253579809234</c:v>
                </c:pt>
                <c:pt idx="12">
                  <c:v>5721.9693111539946</c:v>
                </c:pt>
                <c:pt idx="13">
                  <c:v>5517.6132643270666</c:v>
                </c:pt>
                <c:pt idx="14">
                  <c:v>5313.2572175001378</c:v>
                </c:pt>
                <c:pt idx="15">
                  <c:v>5108.901170673209</c:v>
                </c:pt>
                <c:pt idx="16">
                  <c:v>4904.5451238462811</c:v>
                </c:pt>
                <c:pt idx="17">
                  <c:v>4700.1890770193522</c:v>
                </c:pt>
                <c:pt idx="18">
                  <c:v>4495.8330301924234</c:v>
                </c:pt>
                <c:pt idx="19">
                  <c:v>4291.4769833654955</c:v>
                </c:pt>
                <c:pt idx="20">
                  <c:v>4087.1209365385666</c:v>
                </c:pt>
                <c:pt idx="21">
                  <c:v>3882.7648897116383</c:v>
                </c:pt>
                <c:pt idx="22">
                  <c:v>3678.4088428847099</c:v>
                </c:pt>
                <c:pt idx="23">
                  <c:v>3474.0527960577815</c:v>
                </c:pt>
                <c:pt idx="24">
                  <c:v>3269.6967492308536</c:v>
                </c:pt>
                <c:pt idx="25">
                  <c:v>3065.3407024039252</c:v>
                </c:pt>
                <c:pt idx="26">
                  <c:v>2860.9846555769964</c:v>
                </c:pt>
                <c:pt idx="27">
                  <c:v>2656.6286087500685</c:v>
                </c:pt>
                <c:pt idx="28">
                  <c:v>2452.2725619231401</c:v>
                </c:pt>
                <c:pt idx="29">
                  <c:v>2247.9165150962117</c:v>
                </c:pt>
                <c:pt idx="30">
                  <c:v>2043.5604682692833</c:v>
                </c:pt>
                <c:pt idx="31">
                  <c:v>1839.2044214423549</c:v>
                </c:pt>
                <c:pt idx="32">
                  <c:v>1634.8483746154268</c:v>
                </c:pt>
                <c:pt idx="33">
                  <c:v>1430.4923277884982</c:v>
                </c:pt>
              </c:numCache>
            </c:numRef>
          </c:xVal>
          <c:yVal>
            <c:numRef>
              <c:f>Logan!$G$12:$G$45</c:f>
              <c:numCache>
                <c:formatCode>0.0</c:formatCode>
                <c:ptCount val="34"/>
                <c:pt idx="0">
                  <c:v>43.798921690411575</c:v>
                </c:pt>
                <c:pt idx="1">
                  <c:v>46.832973937307102</c:v>
                </c:pt>
                <c:pt idx="2">
                  <c:v>50.164406639860147</c:v>
                </c:pt>
                <c:pt idx="3">
                  <c:v>53.831385051428917</c:v>
                </c:pt>
                <c:pt idx="4">
                  <c:v>57.87819528806245</c:v>
                </c:pt>
                <c:pt idx="5">
                  <c:v>62.356433508797444</c:v>
                </c:pt>
                <c:pt idx="6">
                  <c:v>67.326468870588798</c:v>
                </c:pt>
                <c:pt idx="7">
                  <c:v>72.859253733651002</c:v>
                </c:pt>
                <c:pt idx="8">
                  <c:v>79.038577295014619</c:v>
                </c:pt>
                <c:pt idx="9">
                  <c:v>85.963889526625636</c:v>
                </c:pt>
                <c:pt idx="10">
                  <c:v>93.753864175571138</c:v>
                </c:pt>
                <c:pt idx="11">
                  <c:v>102.55092726130421</c:v>
                </c:pt>
                <c:pt idx="12">
                  <c:v>112.52705773360361</c:v>
                </c:pt>
                <c:pt idx="13">
                  <c:v>123.8912797470101</c:v>
                </c:pt>
                <c:pt idx="14">
                  <c:v>136.89942639081832</c:v>
                </c:pt>
                <c:pt idx="15">
                  <c:v>151.86698555655192</c:v>
                </c:pt>
                <c:pt idx="16">
                  <c:v>169.18617523794788</c:v>
                </c:pt>
                <c:pt idx="17">
                  <c:v>189.34889332654612</c:v>
                </c:pt>
                <c:pt idx="18">
                  <c:v>212.97793423821747</c:v>
                </c:pt>
                <c:pt idx="19">
                  <c:v>240.87000500613811</c:v>
                </c:pt>
                <c:pt idx="20">
                  <c:v>274.0558446008518</c:v>
                </c:pt>
                <c:pt idx="21">
                  <c:v>313.88555471211794</c:v>
                </c:pt>
                <c:pt idx="22">
                  <c:v>362.15178551109085</c:v>
                </c:pt>
                <c:pt idx="23">
                  <c:v>421.27092581737003</c:v>
                </c:pt>
                <c:pt idx="24">
                  <c:v>494.55519041640861</c:v>
                </c:pt>
                <c:pt idx="25">
                  <c:v>586.63075344283095</c:v>
                </c:pt>
                <c:pt idx="26">
                  <c:v>704.09719366179593</c:v>
                </c:pt>
                <c:pt idx="27">
                  <c:v>856.59843842962221</c:v>
                </c:pt>
                <c:pt idx="28">
                  <c:v>1058.6210427133462</c:v>
                </c:pt>
                <c:pt idx="29">
                  <c:v>1332.6320693821328</c:v>
                </c:pt>
                <c:pt idx="30">
                  <c:v>1714.8049098279178</c:v>
                </c:pt>
                <c:pt idx="31">
                  <c:v>2266.0332634096762</c:v>
                </c:pt>
                <c:pt idx="32">
                  <c:v>3094.499480359932</c:v>
                </c:pt>
                <c:pt idx="33">
                  <c:v>4405.6324594930711</c:v>
                </c:pt>
              </c:numCache>
            </c:numRef>
          </c:yVal>
          <c:smooth val="1"/>
          <c:extLst>
            <c:ext xmlns:c16="http://schemas.microsoft.com/office/drawing/2014/chart" uri="{C3380CC4-5D6E-409C-BE32-E72D297353CC}">
              <c16:uniqueId val="{00000001-3FB5-48C4-BEBC-ADC6A55976C1}"/>
            </c:ext>
          </c:extLst>
        </c:ser>
        <c:ser>
          <c:idx val="2"/>
          <c:order val="2"/>
          <c:tx>
            <c:strRef>
              <c:f>Logan!$H$10</c:f>
              <c:strCache>
                <c:ptCount val="1"/>
                <c:pt idx="0">
                  <c:v>Fall, Spring</c:v>
                </c:pt>
              </c:strCache>
            </c:strRef>
          </c:tx>
          <c:spPr>
            <a:ln w="12700" cap="rnd">
              <a:solidFill>
                <a:srgbClr val="FFC000"/>
              </a:solidFill>
              <a:round/>
            </a:ln>
            <a:effectLst/>
          </c:spPr>
          <c:marker>
            <c:symbol val="none"/>
          </c:marker>
          <c:xVal>
            <c:numRef>
              <c:f>Logan!$D$12:$D$47</c:f>
              <c:numCache>
                <c:formatCode>0.0</c:formatCode>
                <c:ptCount val="36"/>
                <c:pt idx="0">
                  <c:v>11504.488562108563</c:v>
                </c:pt>
                <c:pt idx="1">
                  <c:v>11216.876348055848</c:v>
                </c:pt>
                <c:pt idx="2">
                  <c:v>10929.264134003135</c:v>
                </c:pt>
                <c:pt idx="3">
                  <c:v>10641.65191995042</c:v>
                </c:pt>
                <c:pt idx="4">
                  <c:v>10354.039705897707</c:v>
                </c:pt>
                <c:pt idx="5">
                  <c:v>10066.427491844992</c:v>
                </c:pt>
                <c:pt idx="6">
                  <c:v>9778.8152777922769</c:v>
                </c:pt>
                <c:pt idx="7">
                  <c:v>9491.2030637395637</c:v>
                </c:pt>
                <c:pt idx="8">
                  <c:v>9203.5908496868487</c:v>
                </c:pt>
                <c:pt idx="9">
                  <c:v>8915.9786356341356</c:v>
                </c:pt>
                <c:pt idx="10">
                  <c:v>8628.3664215814206</c:v>
                </c:pt>
                <c:pt idx="11">
                  <c:v>8340.7542075287074</c:v>
                </c:pt>
                <c:pt idx="12">
                  <c:v>8053.1419934759924</c:v>
                </c:pt>
                <c:pt idx="13">
                  <c:v>7765.5297794232783</c:v>
                </c:pt>
                <c:pt idx="14">
                  <c:v>7477.9175653705643</c:v>
                </c:pt>
                <c:pt idx="15">
                  <c:v>7190.3053513178502</c:v>
                </c:pt>
                <c:pt idx="16">
                  <c:v>6902.6931372651361</c:v>
                </c:pt>
                <c:pt idx="17">
                  <c:v>6615.0809232124211</c:v>
                </c:pt>
                <c:pt idx="18">
                  <c:v>6327.468709159707</c:v>
                </c:pt>
                <c:pt idx="19">
                  <c:v>6039.856495106993</c:v>
                </c:pt>
                <c:pt idx="20">
                  <c:v>5752.2442810542789</c:v>
                </c:pt>
                <c:pt idx="21">
                  <c:v>5464.6320670015648</c:v>
                </c:pt>
                <c:pt idx="22">
                  <c:v>5177.0198529488507</c:v>
                </c:pt>
                <c:pt idx="23">
                  <c:v>4889.4076388961366</c:v>
                </c:pt>
                <c:pt idx="24">
                  <c:v>4601.7954248434235</c:v>
                </c:pt>
                <c:pt idx="25">
                  <c:v>4314.1832107907094</c:v>
                </c:pt>
                <c:pt idx="26">
                  <c:v>4026.5709967379948</c:v>
                </c:pt>
                <c:pt idx="27">
                  <c:v>3738.9587826852812</c:v>
                </c:pt>
                <c:pt idx="28">
                  <c:v>3451.3465686325671</c:v>
                </c:pt>
                <c:pt idx="29">
                  <c:v>3163.7343545798535</c:v>
                </c:pt>
                <c:pt idx="30">
                  <c:v>2876.1221405271394</c:v>
                </c:pt>
                <c:pt idx="31">
                  <c:v>2588.5099264744254</c:v>
                </c:pt>
                <c:pt idx="32">
                  <c:v>2300.8977124217117</c:v>
                </c:pt>
                <c:pt idx="33">
                  <c:v>2013.2854983689974</c:v>
                </c:pt>
                <c:pt idx="34">
                  <c:v>1725.6732843162836</c:v>
                </c:pt>
                <c:pt idx="35">
                  <c:v>1438.0610702635697</c:v>
                </c:pt>
              </c:numCache>
            </c:numRef>
          </c:xVal>
          <c:yVal>
            <c:numRef>
              <c:f>Logan!$H$12:$H$47</c:f>
              <c:numCache>
                <c:formatCode>0.0</c:formatCode>
                <c:ptCount val="36"/>
                <c:pt idx="0">
                  <c:v>65.638502595234385</c:v>
                </c:pt>
                <c:pt idx="1">
                  <c:v>69.155951402987753</c:v>
                </c:pt>
                <c:pt idx="2">
                  <c:v>72.960764455878731</c:v>
                </c:pt>
                <c:pt idx="3">
                  <c:v>77.084937622574671</c:v>
                </c:pt>
                <c:pt idx="4">
                  <c:v>81.565031141957377</c:v>
                </c:pt>
                <c:pt idx="5">
                  <c:v>86.442971941311214</c:v>
                </c:pt>
                <c:pt idx="6">
                  <c:v>91.767025143125963</c:v>
                </c:pt>
                <c:pt idx="7">
                  <c:v>97.592976740434835</c:v>
                </c:pt>
                <c:pt idx="8">
                  <c:v>103.98558149965679</c:v>
                </c:pt>
                <c:pt idx="9">
                  <c:v>111.0203462141842</c:v>
                </c:pt>
                <c:pt idx="10">
                  <c:v>118.78573997592636</c:v>
                </c:pt>
                <c:pt idx="11">
                  <c:v>127.38595228238724</c:v>
                </c:pt>
                <c:pt idx="12">
                  <c:v>136.94435961323083</c:v>
                </c:pt>
                <c:pt idx="13">
                  <c:v>147.60791604439029</c:v>
                </c:pt>
                <c:pt idx="14">
                  <c:v>159.55276007677594</c:v>
                </c:pt>
                <c:pt idx="15">
                  <c:v>172.99143792480174</c:v>
                </c:pt>
                <c:pt idx="16">
                  <c:v>188.18229784176233</c:v>
                </c:pt>
                <c:pt idx="17">
                  <c:v>205.44183339183698</c:v>
                </c:pt>
                <c:pt idx="18">
                  <c:v>225.16108139858957</c:v>
                </c:pt>
                <c:pt idx="19">
                  <c:v>247.82766895977275</c:v>
                </c:pt>
                <c:pt idx="20">
                  <c:v>274.0558446008518</c:v>
                </c:pt>
                <c:pt idx="21">
                  <c:v>304.62797192346977</c:v>
                </c:pt>
                <c:pt idx="22">
                  <c:v>340.55276424186519</c:v>
                </c:pt>
                <c:pt idx="23">
                  <c:v>383.14843556368589</c:v>
                </c:pt>
                <c:pt idx="24">
                  <c:v>434.16371851036274</c:v>
                </c:pt>
                <c:pt idx="25">
                  <c:v>495.9577840522403</c:v>
                </c:pt>
                <c:pt idx="26">
                  <c:v>571.77419735732383</c:v>
                </c:pt>
                <c:pt idx="27">
                  <c:v>666.16946902156496</c:v>
                </c:pt>
                <c:pt idx="28">
                  <c:v>785.70437372679214</c:v>
                </c:pt>
                <c:pt idx="29">
                  <c:v>940.09929986446343</c:v>
                </c:pt>
                <c:pt idx="30">
                  <c:v>1144.246181590061</c:v>
                </c:pt>
                <c:pt idx="31">
                  <c:v>1421.8861147852415</c:v>
                </c:pt>
                <c:pt idx="32">
                  <c:v>1812.7333785344874</c:v>
                </c:pt>
                <c:pt idx="33">
                  <c:v>2387.2887768940645</c:v>
                </c:pt>
                <c:pt idx="34">
                  <c:v>3280.4964652547346</c:v>
                </c:pt>
                <c:pt idx="35">
                  <c:v>4777.4909744777069</c:v>
                </c:pt>
              </c:numCache>
            </c:numRef>
          </c:yVal>
          <c:smooth val="1"/>
          <c:extLst>
            <c:ext xmlns:c16="http://schemas.microsoft.com/office/drawing/2014/chart" uri="{C3380CC4-5D6E-409C-BE32-E72D297353CC}">
              <c16:uniqueId val="{00000002-3FB5-48C4-BEBC-ADC6A55976C1}"/>
            </c:ext>
          </c:extLst>
        </c:ser>
        <c:ser>
          <c:idx val="3"/>
          <c:order val="3"/>
          <c:tx>
            <c:strRef>
              <c:f>Logan!$E$10</c:f>
              <c:strCache>
                <c:ptCount val="1"/>
                <c:pt idx="0">
                  <c:v>2010 Price</c:v>
                </c:pt>
              </c:strCache>
            </c:strRef>
          </c:tx>
          <c:spPr>
            <a:ln w="19050" cap="rnd">
              <a:solidFill>
                <a:schemeClr val="tx1"/>
              </a:solidFill>
              <a:round/>
            </a:ln>
            <a:effectLst/>
          </c:spPr>
          <c:marker>
            <c:symbol val="none"/>
          </c:marker>
          <c:xVal>
            <c:numRef>
              <c:f>Logan!$B$11:$B$52</c:f>
              <c:numCache>
                <c:formatCode>0.0</c:formatCode>
                <c:ptCount val="42"/>
                <c:pt idx="0" formatCode="General">
                  <c:v>100000</c:v>
                </c:pt>
                <c:pt idx="1">
                  <c:v>21987.132974413733</c:v>
                </c:pt>
                <c:pt idx="2">
                  <c:v>20987.717839213106</c:v>
                </c:pt>
                <c:pt idx="3">
                  <c:v>19988.302704012483</c:v>
                </c:pt>
                <c:pt idx="4">
                  <c:v>19079.74349019373</c:v>
                </c:pt>
                <c:pt idx="5">
                  <c:v>18171.184276374985</c:v>
                </c:pt>
                <c:pt idx="6">
                  <c:v>17345.221354721572</c:v>
                </c:pt>
                <c:pt idx="7">
                  <c:v>16519.258433068168</c:v>
                </c:pt>
                <c:pt idx="8">
                  <c:v>15768.383049746884</c:v>
                </c:pt>
                <c:pt idx="9">
                  <c:v>15017.507666425605</c:v>
                </c:pt>
                <c:pt idx="10">
                  <c:v>14334.893681588075</c:v>
                </c:pt>
                <c:pt idx="11">
                  <c:v>13652.279696750549</c:v>
                </c:pt>
                <c:pt idx="12">
                  <c:v>13031.721528716431</c:v>
                </c:pt>
                <c:pt idx="13">
                  <c:v>12411.163360682316</c:v>
                </c:pt>
                <c:pt idx="14">
                  <c:v>11847.019571560391</c:v>
                </c:pt>
                <c:pt idx="15">
                  <c:v>11282.875782438468</c:v>
                </c:pt>
                <c:pt idx="16">
                  <c:v>10770.017792327628</c:v>
                </c:pt>
                <c:pt idx="17">
                  <c:v>10257.159802216789</c:v>
                </c:pt>
                <c:pt idx="18">
                  <c:v>9790.9252657523884</c:v>
                </c:pt>
                <c:pt idx="19">
                  <c:v>9324.6907292879896</c:v>
                </c:pt>
                <c:pt idx="20">
                  <c:v>8900.8411506839893</c:v>
                </c:pt>
                <c:pt idx="21">
                  <c:v>8476.9915720799891</c:v>
                </c:pt>
                <c:pt idx="22">
                  <c:v>8053.1419934759888</c:v>
                </c:pt>
                <c:pt idx="23">
                  <c:v>7629.2924148719903</c:v>
                </c:pt>
                <c:pt idx="24">
                  <c:v>7205.4428362679901</c:v>
                </c:pt>
                <c:pt idx="25">
                  <c:v>6781.5932576639916</c:v>
                </c:pt>
                <c:pt idx="26">
                  <c:v>6357.7436790599913</c:v>
                </c:pt>
                <c:pt idx="27">
                  <c:v>5933.894100455992</c:v>
                </c:pt>
                <c:pt idx="28">
                  <c:v>5510.0445218519935</c:v>
                </c:pt>
                <c:pt idx="29">
                  <c:v>5086.1949432479933</c:v>
                </c:pt>
                <c:pt idx="30">
                  <c:v>4662.3453646439948</c:v>
                </c:pt>
                <c:pt idx="31">
                  <c:v>4238.4957860399945</c:v>
                </c:pt>
                <c:pt idx="32">
                  <c:v>3814.6462074359952</c:v>
                </c:pt>
                <c:pt idx="33">
                  <c:v>3390.7966288319958</c:v>
                </c:pt>
                <c:pt idx="34">
                  <c:v>2966.947050227996</c:v>
                </c:pt>
                <c:pt idx="35">
                  <c:v>2543.0974716239966</c:v>
                </c:pt>
                <c:pt idx="36">
                  <c:v>2119.2478930199973</c:v>
                </c:pt>
                <c:pt idx="37">
                  <c:v>1695.3983144159979</c:v>
                </c:pt>
                <c:pt idx="38">
                  <c:v>1271.5487358119983</c:v>
                </c:pt>
                <c:pt idx="39">
                  <c:v>847.69915720799895</c:v>
                </c:pt>
                <c:pt idx="40">
                  <c:v>423.84957860399948</c:v>
                </c:pt>
                <c:pt idx="41" formatCode="General">
                  <c:v>0</c:v>
                </c:pt>
              </c:numCache>
            </c:numRef>
          </c:xVal>
          <c:yVal>
            <c:numRef>
              <c:f>Logan!$E$11:$E$52</c:f>
              <c:numCache>
                <c:formatCode>0.0</c:formatCode>
                <c:ptCount val="42"/>
                <c:pt idx="0">
                  <c:v>274.05584460085134</c:v>
                </c:pt>
                <c:pt idx="1">
                  <c:v>274.05584460085134</c:v>
                </c:pt>
                <c:pt idx="2">
                  <c:v>274.05584460085134</c:v>
                </c:pt>
                <c:pt idx="3">
                  <c:v>274.05584460085134</c:v>
                </c:pt>
                <c:pt idx="4">
                  <c:v>274.05584460085134</c:v>
                </c:pt>
                <c:pt idx="5">
                  <c:v>274.05584460085134</c:v>
                </c:pt>
                <c:pt idx="6">
                  <c:v>274.05584460085134</c:v>
                </c:pt>
                <c:pt idx="7">
                  <c:v>274.05584460085134</c:v>
                </c:pt>
                <c:pt idx="8">
                  <c:v>274.05584460085134</c:v>
                </c:pt>
                <c:pt idx="9">
                  <c:v>274.05584460085134</c:v>
                </c:pt>
                <c:pt idx="10">
                  <c:v>274.05584460085134</c:v>
                </c:pt>
                <c:pt idx="11">
                  <c:v>274.05584460085134</c:v>
                </c:pt>
                <c:pt idx="12">
                  <c:v>274.05584460085134</c:v>
                </c:pt>
                <c:pt idx="13">
                  <c:v>274.05584460085134</c:v>
                </c:pt>
                <c:pt idx="14">
                  <c:v>274.05584460085134</c:v>
                </c:pt>
                <c:pt idx="15">
                  <c:v>274.05584460085134</c:v>
                </c:pt>
                <c:pt idx="16">
                  <c:v>274.05584460085134</c:v>
                </c:pt>
                <c:pt idx="17">
                  <c:v>274.05584460085134</c:v>
                </c:pt>
                <c:pt idx="18">
                  <c:v>274.05584460085134</c:v>
                </c:pt>
                <c:pt idx="19">
                  <c:v>274.05584460085134</c:v>
                </c:pt>
                <c:pt idx="20">
                  <c:v>274.05584460085134</c:v>
                </c:pt>
                <c:pt idx="21">
                  <c:v>274.05584460085134</c:v>
                </c:pt>
                <c:pt idx="22">
                  <c:v>274.05584460085134</c:v>
                </c:pt>
                <c:pt idx="23">
                  <c:v>274.05584460085134</c:v>
                </c:pt>
                <c:pt idx="24">
                  <c:v>274.05584460085134</c:v>
                </c:pt>
                <c:pt idx="25">
                  <c:v>274.05584460085134</c:v>
                </c:pt>
                <c:pt idx="26">
                  <c:v>274.05584460085134</c:v>
                </c:pt>
                <c:pt idx="27">
                  <c:v>274.05584460085134</c:v>
                </c:pt>
                <c:pt idx="28">
                  <c:v>274.05584460085134</c:v>
                </c:pt>
                <c:pt idx="29">
                  <c:v>274.05584460085134</c:v>
                </c:pt>
                <c:pt idx="30">
                  <c:v>274.05584460085134</c:v>
                </c:pt>
                <c:pt idx="31">
                  <c:v>274.05584460085134</c:v>
                </c:pt>
                <c:pt idx="32">
                  <c:v>274.05584460085134</c:v>
                </c:pt>
                <c:pt idx="33">
                  <c:v>274.05584460085134</c:v>
                </c:pt>
                <c:pt idx="34">
                  <c:v>274.05584460085134</c:v>
                </c:pt>
                <c:pt idx="35">
                  <c:v>274.05584460085134</c:v>
                </c:pt>
                <c:pt idx="36">
                  <c:v>274.05584460085134</c:v>
                </c:pt>
                <c:pt idx="37">
                  <c:v>274.05584460085134</c:v>
                </c:pt>
                <c:pt idx="38">
                  <c:v>274.05584460085134</c:v>
                </c:pt>
                <c:pt idx="39">
                  <c:v>274.05584460085134</c:v>
                </c:pt>
                <c:pt idx="40">
                  <c:v>274.05584460085134</c:v>
                </c:pt>
                <c:pt idx="41">
                  <c:v>274.05584460085134</c:v>
                </c:pt>
              </c:numCache>
            </c:numRef>
          </c:yVal>
          <c:smooth val="1"/>
          <c:extLst>
            <c:ext xmlns:c16="http://schemas.microsoft.com/office/drawing/2014/chart" uri="{C3380CC4-5D6E-409C-BE32-E72D297353CC}">
              <c16:uniqueId val="{00000003-3FB5-48C4-BEBC-ADC6A55976C1}"/>
            </c:ext>
          </c:extLst>
        </c:ser>
        <c:dLbls>
          <c:showLegendKey val="0"/>
          <c:showVal val="0"/>
          <c:showCatName val="0"/>
          <c:showSerName val="0"/>
          <c:showPercent val="0"/>
          <c:showBubbleSize val="0"/>
        </c:dLbls>
        <c:axId val="204352896"/>
        <c:axId val="204353472"/>
      </c:scatterChart>
      <c:valAx>
        <c:axId val="204352896"/>
        <c:scaling>
          <c:orientation val="minMax"/>
          <c:max val="100000"/>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n-US" sz="1200">
                    <a:solidFill>
                      <a:sysClr val="windowText" lastClr="000000"/>
                    </a:solidFill>
                  </a:rPr>
                  <a:t>Water Quantity, af</a:t>
                </a:r>
              </a:p>
            </c:rich>
          </c:tx>
          <c:layout>
            <c:manualLayout>
              <c:xMode val="edge"/>
              <c:yMode val="edge"/>
              <c:x val="0.38920713035870519"/>
              <c:y val="0.88388815981335667"/>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title>
        <c:numFmt formatCode="#,##0" sourceLinked="0"/>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crossAx val="204353472"/>
        <c:crosses val="autoZero"/>
        <c:crossBetween val="midCat"/>
        <c:majorUnit val="25000"/>
      </c:valAx>
      <c:valAx>
        <c:axId val="204353472"/>
        <c:scaling>
          <c:orientation val="minMax"/>
          <c:max val="3000"/>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n-US" sz="1200">
                    <a:solidFill>
                      <a:sysClr val="windowText" lastClr="000000"/>
                    </a:solidFill>
                  </a:rPr>
                  <a:t>Price, $/af</a:t>
                </a:r>
              </a:p>
            </c:rich>
          </c:tx>
          <c:layout>
            <c:manualLayout>
              <c:xMode val="edge"/>
              <c:yMode val="edge"/>
              <c:x val="0"/>
              <c:y val="0.2540333858267716"/>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crossAx val="204352896"/>
        <c:crosses val="autoZero"/>
        <c:crossBetween val="midCat"/>
      </c:valAx>
      <c:spPr>
        <a:noFill/>
        <a:ln>
          <a:solidFill>
            <a:schemeClr val="tx1"/>
          </a:solidFill>
        </a:ln>
        <a:effectLst/>
      </c:spPr>
    </c:plotArea>
    <c:legend>
      <c:legendPos val="b"/>
      <c:layout>
        <c:manualLayout>
          <c:xMode val="edge"/>
          <c:yMode val="edge"/>
          <c:x val="0.50098326771653545"/>
          <c:y val="4.3467086614173235E-2"/>
          <c:w val="0.38235006561679791"/>
          <c:h val="0.3822177427821522"/>
        </c:manualLayout>
      </c:layout>
      <c:overlay val="0"/>
      <c:spPr>
        <a:solidFill>
          <a:schemeClr val="bg1"/>
        </a:solid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legend>
    <c:plotVisOnly val="1"/>
    <c:dispBlanksAs val="zero"/>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621303587051619"/>
          <c:y val="3.9960104986876639E-2"/>
          <c:w val="0.8107384076990376"/>
          <c:h val="0.73334173228346444"/>
        </c:manualLayout>
      </c:layout>
      <c:scatterChart>
        <c:scatterStyle val="smoothMarker"/>
        <c:varyColors val="0"/>
        <c:ser>
          <c:idx val="1"/>
          <c:order val="0"/>
          <c:tx>
            <c:strRef>
              <c:f>Logan!$I$10</c:f>
              <c:strCache>
                <c:ptCount val="1"/>
                <c:pt idx="0">
                  <c:v>Summer</c:v>
                </c:pt>
              </c:strCache>
            </c:strRef>
          </c:tx>
          <c:spPr>
            <a:ln w="12700" cap="rnd">
              <a:solidFill>
                <a:schemeClr val="accent2"/>
              </a:solidFill>
              <a:round/>
            </a:ln>
            <a:effectLst/>
          </c:spPr>
          <c:marker>
            <c:symbol val="diamond"/>
            <c:size val="4"/>
            <c:spPr>
              <a:solidFill>
                <a:schemeClr val="accent2"/>
              </a:solidFill>
              <a:ln w="9525">
                <a:solidFill>
                  <a:schemeClr val="accent2"/>
                </a:solidFill>
              </a:ln>
              <a:effectLst/>
            </c:spPr>
          </c:marker>
          <c:xVal>
            <c:numRef>
              <c:f>Logan!$B$57:$B$76</c:f>
              <c:numCache>
                <c:formatCode>General</c:formatCode>
                <c:ptCount val="20"/>
                <c:pt idx="0">
                  <c:v>9.2955634882050067</c:v>
                </c:pt>
                <c:pt idx="1">
                  <c:v>8.8717139096010076</c:v>
                </c:pt>
                <c:pt idx="2">
                  <c:v>8.4478643309970085</c:v>
                </c:pt>
                <c:pt idx="3">
                  <c:v>8.0240147523930077</c:v>
                </c:pt>
                <c:pt idx="4">
                  <c:v>7.6001651737890095</c:v>
                </c:pt>
                <c:pt idx="5">
                  <c:v>7.1763155951850095</c:v>
                </c:pt>
                <c:pt idx="6">
                  <c:v>6.7524660165810104</c:v>
                </c:pt>
                <c:pt idx="7">
                  <c:v>6.3286164379770113</c:v>
                </c:pt>
                <c:pt idx="8">
                  <c:v>5.9047668593730114</c:v>
                </c:pt>
                <c:pt idx="9">
                  <c:v>5.4809172807690132</c:v>
                </c:pt>
                <c:pt idx="10">
                  <c:v>5.0570677021650123</c:v>
                </c:pt>
                <c:pt idx="11">
                  <c:v>4.6332181235610133</c:v>
                </c:pt>
                <c:pt idx="12">
                  <c:v>4.2093685449570142</c:v>
                </c:pt>
                <c:pt idx="13">
                  <c:v>3.7855189663530138</c:v>
                </c:pt>
                <c:pt idx="14">
                  <c:v>3.3616693877490142</c:v>
                </c:pt>
                <c:pt idx="15">
                  <c:v>2.9378198091450147</c:v>
                </c:pt>
                <c:pt idx="16">
                  <c:v>2.5139702305410156</c:v>
                </c:pt>
                <c:pt idx="17">
                  <c:v>2.0901206519370161</c:v>
                </c:pt>
                <c:pt idx="18">
                  <c:v>1.6662710733330168</c:v>
                </c:pt>
                <c:pt idx="19">
                  <c:v>1.2424214947290175</c:v>
                </c:pt>
              </c:numCache>
            </c:numRef>
          </c:xVal>
          <c:yVal>
            <c:numRef>
              <c:f>Logan!$E$57:$E$76</c:f>
              <c:numCache>
                <c:formatCode>0.0</c:formatCode>
                <c:ptCount val="20"/>
                <c:pt idx="0" formatCode="General">
                  <c:v>0</c:v>
                </c:pt>
                <c:pt idx="1">
                  <c:v>0.12048241681923186</c:v>
                </c:pt>
                <c:pt idx="2" formatCode="General">
                  <c:v>0.25038065940445153</c:v>
                </c:pt>
                <c:pt idx="3" formatCode="General">
                  <c:v>0.39101828950662765</c:v>
                </c:pt>
                <c:pt idx="4" formatCode="General">
                  <c:v>0.54399771482086756</c:v>
                </c:pt>
                <c:pt idx="5" formatCode="General">
                  <c:v>0.71128105476131409</c:v>
                </c:pt>
                <c:pt idx="6" formatCode="General">
                  <c:v>0.89530177437886982</c:v>
                </c:pt>
                <c:pt idx="7" formatCode="General">
                  <c:v>1.0991219986221199</c:v>
                </c:pt>
                <c:pt idx="8" formatCode="General">
                  <c:v>1.3266594546172008</c:v>
                </c:pt>
                <c:pt idx="9" formatCode="General">
                  <c:v>1.5830237909393103</c:v>
                </c:pt>
                <c:pt idx="10" formatCode="General">
                  <c:v>1.8750308126793387</c:v>
                </c:pt>
                <c:pt idx="11" formatCode="General">
                  <c:v>2.2120181904032146</c:v>
                </c:pt>
                <c:pt idx="12" formatCode="General">
                  <c:v>2.6071974418483133</c:v>
                </c:pt>
                <c:pt idx="13" formatCode="General">
                  <c:v>3.0800176432799558</c:v>
                </c:pt>
                <c:pt idx="14" formatCode="General">
                  <c:v>3.6605820282061643</c:v>
                </c:pt>
                <c:pt idx="15" formatCode="General">
                  <c:v>4.3986351446560725</c:v>
                </c:pt>
                <c:pt idx="16" formatCode="General">
                  <c:v>5.3840583518935734</c:v>
                </c:pt>
                <c:pt idx="17" formatCode="General">
                  <c:v>6.8018088695885668</c:v>
                </c:pt>
                <c:pt idx="18" formatCode="General">
                  <c:v>9.1214359856367562</c:v>
                </c:pt>
                <c:pt idx="19" formatCode="General">
                  <c:v>14.151573262831551</c:v>
                </c:pt>
              </c:numCache>
            </c:numRef>
          </c:yVal>
          <c:smooth val="1"/>
          <c:extLst>
            <c:ext xmlns:c16="http://schemas.microsoft.com/office/drawing/2014/chart" uri="{C3380CC4-5D6E-409C-BE32-E72D297353CC}">
              <c16:uniqueId val="{00000000-8584-468C-A5A7-7EC9A1EDE519}"/>
            </c:ext>
          </c:extLst>
        </c:ser>
        <c:ser>
          <c:idx val="0"/>
          <c:order val="1"/>
          <c:tx>
            <c:strRef>
              <c:f>Logan!$J$10</c:f>
              <c:strCache>
                <c:ptCount val="1"/>
                <c:pt idx="0">
                  <c:v>Winter</c:v>
                </c:pt>
              </c:strCache>
            </c:strRef>
          </c:tx>
          <c:spPr>
            <a:ln w="12700" cap="rnd">
              <a:solidFill>
                <a:schemeClr val="accent1"/>
              </a:solidFill>
              <a:round/>
            </a:ln>
            <a:effectLst/>
          </c:spPr>
          <c:marker>
            <c:symbol val="diamond"/>
            <c:size val="4"/>
            <c:spPr>
              <a:solidFill>
                <a:schemeClr val="accent1"/>
              </a:solidFill>
              <a:ln w="9525">
                <a:solidFill>
                  <a:schemeClr val="accent1"/>
                </a:solidFill>
              </a:ln>
              <a:effectLst/>
            </c:spPr>
          </c:marker>
          <c:xVal>
            <c:numRef>
              <c:f>Logan!$C$57:$C$75</c:f>
              <c:numCache>
                <c:formatCode>General</c:formatCode>
                <c:ptCount val="19"/>
                <c:pt idx="0">
                  <c:v>4.9056928526635843</c:v>
                </c:pt>
                <c:pt idx="1">
                  <c:v>4.7013368058366556</c:v>
                </c:pt>
                <c:pt idx="2">
                  <c:v>4.4969807590097277</c:v>
                </c:pt>
                <c:pt idx="3">
                  <c:v>4.292624712182799</c:v>
                </c:pt>
                <c:pt idx="4">
                  <c:v>4.0882686653558711</c:v>
                </c:pt>
                <c:pt idx="5">
                  <c:v>3.8839126185289432</c:v>
                </c:pt>
                <c:pt idx="6">
                  <c:v>3.6795565717020144</c:v>
                </c:pt>
                <c:pt idx="7">
                  <c:v>3.4752005248750866</c:v>
                </c:pt>
                <c:pt idx="8">
                  <c:v>3.2708444780481578</c:v>
                </c:pt>
                <c:pt idx="9">
                  <c:v>3.0664884312212299</c:v>
                </c:pt>
                <c:pt idx="10">
                  <c:v>2.8621323843943012</c:v>
                </c:pt>
                <c:pt idx="11">
                  <c:v>2.6577763375673729</c:v>
                </c:pt>
                <c:pt idx="12">
                  <c:v>2.4534202907404445</c:v>
                </c:pt>
                <c:pt idx="13">
                  <c:v>2.2490642439135162</c:v>
                </c:pt>
                <c:pt idx="14">
                  <c:v>2.0447081970865879</c:v>
                </c:pt>
                <c:pt idx="15">
                  <c:v>1.8403521502596596</c:v>
                </c:pt>
                <c:pt idx="16">
                  <c:v>1.6359961034327311</c:v>
                </c:pt>
                <c:pt idx="17">
                  <c:v>1.4316400566058027</c:v>
                </c:pt>
                <c:pt idx="18">
                  <c:v>1.2272840097788746</c:v>
                </c:pt>
              </c:numCache>
            </c:numRef>
          </c:xVal>
          <c:yVal>
            <c:numRef>
              <c:f>Logan!$F$57:$F$75</c:f>
              <c:numCache>
                <c:formatCode>General</c:formatCode>
                <c:ptCount val="19"/>
                <c:pt idx="0">
                  <c:v>0</c:v>
                </c:pt>
                <c:pt idx="1">
                  <c:v>5.9947901782216435E-2</c:v>
                </c:pt>
                <c:pt idx="2">
                  <c:v>0.12886211433394998</c:v>
                </c:pt>
                <c:pt idx="3">
                  <c:v>0.20870100599557545</c:v>
                </c:pt>
                <c:pt idx="4">
                  <c:v>0.30200262486911661</c:v>
                </c:pt>
                <c:pt idx="5">
                  <c:v>0.41210735662727815</c:v>
                </c:pt>
                <c:pt idx="6">
                  <c:v>0.54348857432504138</c:v>
                </c:pt>
                <c:pt idx="7">
                  <c:v>0.70225626233550131</c:v>
                </c:pt>
                <c:pt idx="8">
                  <c:v>0.89694657149618373</c:v>
                </c:pt>
                <c:pt idx="9">
                  <c:v>1.139801423102007</c:v>
                </c:pt>
                <c:pt idx="10">
                  <c:v>1.4489239204724604</c:v>
                </c:pt>
                <c:pt idx="11">
                  <c:v>1.8520778591751768</c:v>
                </c:pt>
                <c:pt idx="12">
                  <c:v>2.3937597889808262</c:v>
                </c:pt>
                <c:pt idx="13">
                  <c:v>3.1492650991934084</c:v>
                </c:pt>
                <c:pt idx="14">
                  <c:v>4.2550826194323763</c:v>
                </c:pt>
                <c:pt idx="15">
                  <c:v>5.9819815102713845</c:v>
                </c:pt>
                <c:pt idx="16">
                  <c:v>8.9379651505024853</c:v>
                </c:pt>
                <c:pt idx="17">
                  <c:v>14.761240937745415</c:v>
                </c:pt>
                <c:pt idx="18">
                  <c:v>29.411959239560943</c:v>
                </c:pt>
              </c:numCache>
            </c:numRef>
          </c:yVal>
          <c:smooth val="1"/>
          <c:extLst>
            <c:ext xmlns:c16="http://schemas.microsoft.com/office/drawing/2014/chart" uri="{C3380CC4-5D6E-409C-BE32-E72D297353CC}">
              <c16:uniqueId val="{00000001-8584-468C-A5A7-7EC9A1EDE519}"/>
            </c:ext>
          </c:extLst>
        </c:ser>
        <c:ser>
          <c:idx val="2"/>
          <c:order val="2"/>
          <c:tx>
            <c:strRef>
              <c:f>Logan!$K$10</c:f>
              <c:strCache>
                <c:ptCount val="1"/>
                <c:pt idx="0">
                  <c:v>Fall, Spring</c:v>
                </c:pt>
              </c:strCache>
            </c:strRef>
          </c:tx>
          <c:spPr>
            <a:ln w="12700" cap="rnd">
              <a:solidFill>
                <a:schemeClr val="accent3"/>
              </a:solidFill>
              <a:round/>
            </a:ln>
            <a:effectLst/>
          </c:spPr>
          <c:marker>
            <c:symbol val="diamond"/>
            <c:size val="4"/>
            <c:spPr>
              <a:solidFill>
                <a:schemeClr val="accent3"/>
              </a:solidFill>
              <a:ln w="9525">
                <a:solidFill>
                  <a:schemeClr val="accent3"/>
                </a:solidFill>
              </a:ln>
              <a:effectLst/>
            </c:spPr>
          </c:marker>
          <c:xVal>
            <c:numRef>
              <c:f>Logan!$D$57:$D$76</c:f>
              <c:numCache>
                <c:formatCode>General</c:formatCode>
                <c:ptCount val="20"/>
                <c:pt idx="0">
                  <c:v>6.5708161971792967</c:v>
                </c:pt>
                <c:pt idx="1">
                  <c:v>6.2832039831265831</c:v>
                </c:pt>
                <c:pt idx="2">
                  <c:v>5.9955917690738687</c:v>
                </c:pt>
                <c:pt idx="3">
                  <c:v>5.7079795550211552</c:v>
                </c:pt>
                <c:pt idx="4">
                  <c:v>5.4203673409684416</c:v>
                </c:pt>
                <c:pt idx="5">
                  <c:v>5.1327551269157272</c:v>
                </c:pt>
                <c:pt idx="6">
                  <c:v>4.8451429128630128</c:v>
                </c:pt>
                <c:pt idx="7">
                  <c:v>4.5575306988102993</c:v>
                </c:pt>
                <c:pt idx="8">
                  <c:v>4.2699184847575848</c:v>
                </c:pt>
                <c:pt idx="9">
                  <c:v>3.9823062707048713</c:v>
                </c:pt>
                <c:pt idx="10">
                  <c:v>3.6946940566521569</c:v>
                </c:pt>
                <c:pt idx="11">
                  <c:v>3.4070818425994429</c:v>
                </c:pt>
                <c:pt idx="12">
                  <c:v>3.1194696285467298</c:v>
                </c:pt>
                <c:pt idx="13">
                  <c:v>2.8318574144940154</c:v>
                </c:pt>
                <c:pt idx="14">
                  <c:v>2.5442452004413019</c:v>
                </c:pt>
                <c:pt idx="15">
                  <c:v>2.2566329863885874</c:v>
                </c:pt>
                <c:pt idx="16">
                  <c:v>1.9690207723358737</c:v>
                </c:pt>
                <c:pt idx="17">
                  <c:v>1.6814085582831597</c:v>
                </c:pt>
                <c:pt idx="18">
                  <c:v>1.3937963442304457</c:v>
                </c:pt>
                <c:pt idx="19">
                  <c:v>1.1061841301777318</c:v>
                </c:pt>
              </c:numCache>
            </c:numRef>
          </c:xVal>
          <c:yVal>
            <c:numRef>
              <c:f>Logan!$G$57:$G$76</c:f>
              <c:numCache>
                <c:formatCode>General</c:formatCode>
                <c:ptCount val="20"/>
                <c:pt idx="0">
                  <c:v>0</c:v>
                </c:pt>
                <c:pt idx="1">
                  <c:v>8.3103214088719873E-2</c:v>
                </c:pt>
                <c:pt idx="2">
                  <c:v>0.17574163976905957</c:v>
                </c:pt>
                <c:pt idx="3">
                  <c:v>0.27963567106310278</c:v>
                </c:pt>
                <c:pt idx="4">
                  <c:v>0.39694325749404691</c:v>
                </c:pt>
                <c:pt idx="5">
                  <c:v>0.53040784758413073</c:v>
                </c:pt>
                <c:pt idx="6">
                  <c:v>0.68357052225084602</c:v>
                </c:pt>
                <c:pt idx="7">
                  <c:v>0.86108126358777937</c:v>
                </c:pt>
                <c:pt idx="8">
                  <c:v>1.0691678364504982</c:v>
                </c:pt>
                <c:pt idx="9">
                  <c:v>1.3163637265008028</c:v>
                </c:pt>
                <c:pt idx="10">
                  <c:v>1.6146785863314141</c:v>
                </c:pt>
                <c:pt idx="11">
                  <c:v>1.9815594688482643</c:v>
                </c:pt>
                <c:pt idx="12">
                  <c:v>2.4433432830413127</c:v>
                </c:pt>
                <c:pt idx="13">
                  <c:v>3.0417106590687144</c:v>
                </c:pt>
                <c:pt idx="14">
                  <c:v>3.8466893944190828</c:v>
                </c:pt>
                <c:pt idx="15">
                  <c:v>4.9855058160806598</c:v>
                </c:pt>
                <c:pt idx="16">
                  <c:v>6.7154386631793788</c:v>
                </c:pt>
                <c:pt idx="17">
                  <c:v>9.645085049177796</c:v>
                </c:pt>
                <c:pt idx="18">
                  <c:v>15.633929040991077</c:v>
                </c:pt>
                <c:pt idx="19">
                  <c:v>34.252303290994242</c:v>
                </c:pt>
              </c:numCache>
            </c:numRef>
          </c:yVal>
          <c:smooth val="1"/>
          <c:extLst>
            <c:ext xmlns:c16="http://schemas.microsoft.com/office/drawing/2014/chart" uri="{C3380CC4-5D6E-409C-BE32-E72D297353CC}">
              <c16:uniqueId val="{00000002-8584-468C-A5A7-7EC9A1EDE519}"/>
            </c:ext>
          </c:extLst>
        </c:ser>
        <c:dLbls>
          <c:showLegendKey val="0"/>
          <c:showVal val="0"/>
          <c:showCatName val="0"/>
          <c:showSerName val="0"/>
          <c:showPercent val="0"/>
          <c:showBubbleSize val="0"/>
        </c:dLbls>
        <c:axId val="204355776"/>
        <c:axId val="204356352"/>
      </c:scatterChart>
      <c:valAx>
        <c:axId val="204355776"/>
        <c:scaling>
          <c:orientation val="minMax"/>
          <c:max val="90"/>
          <c:min val="0"/>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n-US" sz="1200">
                    <a:solidFill>
                      <a:sysClr val="windowText" lastClr="000000"/>
                    </a:solidFill>
                  </a:rPr>
                  <a:t>Water Quantity, af</a:t>
                </a:r>
              </a:p>
            </c:rich>
          </c:tx>
          <c:layout>
            <c:manualLayout>
              <c:xMode val="edge"/>
              <c:yMode val="edge"/>
              <c:x val="0.38642935258092742"/>
              <c:y val="0.90522162729658795"/>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title>
        <c:numFmt formatCode="#,##0"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crossAx val="204356352"/>
        <c:crosses val="autoZero"/>
        <c:crossBetween val="midCat"/>
      </c:valAx>
      <c:valAx>
        <c:axId val="204356352"/>
        <c:scaling>
          <c:orientation val="minMax"/>
          <c:max val="50"/>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n-US" sz="1200">
                    <a:solidFill>
                      <a:sysClr val="windowText" lastClr="000000"/>
                    </a:solidFill>
                  </a:rPr>
                  <a:t>Losses, $M</a:t>
                </a:r>
              </a:p>
            </c:rich>
          </c:tx>
          <c:layout>
            <c:manualLayout>
              <c:xMode val="edge"/>
              <c:yMode val="edge"/>
              <c:x val="0"/>
              <c:y val="0.2540333858267716"/>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crossAx val="204355776"/>
        <c:crosses val="autoZero"/>
        <c:crossBetween val="midCat"/>
      </c:valAx>
      <c:spPr>
        <a:noFill/>
        <a:ln>
          <a:solidFill>
            <a:schemeClr val="tx1"/>
          </a:solidFill>
        </a:ln>
        <a:effectLst/>
      </c:spPr>
    </c:plotArea>
    <c:legend>
      <c:legendPos val="b"/>
      <c:layout>
        <c:manualLayout>
          <c:xMode val="edge"/>
          <c:yMode val="edge"/>
          <c:x val="0.63570559930008741"/>
          <c:y val="8.0800419947506544E-2"/>
          <c:w val="0.26984995625546809"/>
          <c:h val="0.24577553805774277"/>
        </c:manualLayout>
      </c:layout>
      <c:overlay val="0"/>
      <c:spPr>
        <a:solidFill>
          <a:schemeClr val="bg1"/>
        </a:solid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legend>
    <c:plotVisOnly val="1"/>
    <c:dispBlanksAs val="zero"/>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648381452318464"/>
          <c:y val="3.9960104986876639E-2"/>
          <c:w val="0.75518285214348202"/>
          <c:h val="0.73334173228346444"/>
        </c:manualLayout>
      </c:layout>
      <c:scatterChart>
        <c:scatterStyle val="smoothMarker"/>
        <c:varyColors val="0"/>
        <c:ser>
          <c:idx val="1"/>
          <c:order val="0"/>
          <c:tx>
            <c:strRef>
              <c:f>Ogden!$F$10</c:f>
              <c:strCache>
                <c:ptCount val="1"/>
                <c:pt idx="0">
                  <c:v>Summer</c:v>
                </c:pt>
              </c:strCache>
            </c:strRef>
          </c:tx>
          <c:spPr>
            <a:ln w="12700" cap="rnd">
              <a:solidFill>
                <a:schemeClr val="accent2"/>
              </a:solidFill>
              <a:round/>
            </a:ln>
            <a:effectLst/>
          </c:spPr>
          <c:marker>
            <c:symbol val="diamond"/>
            <c:size val="4"/>
            <c:spPr>
              <a:solidFill>
                <a:schemeClr val="accent2"/>
              </a:solidFill>
              <a:ln w="9525">
                <a:solidFill>
                  <a:schemeClr val="accent2"/>
                </a:solidFill>
              </a:ln>
              <a:effectLst/>
            </c:spPr>
          </c:marker>
          <c:xVal>
            <c:numRef>
              <c:f>Ogden!$B$12:$B$49</c:f>
              <c:numCache>
                <c:formatCode>0.0</c:formatCode>
                <c:ptCount val="38"/>
                <c:pt idx="0">
                  <c:v>105077.71472251521</c:v>
                </c:pt>
                <c:pt idx="1">
                  <c:v>102450.77185445234</c:v>
                </c:pt>
                <c:pt idx="2">
                  <c:v>99823.828986389461</c:v>
                </c:pt>
                <c:pt idx="3">
                  <c:v>97196.886118326569</c:v>
                </c:pt>
                <c:pt idx="4">
                  <c:v>94569.943250263692</c:v>
                </c:pt>
                <c:pt idx="5">
                  <c:v>91943.000382200815</c:v>
                </c:pt>
                <c:pt idx="6">
                  <c:v>89316.057514137923</c:v>
                </c:pt>
                <c:pt idx="7">
                  <c:v>86689.114646075046</c:v>
                </c:pt>
                <c:pt idx="8">
                  <c:v>84062.171778012169</c:v>
                </c:pt>
                <c:pt idx="9">
                  <c:v>81435.228909949277</c:v>
                </c:pt>
                <c:pt idx="10">
                  <c:v>78808.2860418864</c:v>
                </c:pt>
                <c:pt idx="11">
                  <c:v>76181.343173823523</c:v>
                </c:pt>
                <c:pt idx="12">
                  <c:v>73554.400305760631</c:v>
                </c:pt>
                <c:pt idx="13">
                  <c:v>70927.457437697754</c:v>
                </c:pt>
                <c:pt idx="14">
                  <c:v>68300.514569634877</c:v>
                </c:pt>
                <c:pt idx="15">
                  <c:v>65673.571701572</c:v>
                </c:pt>
                <c:pt idx="16">
                  <c:v>63046.628833509109</c:v>
                </c:pt>
                <c:pt idx="17">
                  <c:v>60419.685965446231</c:v>
                </c:pt>
                <c:pt idx="18">
                  <c:v>57792.743097383347</c:v>
                </c:pt>
                <c:pt idx="19">
                  <c:v>55165.80022932047</c:v>
                </c:pt>
                <c:pt idx="20">
                  <c:v>52538.857361257586</c:v>
                </c:pt>
                <c:pt idx="21">
                  <c:v>49911.914493194701</c:v>
                </c:pt>
                <c:pt idx="22">
                  <c:v>47284.971625131831</c:v>
                </c:pt>
                <c:pt idx="23">
                  <c:v>44658.028757068947</c:v>
                </c:pt>
                <c:pt idx="24">
                  <c:v>42031.08588900607</c:v>
                </c:pt>
                <c:pt idx="25">
                  <c:v>39404.143020943186</c:v>
                </c:pt>
                <c:pt idx="26">
                  <c:v>36777.200152880308</c:v>
                </c:pt>
                <c:pt idx="27">
                  <c:v>34150.257284817431</c:v>
                </c:pt>
                <c:pt idx="28">
                  <c:v>31523.314416754551</c:v>
                </c:pt>
                <c:pt idx="29">
                  <c:v>28896.371548691674</c:v>
                </c:pt>
                <c:pt idx="30">
                  <c:v>26269.428680628793</c:v>
                </c:pt>
                <c:pt idx="31">
                  <c:v>23642.485812565916</c:v>
                </c:pt>
                <c:pt idx="32">
                  <c:v>21015.542944503035</c:v>
                </c:pt>
                <c:pt idx="33">
                  <c:v>18388.600076440154</c:v>
                </c:pt>
                <c:pt idx="34">
                  <c:v>15761.657208377275</c:v>
                </c:pt>
                <c:pt idx="35">
                  <c:v>13134.714340314396</c:v>
                </c:pt>
                <c:pt idx="36">
                  <c:v>10507.771472251517</c:v>
                </c:pt>
                <c:pt idx="37">
                  <c:v>7880.8286041886377</c:v>
                </c:pt>
              </c:numCache>
            </c:numRef>
          </c:xVal>
          <c:yVal>
            <c:numRef>
              <c:f>Ogden!$F$12:$F$49</c:f>
              <c:numCache>
                <c:formatCode>0.0</c:formatCode>
                <c:ptCount val="38"/>
                <c:pt idx="0">
                  <c:v>150.4852620291947</c:v>
                </c:pt>
                <c:pt idx="1">
                  <c:v>156.02768349358587</c:v>
                </c:pt>
                <c:pt idx="2">
                  <c:v>161.92629904008027</c:v>
                </c:pt>
                <c:pt idx="3">
                  <c:v>168.21430363133538</c:v>
                </c:pt>
                <c:pt idx="4">
                  <c:v>174.92899960331556</c:v>
                </c:pt>
                <c:pt idx="5">
                  <c:v>182.11243753872205</c:v>
                </c:pt>
                <c:pt idx="6">
                  <c:v>189.81217905657448</c:v>
                </c:pt>
                <c:pt idx="7">
                  <c:v>198.08220913470109</c:v>
                </c:pt>
                <c:pt idx="8">
                  <c:v>206.9840329027862</c:v>
                </c:pt>
                <c:pt idx="9">
                  <c:v>216.58800140594991</c:v>
                </c:pt>
                <c:pt idx="10">
                  <c:v>226.9749234269303</c:v>
                </c:pt>
                <c:pt idx="11">
                  <c:v>238.23803716462263</c:v>
                </c:pt>
                <c:pt idx="12">
                  <c:v>250.48543794413962</c:v>
                </c:pt>
                <c:pt idx="13">
                  <c:v>263.84308838435834</c:v>
                </c:pt>
                <c:pt idx="14">
                  <c:v>278.45857875567862</c:v>
                </c:pt>
                <c:pt idx="15">
                  <c:v>294.50586227261732</c:v>
                </c:pt>
                <c:pt idx="16">
                  <c:v>312.1912696646192</c:v>
                </c:pt>
                <c:pt idx="17">
                  <c:v>331.76121988486972</c:v>
                </c:pt>
                <c:pt idx="18">
                  <c:v>353.51220499727111</c:v>
                </c:pt>
                <c:pt idx="19">
                  <c:v>377.80386152301361</c:v>
                </c:pt>
                <c:pt idx="20">
                  <c:v>405.07628630684763</c:v>
                </c:pt>
                <c:pt idx="21">
                  <c:v>435.87327414057728</c:v>
                </c:pt>
                <c:pt idx="22">
                  <c:v>470.87394852617655</c:v>
                </c:pt>
                <c:pt idx="23">
                  <c:v>510.9364967124219</c:v>
                </c:pt>
                <c:pt idx="24">
                  <c:v>557.15969951136401</c:v>
                </c:pt>
                <c:pt idx="25">
                  <c:v>610.97118632603872</c:v>
                </c:pt>
                <c:pt idx="26">
                  <c:v>674.2567983612355</c:v>
                </c:pt>
                <c:pt idx="27">
                  <c:v>749.55490957480026</c:v>
                </c:pt>
                <c:pt idx="28">
                  <c:v>840.35657995950191</c:v>
                </c:pt>
                <c:pt idx="29">
                  <c:v>951.58428960743277</c:v>
                </c:pt>
                <c:pt idx="30">
                  <c:v>1090.3845035423699</c:v>
                </c:pt>
                <c:pt idx="31">
                  <c:v>1267.4986760538766</c:v>
                </c:pt>
                <c:pt idx="32">
                  <c:v>1499.7626937986615</c:v>
                </c:pt>
                <c:pt idx="33">
                  <c:v>1814.9647095961257</c:v>
                </c:pt>
                <c:pt idx="34">
                  <c:v>2262.0721656947239</c:v>
                </c:pt>
                <c:pt idx="35">
                  <c:v>2935.097426722024</c:v>
                </c:pt>
                <c:pt idx="36">
                  <c:v>4037.061796972881</c:v>
                </c:pt>
                <c:pt idx="37">
                  <c:v>6089.0467271136431</c:v>
                </c:pt>
              </c:numCache>
            </c:numRef>
          </c:yVal>
          <c:smooth val="1"/>
          <c:extLst>
            <c:ext xmlns:c16="http://schemas.microsoft.com/office/drawing/2014/chart" uri="{C3380CC4-5D6E-409C-BE32-E72D297353CC}">
              <c16:uniqueId val="{00000000-CF21-4F6B-BB45-714F170EDE22}"/>
            </c:ext>
          </c:extLst>
        </c:ser>
        <c:ser>
          <c:idx val="0"/>
          <c:order val="1"/>
          <c:tx>
            <c:strRef>
              <c:f>Ogden!$G$10</c:f>
              <c:strCache>
                <c:ptCount val="1"/>
                <c:pt idx="0">
                  <c:v>Winter</c:v>
                </c:pt>
              </c:strCache>
            </c:strRef>
          </c:tx>
          <c:spPr>
            <a:ln w="12700" cap="rnd">
              <a:solidFill>
                <a:schemeClr val="accent1"/>
              </a:solidFill>
              <a:round/>
            </a:ln>
            <a:effectLst/>
          </c:spPr>
          <c:marker>
            <c:symbol val="diamond"/>
            <c:size val="4"/>
            <c:spPr>
              <a:solidFill>
                <a:schemeClr val="accent1"/>
              </a:solidFill>
              <a:ln w="9525">
                <a:solidFill>
                  <a:schemeClr val="accent1"/>
                </a:solidFill>
              </a:ln>
              <a:effectLst/>
            </c:spPr>
          </c:marker>
          <c:xVal>
            <c:numRef>
              <c:f>Ogden!$C$12:$C$44</c:f>
              <c:numCache>
                <c:formatCode>0.0</c:formatCode>
                <c:ptCount val="33"/>
                <c:pt idx="0">
                  <c:v>50662.46959835555</c:v>
                </c:pt>
                <c:pt idx="1">
                  <c:v>49395.907858396662</c:v>
                </c:pt>
                <c:pt idx="2">
                  <c:v>48129.346118437774</c:v>
                </c:pt>
                <c:pt idx="3">
                  <c:v>46862.784378478886</c:v>
                </c:pt>
                <c:pt idx="4">
                  <c:v>45596.22263851999</c:v>
                </c:pt>
                <c:pt idx="5">
                  <c:v>44329.660898561102</c:v>
                </c:pt>
                <c:pt idx="6">
                  <c:v>43063.099158602214</c:v>
                </c:pt>
                <c:pt idx="7">
                  <c:v>41796.537418643326</c:v>
                </c:pt>
                <c:pt idx="8">
                  <c:v>40529.975678684437</c:v>
                </c:pt>
                <c:pt idx="9">
                  <c:v>39263.413938725549</c:v>
                </c:pt>
                <c:pt idx="10">
                  <c:v>37996.852198766661</c:v>
                </c:pt>
                <c:pt idx="11">
                  <c:v>36730.290458807765</c:v>
                </c:pt>
                <c:pt idx="12">
                  <c:v>35463.728718848877</c:v>
                </c:pt>
                <c:pt idx="13">
                  <c:v>34197.166978889989</c:v>
                </c:pt>
                <c:pt idx="14">
                  <c:v>32930.605238931101</c:v>
                </c:pt>
                <c:pt idx="15">
                  <c:v>31664.043498972213</c:v>
                </c:pt>
                <c:pt idx="16">
                  <c:v>30397.481759013321</c:v>
                </c:pt>
                <c:pt idx="17">
                  <c:v>29130.920019054432</c:v>
                </c:pt>
                <c:pt idx="18">
                  <c:v>27864.358279095544</c:v>
                </c:pt>
                <c:pt idx="19">
                  <c:v>26597.796539136652</c:v>
                </c:pt>
                <c:pt idx="20">
                  <c:v>25331.234799177764</c:v>
                </c:pt>
                <c:pt idx="21">
                  <c:v>24064.673059218876</c:v>
                </c:pt>
                <c:pt idx="22">
                  <c:v>22798.111319259988</c:v>
                </c:pt>
                <c:pt idx="23">
                  <c:v>21531.5495793011</c:v>
                </c:pt>
                <c:pt idx="24">
                  <c:v>20264.987839342211</c:v>
                </c:pt>
                <c:pt idx="25">
                  <c:v>18998.426099383323</c:v>
                </c:pt>
                <c:pt idx="26">
                  <c:v>17731.864359424435</c:v>
                </c:pt>
                <c:pt idx="27">
                  <c:v>16465.302619465547</c:v>
                </c:pt>
                <c:pt idx="28">
                  <c:v>15198.740879506659</c:v>
                </c:pt>
                <c:pt idx="29">
                  <c:v>13932.179139547772</c:v>
                </c:pt>
                <c:pt idx="30">
                  <c:v>12665.617399588882</c:v>
                </c:pt>
                <c:pt idx="31">
                  <c:v>11399.055659629994</c:v>
                </c:pt>
                <c:pt idx="32">
                  <c:v>10132.493919671106</c:v>
                </c:pt>
              </c:numCache>
            </c:numRef>
          </c:xVal>
          <c:yVal>
            <c:numRef>
              <c:f>Ogden!$G$12:$G$44</c:f>
              <c:numCache>
                <c:formatCode>0.0</c:formatCode>
                <c:ptCount val="33"/>
                <c:pt idx="0">
                  <c:v>64.738281967445104</c:v>
                </c:pt>
                <c:pt idx="1">
                  <c:v>69.222851958730601</c:v>
                </c:pt>
                <c:pt idx="2">
                  <c:v>74.146973862413731</c:v>
                </c:pt>
                <c:pt idx="3">
                  <c:v>79.567058951600572</c:v>
                </c:pt>
                <c:pt idx="4">
                  <c:v>85.548565620183197</c:v>
                </c:pt>
                <c:pt idx="5">
                  <c:v>92.167757085684485</c:v>
                </c:pt>
                <c:pt idx="6">
                  <c:v>99.513863752741074</c:v>
                </c:pt>
                <c:pt idx="7">
                  <c:v>107.69175884024872</c:v>
                </c:pt>
                <c:pt idx="8">
                  <c:v>116.82528943059604</c:v>
                </c:pt>
                <c:pt idx="9">
                  <c:v>127.06145047427756</c:v>
                </c:pt>
                <c:pt idx="10">
                  <c:v>138.5756511869651</c:v>
                </c:pt>
                <c:pt idx="11">
                  <c:v>151.57840852777576</c:v>
                </c:pt>
                <c:pt idx="12">
                  <c:v>166.32392103205112</c:v>
                </c:pt>
                <c:pt idx="13">
                  <c:v>183.12114298753232</c:v>
                </c:pt>
                <c:pt idx="14">
                  <c:v>202.34821600209679</c:v>
                </c:pt>
                <c:pt idx="15">
                  <c:v>224.4714562152862</c:v>
                </c:pt>
                <c:pt idx="16">
                  <c:v>250.07059294671424</c:v>
                </c:pt>
                <c:pt idx="17">
                  <c:v>279.87269031514001</c:v>
                </c:pt>
                <c:pt idx="18">
                  <c:v>314.79828788972497</c:v>
                </c:pt>
                <c:pt idx="19">
                  <c:v>356.02498188901893</c:v>
                </c:pt>
                <c:pt idx="20">
                  <c:v>405.0762863068469</c:v>
                </c:pt>
                <c:pt idx="21">
                  <c:v>463.94775857939919</c:v>
                </c:pt>
                <c:pt idx="22">
                  <c:v>535.28907791726022</c:v>
                </c:pt>
                <c:pt idx="23">
                  <c:v>622.6718587508534</c:v>
                </c:pt>
                <c:pt idx="24">
                  <c:v>730.99181737732204</c:v>
                </c:pt>
                <c:pt idx="25">
                  <c:v>867.08680628251068</c:v>
                </c:pt>
                <c:pt idx="26">
                  <c:v>1040.7115265977641</c:v>
                </c:pt>
                <c:pt idx="27">
                  <c:v>1266.1204682596178</c:v>
                </c:pt>
                <c:pt idx="28">
                  <c:v>1564.7259091049916</c:v>
                </c:pt>
                <c:pt idx="29">
                  <c:v>1969.7359509516727</c:v>
                </c:pt>
                <c:pt idx="30">
                  <c:v>2534.6177368540648</c:v>
                </c:pt>
                <c:pt idx="31">
                  <c:v>3349.3769867476135</c:v>
                </c:pt>
                <c:pt idx="32">
                  <c:v>4573.9157991990078</c:v>
                </c:pt>
              </c:numCache>
            </c:numRef>
          </c:yVal>
          <c:smooth val="1"/>
          <c:extLst>
            <c:ext xmlns:c16="http://schemas.microsoft.com/office/drawing/2014/chart" uri="{C3380CC4-5D6E-409C-BE32-E72D297353CC}">
              <c16:uniqueId val="{00000001-CF21-4F6B-BB45-714F170EDE22}"/>
            </c:ext>
          </c:extLst>
        </c:ser>
        <c:ser>
          <c:idx val="2"/>
          <c:order val="2"/>
          <c:tx>
            <c:strRef>
              <c:f>Ogden!$H$10</c:f>
              <c:strCache>
                <c:ptCount val="1"/>
                <c:pt idx="0">
                  <c:v>Fall, Spring</c:v>
                </c:pt>
              </c:strCache>
            </c:strRef>
          </c:tx>
          <c:spPr>
            <a:ln w="12700" cap="rnd">
              <a:solidFill>
                <a:schemeClr val="accent3"/>
              </a:solidFill>
              <a:round/>
            </a:ln>
            <a:effectLst/>
          </c:spPr>
          <c:marker>
            <c:symbol val="diamond"/>
            <c:size val="4"/>
            <c:spPr>
              <a:solidFill>
                <a:schemeClr val="accent3"/>
              </a:solidFill>
              <a:ln w="9525">
                <a:solidFill>
                  <a:schemeClr val="accent3"/>
                </a:solidFill>
              </a:ln>
              <a:effectLst/>
            </c:spPr>
          </c:marker>
          <c:xVal>
            <c:numRef>
              <c:f>Ogden!$D$12:$D$46</c:f>
              <c:numCache>
                <c:formatCode>0.0</c:formatCode>
                <c:ptCount val="35"/>
                <c:pt idx="0">
                  <c:v>71302.734990278186</c:v>
                </c:pt>
                <c:pt idx="1">
                  <c:v>69520.16661552123</c:v>
                </c:pt>
                <c:pt idx="2">
                  <c:v>67737.598240764273</c:v>
                </c:pt>
                <c:pt idx="3">
                  <c:v>65955.029866007317</c:v>
                </c:pt>
                <c:pt idx="4">
                  <c:v>64172.461491250368</c:v>
                </c:pt>
                <c:pt idx="5">
                  <c:v>62389.893116493411</c:v>
                </c:pt>
                <c:pt idx="6">
                  <c:v>60607.324741736455</c:v>
                </c:pt>
                <c:pt idx="7">
                  <c:v>58824.756366979498</c:v>
                </c:pt>
                <c:pt idx="8">
                  <c:v>57042.187992222542</c:v>
                </c:pt>
                <c:pt idx="9">
                  <c:v>55259.619617465592</c:v>
                </c:pt>
                <c:pt idx="10">
                  <c:v>53477.051242708636</c:v>
                </c:pt>
                <c:pt idx="11">
                  <c:v>51694.48286795168</c:v>
                </c:pt>
                <c:pt idx="12">
                  <c:v>49911.914493194723</c:v>
                </c:pt>
                <c:pt idx="13">
                  <c:v>48129.346118437767</c:v>
                </c:pt>
                <c:pt idx="14">
                  <c:v>46346.77774368081</c:v>
                </c:pt>
                <c:pt idx="15">
                  <c:v>44564.209368923854</c:v>
                </c:pt>
                <c:pt idx="16">
                  <c:v>42781.640994166897</c:v>
                </c:pt>
                <c:pt idx="17">
                  <c:v>40999.072619409948</c:v>
                </c:pt>
                <c:pt idx="18">
                  <c:v>39216.504244652991</c:v>
                </c:pt>
                <c:pt idx="19">
                  <c:v>37433.935869896035</c:v>
                </c:pt>
                <c:pt idx="20">
                  <c:v>35651.367495139079</c:v>
                </c:pt>
                <c:pt idx="21">
                  <c:v>33868.799120382122</c:v>
                </c:pt>
                <c:pt idx="22">
                  <c:v>32086.230745625173</c:v>
                </c:pt>
                <c:pt idx="23">
                  <c:v>30303.662370868216</c:v>
                </c:pt>
                <c:pt idx="24">
                  <c:v>28521.093996111264</c:v>
                </c:pt>
                <c:pt idx="25">
                  <c:v>26738.525621354311</c:v>
                </c:pt>
                <c:pt idx="26">
                  <c:v>24955.957246597354</c:v>
                </c:pt>
                <c:pt idx="27">
                  <c:v>23173.388871840401</c:v>
                </c:pt>
                <c:pt idx="28">
                  <c:v>21390.820497083445</c:v>
                </c:pt>
                <c:pt idx="29">
                  <c:v>19608.252122326496</c:v>
                </c:pt>
                <c:pt idx="30">
                  <c:v>17825.683747569539</c:v>
                </c:pt>
                <c:pt idx="31">
                  <c:v>16043.115372812586</c:v>
                </c:pt>
                <c:pt idx="32">
                  <c:v>14260.546998055632</c:v>
                </c:pt>
                <c:pt idx="33">
                  <c:v>12477.978623298677</c:v>
                </c:pt>
                <c:pt idx="34">
                  <c:v>10695.410248541722</c:v>
                </c:pt>
              </c:numCache>
            </c:numRef>
          </c:xVal>
          <c:yVal>
            <c:numRef>
              <c:f>Ogden!$H$12:$H$46</c:f>
              <c:numCache>
                <c:formatCode>0.0</c:formatCode>
                <c:ptCount val="35"/>
                <c:pt idx="0">
                  <c:v>97.018915647446619</c:v>
                </c:pt>
                <c:pt idx="1">
                  <c:v>102.21798411611684</c:v>
                </c:pt>
                <c:pt idx="2">
                  <c:v>107.84179974319034</c:v>
                </c:pt>
                <c:pt idx="3">
                  <c:v>113.93765496162025</c:v>
                </c:pt>
                <c:pt idx="4">
                  <c:v>120.55958870575198</c:v>
                </c:pt>
                <c:pt idx="5">
                  <c:v>127.76957230126649</c:v>
                </c:pt>
                <c:pt idx="6">
                  <c:v>135.63894542933133</c:v>
                </c:pt>
                <c:pt idx="7">
                  <c:v>144.25016421460649</c:v>
                </c:pt>
                <c:pt idx="8">
                  <c:v>153.69894134054061</c:v>
                </c:pt>
                <c:pt idx="9">
                  <c:v>164.09688183968839</c:v>
                </c:pt>
                <c:pt idx="10">
                  <c:v>175.57475005044753</c:v>
                </c:pt>
                <c:pt idx="11">
                  <c:v>188.28654631819472</c:v>
                </c:pt>
                <c:pt idx="12">
                  <c:v>202.41463087054368</c:v>
                </c:pt>
                <c:pt idx="13">
                  <c:v>218.17621349341732</c:v>
                </c:pt>
                <c:pt idx="14">
                  <c:v>235.83164086881374</c:v>
                </c:pt>
                <c:pt idx="15">
                  <c:v>255.69507316846261</c:v>
                </c:pt>
                <c:pt idx="16">
                  <c:v>278.14836961223068</c:v>
                </c:pt>
                <c:pt idx="17">
                  <c:v>303.65933280364942</c:v>
                </c:pt>
                <c:pt idx="18">
                  <c:v>332.80594619907691</c:v>
                </c:pt>
                <c:pt idx="19">
                  <c:v>366.30896134515427</c:v>
                </c:pt>
                <c:pt idx="20">
                  <c:v>405.0762863068469</c:v>
                </c:pt>
                <c:pt idx="21">
                  <c:v>450.2643165726596</c:v>
                </c:pt>
                <c:pt idx="22">
                  <c:v>503.36401046852978</c:v>
                </c:pt>
                <c:pt idx="23">
                  <c:v>566.32379290601205</c:v>
                </c:pt>
                <c:pt idx="24">
                  <c:v>641.72842947207744</c:v>
                </c:pt>
                <c:pt idx="25">
                  <c:v>733.06496207535906</c:v>
                </c:pt>
                <c:pt idx="26">
                  <c:v>845.12763743065727</c:v>
                </c:pt>
                <c:pt idx="27">
                  <c:v>984.65133978543849</c:v>
                </c:pt>
                <c:pt idx="28">
                  <c:v>1161.3334147565436</c:v>
                </c:pt>
                <c:pt idx="29">
                  <c:v>1389.5413677580711</c:v>
                </c:pt>
                <c:pt idx="30">
                  <c:v>1691.2866592367852</c:v>
                </c:pt>
                <c:pt idx="31">
                  <c:v>2101.6605129051291</c:v>
                </c:pt>
                <c:pt idx="32">
                  <c:v>2679.3637848179246</c:v>
                </c:pt>
                <c:pt idx="33">
                  <c:v>3528.6022580350154</c:v>
                </c:pt>
                <c:pt idx="34">
                  <c:v>4848.8341028578498</c:v>
                </c:pt>
              </c:numCache>
            </c:numRef>
          </c:yVal>
          <c:smooth val="1"/>
          <c:extLst>
            <c:ext xmlns:c16="http://schemas.microsoft.com/office/drawing/2014/chart" uri="{C3380CC4-5D6E-409C-BE32-E72D297353CC}">
              <c16:uniqueId val="{00000002-CF21-4F6B-BB45-714F170EDE22}"/>
            </c:ext>
          </c:extLst>
        </c:ser>
        <c:ser>
          <c:idx val="3"/>
          <c:order val="3"/>
          <c:tx>
            <c:strRef>
              <c:f>Ogden!$E$10</c:f>
              <c:strCache>
                <c:ptCount val="1"/>
                <c:pt idx="0">
                  <c:v>2010 Price</c:v>
                </c:pt>
              </c:strCache>
            </c:strRef>
          </c:tx>
          <c:spPr>
            <a:ln w="19050" cap="rnd">
              <a:solidFill>
                <a:schemeClr val="tx1"/>
              </a:solidFill>
              <a:round/>
            </a:ln>
            <a:effectLst/>
          </c:spPr>
          <c:marker>
            <c:symbol val="none"/>
          </c:marker>
          <c:xVal>
            <c:numRef>
              <c:f>Ogden!$B$12:$B$52</c:f>
              <c:numCache>
                <c:formatCode>0.0</c:formatCode>
                <c:ptCount val="41"/>
                <c:pt idx="0">
                  <c:v>105077.71472251521</c:v>
                </c:pt>
                <c:pt idx="1">
                  <c:v>102450.77185445234</c:v>
                </c:pt>
                <c:pt idx="2">
                  <c:v>99823.828986389461</c:v>
                </c:pt>
                <c:pt idx="3">
                  <c:v>97196.886118326569</c:v>
                </c:pt>
                <c:pt idx="4">
                  <c:v>94569.943250263692</c:v>
                </c:pt>
                <c:pt idx="5">
                  <c:v>91943.000382200815</c:v>
                </c:pt>
                <c:pt idx="6">
                  <c:v>89316.057514137923</c:v>
                </c:pt>
                <c:pt idx="7">
                  <c:v>86689.114646075046</c:v>
                </c:pt>
                <c:pt idx="8">
                  <c:v>84062.171778012169</c:v>
                </c:pt>
                <c:pt idx="9">
                  <c:v>81435.228909949277</c:v>
                </c:pt>
                <c:pt idx="10">
                  <c:v>78808.2860418864</c:v>
                </c:pt>
                <c:pt idx="11">
                  <c:v>76181.343173823523</c:v>
                </c:pt>
                <c:pt idx="12">
                  <c:v>73554.400305760631</c:v>
                </c:pt>
                <c:pt idx="13">
                  <c:v>70927.457437697754</c:v>
                </c:pt>
                <c:pt idx="14">
                  <c:v>68300.514569634877</c:v>
                </c:pt>
                <c:pt idx="15">
                  <c:v>65673.571701572</c:v>
                </c:pt>
                <c:pt idx="16">
                  <c:v>63046.628833509109</c:v>
                </c:pt>
                <c:pt idx="17">
                  <c:v>60419.685965446231</c:v>
                </c:pt>
                <c:pt idx="18">
                  <c:v>57792.743097383347</c:v>
                </c:pt>
                <c:pt idx="19">
                  <c:v>55165.80022932047</c:v>
                </c:pt>
                <c:pt idx="20">
                  <c:v>52538.857361257586</c:v>
                </c:pt>
                <c:pt idx="21">
                  <c:v>49911.914493194701</c:v>
                </c:pt>
                <c:pt idx="22">
                  <c:v>47284.971625131831</c:v>
                </c:pt>
                <c:pt idx="23">
                  <c:v>44658.028757068947</c:v>
                </c:pt>
                <c:pt idx="24">
                  <c:v>42031.08588900607</c:v>
                </c:pt>
                <c:pt idx="25">
                  <c:v>39404.143020943186</c:v>
                </c:pt>
                <c:pt idx="26">
                  <c:v>36777.200152880308</c:v>
                </c:pt>
                <c:pt idx="27">
                  <c:v>34150.257284817431</c:v>
                </c:pt>
                <c:pt idx="28">
                  <c:v>31523.314416754551</c:v>
                </c:pt>
                <c:pt idx="29">
                  <c:v>28896.371548691674</c:v>
                </c:pt>
                <c:pt idx="30">
                  <c:v>26269.428680628793</c:v>
                </c:pt>
                <c:pt idx="31">
                  <c:v>23642.485812565916</c:v>
                </c:pt>
                <c:pt idx="32">
                  <c:v>21015.542944503035</c:v>
                </c:pt>
                <c:pt idx="33">
                  <c:v>18388.600076440154</c:v>
                </c:pt>
                <c:pt idx="34">
                  <c:v>15761.657208377275</c:v>
                </c:pt>
                <c:pt idx="35">
                  <c:v>13134.714340314396</c:v>
                </c:pt>
                <c:pt idx="36">
                  <c:v>10507.771472251517</c:v>
                </c:pt>
                <c:pt idx="37">
                  <c:v>7880.8286041886377</c:v>
                </c:pt>
                <c:pt idx="38">
                  <c:v>5253.8857361257587</c:v>
                </c:pt>
                <c:pt idx="39">
                  <c:v>2626.9428680628794</c:v>
                </c:pt>
                <c:pt idx="40" formatCode="General">
                  <c:v>0</c:v>
                </c:pt>
              </c:numCache>
            </c:numRef>
          </c:xVal>
          <c:yVal>
            <c:numRef>
              <c:f>Ogden!$E$11:$E$52</c:f>
              <c:numCache>
                <c:formatCode>0.0</c:formatCode>
                <c:ptCount val="42"/>
                <c:pt idx="0">
                  <c:v>405.07628630684763</c:v>
                </c:pt>
                <c:pt idx="1">
                  <c:v>405.07628630684763</c:v>
                </c:pt>
                <c:pt idx="2">
                  <c:v>405.07628630684763</c:v>
                </c:pt>
                <c:pt idx="3">
                  <c:v>405.07628630684763</c:v>
                </c:pt>
                <c:pt idx="4">
                  <c:v>405.07628630684763</c:v>
                </c:pt>
                <c:pt idx="5">
                  <c:v>405.07628630684763</c:v>
                </c:pt>
                <c:pt idx="6">
                  <c:v>405.07628630684763</c:v>
                </c:pt>
                <c:pt idx="7">
                  <c:v>405.07628630684763</c:v>
                </c:pt>
                <c:pt idx="8">
                  <c:v>405.07628630684763</c:v>
                </c:pt>
                <c:pt idx="9">
                  <c:v>405.07628630684763</c:v>
                </c:pt>
                <c:pt idx="10">
                  <c:v>405.07628630684763</c:v>
                </c:pt>
                <c:pt idx="11">
                  <c:v>405.07628630684763</c:v>
                </c:pt>
                <c:pt idx="12">
                  <c:v>405.07628630684763</c:v>
                </c:pt>
                <c:pt idx="13">
                  <c:v>405.07628630684763</c:v>
                </c:pt>
                <c:pt idx="14">
                  <c:v>405.07628630684763</c:v>
                </c:pt>
                <c:pt idx="15">
                  <c:v>405.07628630684763</c:v>
                </c:pt>
                <c:pt idx="16">
                  <c:v>405.07628630684763</c:v>
                </c:pt>
                <c:pt idx="17">
                  <c:v>405.07628630684763</c:v>
                </c:pt>
                <c:pt idx="18">
                  <c:v>405.07628630684763</c:v>
                </c:pt>
                <c:pt idx="19">
                  <c:v>405.07628630684763</c:v>
                </c:pt>
                <c:pt idx="20">
                  <c:v>405.07628630684763</c:v>
                </c:pt>
                <c:pt idx="21">
                  <c:v>405.07628630684763</c:v>
                </c:pt>
                <c:pt idx="22">
                  <c:v>405.07628630684763</c:v>
                </c:pt>
                <c:pt idx="23">
                  <c:v>405.07628630684763</c:v>
                </c:pt>
                <c:pt idx="24">
                  <c:v>405.07628630684763</c:v>
                </c:pt>
                <c:pt idx="25">
                  <c:v>405.07628630684763</c:v>
                </c:pt>
                <c:pt idx="26">
                  <c:v>405.07628630684763</c:v>
                </c:pt>
                <c:pt idx="27">
                  <c:v>405.07628630684763</c:v>
                </c:pt>
                <c:pt idx="28">
                  <c:v>405.07628630684763</c:v>
                </c:pt>
                <c:pt idx="29">
                  <c:v>405.07628630684763</c:v>
                </c:pt>
                <c:pt idx="30">
                  <c:v>405.07628630684763</c:v>
                </c:pt>
                <c:pt idx="31">
                  <c:v>405.07628630684763</c:v>
                </c:pt>
                <c:pt idx="32">
                  <c:v>405.07628630684763</c:v>
                </c:pt>
                <c:pt idx="33">
                  <c:v>405.07628630684763</c:v>
                </c:pt>
                <c:pt idx="34">
                  <c:v>405.07628630684763</c:v>
                </c:pt>
                <c:pt idx="35">
                  <c:v>405.07628630684763</c:v>
                </c:pt>
                <c:pt idx="36">
                  <c:v>405.07628630684763</c:v>
                </c:pt>
                <c:pt idx="37">
                  <c:v>405.07628630684763</c:v>
                </c:pt>
                <c:pt idx="38">
                  <c:v>405.07628630684763</c:v>
                </c:pt>
                <c:pt idx="39">
                  <c:v>405.07628630684763</c:v>
                </c:pt>
                <c:pt idx="40">
                  <c:v>405.07628630684763</c:v>
                </c:pt>
                <c:pt idx="41">
                  <c:v>405.07628630684763</c:v>
                </c:pt>
              </c:numCache>
            </c:numRef>
          </c:yVal>
          <c:smooth val="1"/>
          <c:extLst>
            <c:ext xmlns:c16="http://schemas.microsoft.com/office/drawing/2014/chart" uri="{C3380CC4-5D6E-409C-BE32-E72D297353CC}">
              <c16:uniqueId val="{00000000-FFA2-4AFA-8A97-CAC1F30B644D}"/>
            </c:ext>
          </c:extLst>
        </c:ser>
        <c:dLbls>
          <c:showLegendKey val="0"/>
          <c:showVal val="0"/>
          <c:showCatName val="0"/>
          <c:showSerName val="0"/>
          <c:showPercent val="0"/>
          <c:showBubbleSize val="0"/>
        </c:dLbls>
        <c:axId val="204806912"/>
        <c:axId val="204807488"/>
      </c:scatterChart>
      <c:valAx>
        <c:axId val="204806912"/>
        <c:scaling>
          <c:orientation val="minMax"/>
          <c:max val="100000"/>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n-US" sz="1200">
                    <a:solidFill>
                      <a:sysClr val="windowText" lastClr="000000"/>
                    </a:solidFill>
                  </a:rPr>
                  <a:t>Water Quantity, af</a:t>
                </a:r>
              </a:p>
            </c:rich>
          </c:tx>
          <c:layout>
            <c:manualLayout>
              <c:xMode val="edge"/>
              <c:yMode val="edge"/>
              <c:x val="0.38920713035870519"/>
              <c:y val="0.88388815981335667"/>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title>
        <c:numFmt formatCode="0"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crossAx val="204807488"/>
        <c:crosses val="autoZero"/>
        <c:crossBetween val="midCat"/>
      </c:valAx>
      <c:valAx>
        <c:axId val="204807488"/>
        <c:scaling>
          <c:orientation val="minMax"/>
          <c:max val="4000"/>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n-US" sz="1200">
                    <a:solidFill>
                      <a:sysClr val="windowText" lastClr="000000"/>
                    </a:solidFill>
                  </a:rPr>
                  <a:t>Price, $/af</a:t>
                </a:r>
              </a:p>
            </c:rich>
          </c:tx>
          <c:layout>
            <c:manualLayout>
              <c:xMode val="edge"/>
              <c:yMode val="edge"/>
              <c:x val="2.2222222222222223E-2"/>
              <c:y val="0.2593667979002624"/>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crossAx val="204806912"/>
        <c:crosses val="autoZero"/>
        <c:crossBetween val="midCat"/>
      </c:valAx>
      <c:spPr>
        <a:noFill/>
        <a:ln>
          <a:solidFill>
            <a:schemeClr val="tx1"/>
          </a:solidFill>
        </a:ln>
        <a:effectLst/>
      </c:spPr>
    </c:plotArea>
    <c:legend>
      <c:legendPos val="b"/>
      <c:layout>
        <c:manualLayout>
          <c:xMode val="edge"/>
          <c:yMode val="edge"/>
          <c:x val="0.54959448818897638"/>
          <c:y val="8.0800419947506544E-2"/>
          <c:w val="0.34762773403324587"/>
          <c:h val="0.36310887139107612"/>
        </c:manualLayout>
      </c:layout>
      <c:overlay val="0"/>
      <c:spPr>
        <a:solidFill>
          <a:schemeClr val="bg1"/>
        </a:solid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legend>
    <c:plotVisOnly val="1"/>
    <c:dispBlanksAs val="zero"/>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787970253718286"/>
          <c:y val="3.9960104986876639E-2"/>
          <c:w val="0.8190717410323709"/>
          <c:h val="0.73334173228346444"/>
        </c:manualLayout>
      </c:layout>
      <c:scatterChart>
        <c:scatterStyle val="smoothMarker"/>
        <c:varyColors val="0"/>
        <c:ser>
          <c:idx val="1"/>
          <c:order val="0"/>
          <c:tx>
            <c:strRef>
              <c:f>Ogden!$I$10</c:f>
              <c:strCache>
                <c:ptCount val="1"/>
                <c:pt idx="0">
                  <c:v>Summer</c:v>
                </c:pt>
              </c:strCache>
            </c:strRef>
          </c:tx>
          <c:spPr>
            <a:ln w="12700" cap="rnd">
              <a:solidFill>
                <a:schemeClr val="accent2"/>
              </a:solidFill>
              <a:round/>
            </a:ln>
            <a:effectLst/>
          </c:spPr>
          <c:marker>
            <c:symbol val="diamond"/>
            <c:size val="4"/>
            <c:spPr>
              <a:solidFill>
                <a:schemeClr val="accent2"/>
              </a:solidFill>
              <a:ln w="9525">
                <a:solidFill>
                  <a:schemeClr val="accent2"/>
                </a:solidFill>
              </a:ln>
              <a:effectLst/>
            </c:spPr>
          </c:marker>
          <c:xVal>
            <c:numRef>
              <c:f>Ogden!$B$57:$B$75</c:f>
              <c:numCache>
                <c:formatCode>General</c:formatCode>
                <c:ptCount val="19"/>
                <c:pt idx="0">
                  <c:v>55.018953668628811</c:v>
                </c:pt>
                <c:pt idx="1">
                  <c:v>52.392010800565927</c:v>
                </c:pt>
                <c:pt idx="2">
                  <c:v>49.765067932503058</c:v>
                </c:pt>
                <c:pt idx="3">
                  <c:v>47.138125064440175</c:v>
                </c:pt>
                <c:pt idx="4">
                  <c:v>44.511182196377298</c:v>
                </c:pt>
                <c:pt idx="5">
                  <c:v>41.884239328314415</c:v>
                </c:pt>
                <c:pt idx="6">
                  <c:v>39.257296460251538</c:v>
                </c:pt>
                <c:pt idx="7">
                  <c:v>36.630353592188655</c:v>
                </c:pt>
                <c:pt idx="8">
                  <c:v>34.003410724125771</c:v>
                </c:pt>
                <c:pt idx="9">
                  <c:v>31.376467856062895</c:v>
                </c:pt>
                <c:pt idx="10">
                  <c:v>28.749524988000019</c:v>
                </c:pt>
                <c:pt idx="11">
                  <c:v>26.122582119937142</c:v>
                </c:pt>
                <c:pt idx="12">
                  <c:v>23.495639251874259</c:v>
                </c:pt>
                <c:pt idx="13">
                  <c:v>20.868696383811379</c:v>
                </c:pt>
                <c:pt idx="14">
                  <c:v>18.241753515748499</c:v>
                </c:pt>
                <c:pt idx="15">
                  <c:v>15.614810647685621</c:v>
                </c:pt>
                <c:pt idx="16">
                  <c:v>12.987867779622743</c:v>
                </c:pt>
                <c:pt idx="17">
                  <c:v>10.360924911559861</c:v>
                </c:pt>
                <c:pt idx="18">
                  <c:v>7.733982043496983</c:v>
                </c:pt>
              </c:numCache>
            </c:numRef>
          </c:xVal>
          <c:yVal>
            <c:numRef>
              <c:f>Ogden!$E$57:$E$75</c:f>
              <c:numCache>
                <c:formatCode>General</c:formatCode>
                <c:ptCount val="19"/>
                <c:pt idx="0">
                  <c:v>0</c:v>
                </c:pt>
                <c:pt idx="1">
                  <c:v>1.1037235114964545</c:v>
                </c:pt>
                <c:pt idx="2">
                  <c:v>2.2937041595314938</c:v>
                </c:pt>
                <c:pt idx="3">
                  <c:v>3.5820669185372984</c:v>
                </c:pt>
                <c:pt idx="4">
                  <c:v>4.9834912338203106</c:v>
                </c:pt>
                <c:pt idx="5">
                  <c:v>6.5159518222474562</c:v>
                </c:pt>
                <c:pt idx="6">
                  <c:v>8.2017413358254458</c:v>
                </c:pt>
                <c:pt idx="7">
                  <c:v>10.068911496872914</c:v>
                </c:pt>
                <c:pt idx="8">
                  <c:v>12.153352086279909</c:v>
                </c:pt>
                <c:pt idx="9">
                  <c:v>14.501871919945206</c:v>
                </c:pt>
                <c:pt idx="10">
                  <c:v>17.176909688320084</c:v>
                </c:pt>
                <c:pt idx="11">
                  <c:v>20.264006558475113</c:v>
                </c:pt>
                <c:pt idx="12">
                  <c:v>23.884191499900528</c:v>
                </c:pt>
                <c:pt idx="13">
                  <c:v>28.215634932128335</c:v>
                </c:pt>
                <c:pt idx="14">
                  <c:v>33.534108602373095</c:v>
                </c:pt>
                <c:pt idx="15">
                  <c:v>40.295315746658623</c:v>
                </c:pt>
                <c:pt idx="16">
                  <c:v>49.322647628904299</c:v>
                </c:pt>
                <c:pt idx="17">
                  <c:v>62.310472916008344</c:v>
                </c:pt>
                <c:pt idx="18">
                  <c:v>83.56027063320019</c:v>
                </c:pt>
              </c:numCache>
            </c:numRef>
          </c:yVal>
          <c:smooth val="1"/>
          <c:extLst>
            <c:ext xmlns:c16="http://schemas.microsoft.com/office/drawing/2014/chart" uri="{C3380CC4-5D6E-409C-BE32-E72D297353CC}">
              <c16:uniqueId val="{00000000-CDFB-4A51-A3E3-23C815DBBACE}"/>
            </c:ext>
          </c:extLst>
        </c:ser>
        <c:ser>
          <c:idx val="0"/>
          <c:order val="1"/>
          <c:tx>
            <c:strRef>
              <c:f>Ogden!$J$10</c:f>
              <c:strCache>
                <c:ptCount val="1"/>
                <c:pt idx="0">
                  <c:v>Winter</c:v>
                </c:pt>
              </c:strCache>
            </c:strRef>
          </c:tx>
          <c:spPr>
            <a:ln w="12700" cap="rnd">
              <a:solidFill>
                <a:schemeClr val="accent1"/>
              </a:solidFill>
              <a:round/>
            </a:ln>
            <a:effectLst/>
          </c:spPr>
          <c:marker>
            <c:symbol val="diamond"/>
            <c:size val="4"/>
            <c:spPr>
              <a:solidFill>
                <a:schemeClr val="accent1"/>
              </a:solidFill>
              <a:ln w="9525">
                <a:solidFill>
                  <a:schemeClr val="accent1"/>
                </a:solidFill>
              </a:ln>
              <a:effectLst/>
            </c:spPr>
          </c:marker>
          <c:xVal>
            <c:numRef>
              <c:f>Ogden!$C$57:$C$73</c:f>
              <c:numCache>
                <c:formatCode>General</c:formatCode>
                <c:ptCount val="17"/>
                <c:pt idx="0">
                  <c:v>27.811331106548991</c:v>
                </c:pt>
                <c:pt idx="1">
                  <c:v>26.544769366590103</c:v>
                </c:pt>
                <c:pt idx="2">
                  <c:v>25.278207626631215</c:v>
                </c:pt>
                <c:pt idx="3">
                  <c:v>24.011645886672326</c:v>
                </c:pt>
                <c:pt idx="4">
                  <c:v>22.745084146713438</c:v>
                </c:pt>
                <c:pt idx="5">
                  <c:v>21.47852240675455</c:v>
                </c:pt>
                <c:pt idx="6">
                  <c:v>20.211960666795662</c:v>
                </c:pt>
                <c:pt idx="7">
                  <c:v>18.945398926836774</c:v>
                </c:pt>
                <c:pt idx="8">
                  <c:v>17.678837186877885</c:v>
                </c:pt>
                <c:pt idx="9">
                  <c:v>16.412275446918997</c:v>
                </c:pt>
                <c:pt idx="10">
                  <c:v>15.145713706960107</c:v>
                </c:pt>
                <c:pt idx="11">
                  <c:v>13.879151967001219</c:v>
                </c:pt>
                <c:pt idx="12">
                  <c:v>12.612590227042331</c:v>
                </c:pt>
                <c:pt idx="13">
                  <c:v>11.346028487083442</c:v>
                </c:pt>
                <c:pt idx="14">
                  <c:v>10.079466747124554</c:v>
                </c:pt>
                <c:pt idx="15">
                  <c:v>8.812905007165666</c:v>
                </c:pt>
                <c:pt idx="16">
                  <c:v>7.5463432672067778</c:v>
                </c:pt>
              </c:numCache>
            </c:numRef>
          </c:xVal>
          <c:yVal>
            <c:numRef>
              <c:f>Ogden!$F$57:$F$73</c:f>
              <c:numCache>
                <c:formatCode>General</c:formatCode>
                <c:ptCount val="17"/>
                <c:pt idx="0">
                  <c:v>0</c:v>
                </c:pt>
                <c:pt idx="1">
                  <c:v>0.54917481246400535</c:v>
                </c:pt>
                <c:pt idx="2">
                  <c:v>1.1804888139396703</c:v>
                </c:pt>
                <c:pt idx="3">
                  <c:v>1.9118823582023912</c:v>
                </c:pt>
                <c:pt idx="4">
                  <c:v>2.766606168780597</c:v>
                </c:pt>
                <c:pt idx="5">
                  <c:v>3.7752610777439872</c:v>
                </c:pt>
                <c:pt idx="6">
                  <c:v>4.9788270649669792</c:v>
                </c:pt>
                <c:pt idx="7">
                  <c:v>6.4332768905045663</c:v>
                </c:pt>
                <c:pt idx="8">
                  <c:v>8.2168091050314729</c:v>
                </c:pt>
                <c:pt idx="9">
                  <c:v>10.441570333057738</c:v>
                </c:pt>
                <c:pt idx="10">
                  <c:v>13.273400713686433</c:v>
                </c:pt>
                <c:pt idx="11">
                  <c:v>16.966640712068845</c:v>
                </c:pt>
                <c:pt idx="12">
                  <c:v>21.928917345150435</c:v>
                </c:pt>
                <c:pt idx="13">
                  <c:v>28.850001732037711</c:v>
                </c:pt>
                <c:pt idx="14">
                  <c:v>38.980250018338829</c:v>
                </c:pt>
                <c:pt idx="15">
                  <c:v>54.800142730616457</c:v>
                </c:pt>
                <c:pt idx="16">
                  <c:v>81.879518538764287</c:v>
                </c:pt>
              </c:numCache>
            </c:numRef>
          </c:yVal>
          <c:smooth val="1"/>
          <c:extLst>
            <c:ext xmlns:c16="http://schemas.microsoft.com/office/drawing/2014/chart" uri="{C3380CC4-5D6E-409C-BE32-E72D297353CC}">
              <c16:uniqueId val="{00000001-CDFB-4A51-A3E3-23C815DBBACE}"/>
            </c:ext>
          </c:extLst>
        </c:ser>
        <c:ser>
          <c:idx val="2"/>
          <c:order val="2"/>
          <c:tx>
            <c:strRef>
              <c:f>Ogden!$K$10</c:f>
              <c:strCache>
                <c:ptCount val="1"/>
                <c:pt idx="0">
                  <c:v>Fall, Spring</c:v>
                </c:pt>
              </c:strCache>
            </c:strRef>
          </c:tx>
          <c:spPr>
            <a:ln w="12700" cap="rnd">
              <a:solidFill>
                <a:schemeClr val="accent3"/>
              </a:solidFill>
              <a:round/>
            </a:ln>
            <a:effectLst/>
          </c:spPr>
          <c:marker>
            <c:symbol val="diamond"/>
            <c:size val="4"/>
            <c:spPr>
              <a:solidFill>
                <a:schemeClr val="accent3"/>
              </a:solidFill>
              <a:ln w="9525">
                <a:solidFill>
                  <a:schemeClr val="accent3"/>
                </a:solidFill>
              </a:ln>
              <a:effectLst/>
            </c:spPr>
          </c:marker>
          <c:xVal>
            <c:numRef>
              <c:f>Ogden!$D$57:$D$74</c:f>
              <c:numCache>
                <c:formatCode>General</c:formatCode>
                <c:ptCount val="18"/>
                <c:pt idx="0">
                  <c:v>38.131463802510304</c:v>
                </c:pt>
                <c:pt idx="1">
                  <c:v>36.348895427753348</c:v>
                </c:pt>
                <c:pt idx="2">
                  <c:v>34.5663270529964</c:v>
                </c:pt>
                <c:pt idx="3">
                  <c:v>32.783758678239444</c:v>
                </c:pt>
                <c:pt idx="4">
                  <c:v>31.001190303482485</c:v>
                </c:pt>
                <c:pt idx="5">
                  <c:v>29.218621928725536</c:v>
                </c:pt>
                <c:pt idx="6">
                  <c:v>27.436053553968581</c:v>
                </c:pt>
                <c:pt idx="7">
                  <c:v>25.653485179211625</c:v>
                </c:pt>
                <c:pt idx="8">
                  <c:v>23.870916804454669</c:v>
                </c:pt>
                <c:pt idx="9">
                  <c:v>22.088348429697717</c:v>
                </c:pt>
                <c:pt idx="10">
                  <c:v>20.305780054940762</c:v>
                </c:pt>
                <c:pt idx="11">
                  <c:v>18.523211680183813</c:v>
                </c:pt>
                <c:pt idx="12">
                  <c:v>16.740643305426858</c:v>
                </c:pt>
                <c:pt idx="13">
                  <c:v>14.958074930669902</c:v>
                </c:pt>
                <c:pt idx="14">
                  <c:v>13.175506555912946</c:v>
                </c:pt>
                <c:pt idx="15">
                  <c:v>11.392938181155994</c:v>
                </c:pt>
                <c:pt idx="16">
                  <c:v>9.6103698063990421</c:v>
                </c:pt>
                <c:pt idx="17">
                  <c:v>7.8278014316420856</c:v>
                </c:pt>
              </c:numCache>
            </c:numRef>
          </c:xVal>
          <c:yVal>
            <c:numRef>
              <c:f>Ogden!$G$57:$G$74</c:f>
              <c:numCache>
                <c:formatCode>General</c:formatCode>
                <c:ptCount val="18"/>
                <c:pt idx="0">
                  <c:v>0</c:v>
                </c:pt>
                <c:pt idx="1">
                  <c:v>0.76129757098299822</c:v>
                </c:pt>
                <c:pt idx="2">
                  <c:v>1.609945956288978</c:v>
                </c:pt>
                <c:pt idx="3">
                  <c:v>2.5617054583865322</c:v>
                </c:pt>
                <c:pt idx="4">
                  <c:v>3.6363447679132839</c:v>
                </c:pt>
                <c:pt idx="5">
                  <c:v>4.8589962545254464</c:v>
                </c:pt>
                <c:pt idx="6">
                  <c:v>6.2620992929295083</c:v>
                </c:pt>
                <c:pt idx="7">
                  <c:v>7.8882517550825639</c:v>
                </c:pt>
                <c:pt idx="8">
                  <c:v>9.7945053724870821</c:v>
                </c:pt>
                <c:pt idx="9">
                  <c:v>12.059034280494913</c:v>
                </c:pt>
                <c:pt idx="10">
                  <c:v>14.791857320705191</c:v>
                </c:pt>
                <c:pt idx="11">
                  <c:v>18.152804641009705</c:v>
                </c:pt>
                <c:pt idx="12">
                  <c:v>22.38314518703385</c:v>
                </c:pt>
                <c:pt idx="13">
                  <c:v>27.864709707977653</c:v>
                </c:pt>
                <c:pt idx="14">
                  <c:v>35.239013609881574</c:v>
                </c:pt>
                <c:pt idx="15">
                  <c:v>45.671560474807009</c:v>
                </c:pt>
                <c:pt idx="16">
                  <c:v>61.519246859763854</c:v>
                </c:pt>
                <c:pt idx="17">
                  <c:v>88.357350559563628</c:v>
                </c:pt>
              </c:numCache>
            </c:numRef>
          </c:yVal>
          <c:smooth val="1"/>
          <c:extLst>
            <c:ext xmlns:c16="http://schemas.microsoft.com/office/drawing/2014/chart" uri="{C3380CC4-5D6E-409C-BE32-E72D297353CC}">
              <c16:uniqueId val="{00000002-CDFB-4A51-A3E3-23C815DBBACE}"/>
            </c:ext>
          </c:extLst>
        </c:ser>
        <c:dLbls>
          <c:showLegendKey val="0"/>
          <c:showVal val="0"/>
          <c:showCatName val="0"/>
          <c:showSerName val="0"/>
          <c:showPercent val="0"/>
          <c:showBubbleSize val="0"/>
        </c:dLbls>
        <c:axId val="203753152"/>
        <c:axId val="203753728"/>
      </c:scatterChart>
      <c:valAx>
        <c:axId val="203753152"/>
        <c:scaling>
          <c:orientation val="minMax"/>
          <c:max val="90"/>
          <c:min val="0"/>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n-US" sz="1200">
                    <a:solidFill>
                      <a:sysClr val="windowText" lastClr="000000"/>
                    </a:solidFill>
                  </a:rPr>
                  <a:t>Water Quantity, af</a:t>
                </a:r>
              </a:p>
            </c:rich>
          </c:tx>
          <c:layout>
            <c:manualLayout>
              <c:xMode val="edge"/>
              <c:yMode val="edge"/>
              <c:x val="0.38087379702537183"/>
              <c:y val="0.90522162729658795"/>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title>
        <c:numFmt formatCode="#,##0"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crossAx val="203753728"/>
        <c:crosses val="autoZero"/>
        <c:crossBetween val="midCat"/>
      </c:valAx>
      <c:valAx>
        <c:axId val="203753728"/>
        <c:scaling>
          <c:orientation val="minMax"/>
          <c:max val="50"/>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n-US" sz="1200">
                    <a:solidFill>
                      <a:sysClr val="windowText" lastClr="000000"/>
                    </a:solidFill>
                  </a:rPr>
                  <a:t>Losses, $M</a:t>
                </a:r>
              </a:p>
            </c:rich>
          </c:tx>
          <c:layout>
            <c:manualLayout>
              <c:xMode val="edge"/>
              <c:yMode val="edge"/>
              <c:x val="0"/>
              <c:y val="0.26470005249343825"/>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crossAx val="203753152"/>
        <c:crosses val="autoZero"/>
        <c:crossBetween val="midCat"/>
      </c:valAx>
      <c:spPr>
        <a:noFill/>
        <a:ln>
          <a:solidFill>
            <a:schemeClr val="tx1"/>
          </a:solidFill>
        </a:ln>
        <a:effectLst/>
      </c:spPr>
    </c:plotArea>
    <c:legend>
      <c:legendPos val="b"/>
      <c:layout>
        <c:manualLayout>
          <c:xMode val="edge"/>
          <c:yMode val="edge"/>
          <c:x val="0.66070559930008743"/>
          <c:y val="8.0800419947506558E-2"/>
          <c:w val="0.25873884514435697"/>
          <c:h val="0.28844220472440946"/>
        </c:manualLayout>
      </c:layout>
      <c:overlay val="0"/>
      <c:spPr>
        <a:solidFill>
          <a:schemeClr val="bg1"/>
        </a:solid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452096938426348"/>
          <c:y val="3.9960104986876639E-2"/>
          <c:w val="0.71567654079298537"/>
          <c:h val="0.73334173228346444"/>
        </c:manualLayout>
      </c:layout>
      <c:scatterChart>
        <c:scatterStyle val="smoothMarker"/>
        <c:varyColors val="0"/>
        <c:ser>
          <c:idx val="1"/>
          <c:order val="0"/>
          <c:tx>
            <c:strRef>
              <c:f>SLC!$F$10</c:f>
              <c:strCache>
                <c:ptCount val="1"/>
                <c:pt idx="0">
                  <c:v>Summer</c:v>
                </c:pt>
              </c:strCache>
            </c:strRef>
          </c:tx>
          <c:spPr>
            <a:ln w="12700" cap="rnd">
              <a:solidFill>
                <a:schemeClr val="accent2"/>
              </a:solidFill>
              <a:round/>
            </a:ln>
            <a:effectLst/>
          </c:spPr>
          <c:marker>
            <c:symbol val="diamond"/>
            <c:size val="4"/>
            <c:spPr>
              <a:solidFill>
                <a:schemeClr val="accent2"/>
              </a:solidFill>
              <a:ln w="9525">
                <a:solidFill>
                  <a:schemeClr val="accent2"/>
                </a:solidFill>
              </a:ln>
              <a:effectLst/>
            </c:spPr>
          </c:marker>
          <c:xVal>
            <c:numRef>
              <c:f>SLC!$B$11:$B$46</c:f>
              <c:numCache>
                <c:formatCode>0.0</c:formatCode>
                <c:ptCount val="36"/>
                <c:pt idx="0">
                  <c:v>156330.62618988348</c:v>
                </c:pt>
                <c:pt idx="1">
                  <c:v>152422.36053513639</c:v>
                </c:pt>
                <c:pt idx="2">
                  <c:v>148514.09488038931</c:v>
                </c:pt>
                <c:pt idx="3">
                  <c:v>144605.82922564223</c:v>
                </c:pt>
                <c:pt idx="4">
                  <c:v>140697.56357089514</c:v>
                </c:pt>
                <c:pt idx="5">
                  <c:v>136789.29791614803</c:v>
                </c:pt>
                <c:pt idx="6">
                  <c:v>132881.03226140095</c:v>
                </c:pt>
                <c:pt idx="7">
                  <c:v>128972.76660665387</c:v>
                </c:pt>
                <c:pt idx="8">
                  <c:v>125064.50095190678</c:v>
                </c:pt>
                <c:pt idx="9">
                  <c:v>121156.23529715968</c:v>
                </c:pt>
                <c:pt idx="10">
                  <c:v>117247.9696424126</c:v>
                </c:pt>
                <c:pt idx="11">
                  <c:v>113339.7039876655</c:v>
                </c:pt>
                <c:pt idx="12">
                  <c:v>109431.43833291842</c:v>
                </c:pt>
                <c:pt idx="13">
                  <c:v>105523.17267817134</c:v>
                </c:pt>
                <c:pt idx="14">
                  <c:v>101614.90702342424</c:v>
                </c:pt>
                <c:pt idx="15">
                  <c:v>97706.641368677156</c:v>
                </c:pt>
                <c:pt idx="16">
                  <c:v>93798.375713930072</c:v>
                </c:pt>
                <c:pt idx="17">
                  <c:v>89890.110059182975</c:v>
                </c:pt>
                <c:pt idx="18">
                  <c:v>85981.844404435891</c:v>
                </c:pt>
                <c:pt idx="19">
                  <c:v>82073.578749688793</c:v>
                </c:pt>
                <c:pt idx="20">
                  <c:v>78165.31309494171</c:v>
                </c:pt>
                <c:pt idx="21">
                  <c:v>74257.047440194627</c:v>
                </c:pt>
                <c:pt idx="22">
                  <c:v>70348.781785447543</c:v>
                </c:pt>
                <c:pt idx="23">
                  <c:v>66440.516130700446</c:v>
                </c:pt>
                <c:pt idx="24">
                  <c:v>62532.250475953369</c:v>
                </c:pt>
                <c:pt idx="25">
                  <c:v>58623.984821206279</c:v>
                </c:pt>
                <c:pt idx="26">
                  <c:v>54715.719166459196</c:v>
                </c:pt>
                <c:pt idx="27">
                  <c:v>50807.453511712112</c:v>
                </c:pt>
                <c:pt idx="28">
                  <c:v>46899.187856965022</c:v>
                </c:pt>
                <c:pt idx="29">
                  <c:v>42990.922202217946</c:v>
                </c:pt>
                <c:pt idx="30">
                  <c:v>39082.656547470855</c:v>
                </c:pt>
                <c:pt idx="31">
                  <c:v>35174.390892723772</c:v>
                </c:pt>
                <c:pt idx="32">
                  <c:v>31266.125237976685</c:v>
                </c:pt>
                <c:pt idx="33">
                  <c:v>27357.859583229598</c:v>
                </c:pt>
                <c:pt idx="34">
                  <c:v>23449.593928482511</c:v>
                </c:pt>
                <c:pt idx="35">
                  <c:v>19541.328273735428</c:v>
                </c:pt>
              </c:numCache>
            </c:numRef>
          </c:xVal>
          <c:yVal>
            <c:numRef>
              <c:f>SLC!$F$11:$F$46</c:f>
              <c:numCache>
                <c:formatCode>0.0</c:formatCode>
                <c:ptCount val="36"/>
                <c:pt idx="0">
                  <c:v>179.8809290880105</c:v>
                </c:pt>
                <c:pt idx="1">
                  <c:v>186.50600259333956</c:v>
                </c:pt>
                <c:pt idx="2">
                  <c:v>193.55684883920281</c:v>
                </c:pt>
                <c:pt idx="3">
                  <c:v>201.07314706490683</c:v>
                </c:pt>
                <c:pt idx="4">
                  <c:v>209.09948621397982</c:v>
                </c:pt>
                <c:pt idx="5">
                  <c:v>217.68613099528858</c:v>
                </c:pt>
                <c:pt idx="6">
                  <c:v>226.88993367531526</c:v>
                </c:pt>
                <c:pt idx="7">
                  <c:v>236.77542461296338</c:v>
                </c:pt>
                <c:pt idx="8">
                  <c:v>247.41612329925977</c:v>
                </c:pt>
                <c:pt idx="9">
                  <c:v>258.89612309449416</c:v>
                </c:pt>
                <c:pt idx="10">
                  <c:v>271.31201790242778</c:v>
                </c:pt>
                <c:pt idx="11">
                  <c:v>284.77525899488199</c:v>
                </c:pt>
                <c:pt idx="12">
                  <c:v>299.4150569486855</c:v>
                </c:pt>
                <c:pt idx="13">
                  <c:v>315.38197981687438</c:v>
                </c:pt>
                <c:pt idx="14">
                  <c:v>332.85244803162834</c:v>
                </c:pt>
                <c:pt idx="15">
                  <c:v>352.03439468502108</c:v>
                </c:pt>
                <c:pt idx="16">
                  <c:v>373.17445498113108</c:v>
                </c:pt>
                <c:pt idx="17">
                  <c:v>396.56718314837144</c:v>
                </c:pt>
                <c:pt idx="18">
                  <c:v>422.56698776604361</c:v>
                </c:pt>
                <c:pt idx="19">
                  <c:v>451.60375645698406</c:v>
                </c:pt>
                <c:pt idx="20">
                  <c:v>484.20355422088215</c:v>
                </c:pt>
                <c:pt idx="21">
                  <c:v>521.01640027599092</c:v>
                </c:pt>
                <c:pt idx="22">
                  <c:v>562.85407754944447</c:v>
                </c:pt>
                <c:pt idx="23">
                  <c:v>610.74241087989992</c:v>
                </c:pt>
                <c:pt idx="24">
                  <c:v>665.99481601764921</c:v>
                </c:pt>
                <c:pt idx="25">
                  <c:v>730.31779431670191</c:v>
                </c:pt>
                <c:pt idx="26">
                  <c:v>805.96556564852779</c:v>
                </c:pt>
                <c:pt idx="27">
                  <c:v>895.97234784784018</c:v>
                </c:pt>
                <c:pt idx="28">
                  <c:v>1004.5111416891581</c:v>
                </c:pt>
                <c:pt idx="29">
                  <c:v>1137.4659804687856</c:v>
                </c:pt>
                <c:pt idx="30">
                  <c:v>1303.3793137983116</c:v>
                </c:pt>
                <c:pt idx="31">
                  <c:v>1515.0908227954094</c:v>
                </c:pt>
                <c:pt idx="32">
                  <c:v>1792.7251023406102</c:v>
                </c:pt>
                <c:pt idx="33">
                  <c:v>2169.4984201227994</c:v>
                </c:pt>
                <c:pt idx="34">
                  <c:v>2703.9434782015724</c:v>
                </c:pt>
                <c:pt idx="35">
                  <c:v>3508.4369390283532</c:v>
                </c:pt>
              </c:numCache>
            </c:numRef>
          </c:yVal>
          <c:smooth val="1"/>
          <c:extLst>
            <c:ext xmlns:c16="http://schemas.microsoft.com/office/drawing/2014/chart" uri="{C3380CC4-5D6E-409C-BE32-E72D297353CC}">
              <c16:uniqueId val="{00000000-BB19-4FEF-A6A0-3DF5B4018C50}"/>
            </c:ext>
          </c:extLst>
        </c:ser>
        <c:ser>
          <c:idx val="0"/>
          <c:order val="1"/>
          <c:tx>
            <c:strRef>
              <c:f>SLC!$G$10</c:f>
              <c:strCache>
                <c:ptCount val="1"/>
                <c:pt idx="0">
                  <c:v>Winter</c:v>
                </c:pt>
              </c:strCache>
            </c:strRef>
          </c:tx>
          <c:spPr>
            <a:ln w="12700" cap="rnd">
              <a:solidFill>
                <a:schemeClr val="accent1"/>
              </a:solidFill>
              <a:round/>
            </a:ln>
            <a:effectLst/>
          </c:spPr>
          <c:marker>
            <c:symbol val="diamond"/>
            <c:size val="4"/>
            <c:spPr>
              <a:solidFill>
                <a:schemeClr val="accent1"/>
              </a:solidFill>
              <a:ln w="9525">
                <a:solidFill>
                  <a:schemeClr val="accent1"/>
                </a:solidFill>
              </a:ln>
              <a:effectLst/>
            </c:spPr>
          </c:marker>
          <c:xVal>
            <c:numRef>
              <c:f>SLC!$C$11:$C$42</c:f>
              <c:numCache>
                <c:formatCode>0.0</c:formatCode>
                <c:ptCount val="32"/>
                <c:pt idx="0">
                  <c:v>75373.694770122383</c:v>
                </c:pt>
                <c:pt idx="1">
                  <c:v>73489.35240086932</c:v>
                </c:pt>
                <c:pt idx="2">
                  <c:v>71605.010031616272</c:v>
                </c:pt>
                <c:pt idx="3">
                  <c:v>69720.667662363208</c:v>
                </c:pt>
                <c:pt idx="4">
                  <c:v>67836.325293110145</c:v>
                </c:pt>
                <c:pt idx="5">
                  <c:v>65951.982923857082</c:v>
                </c:pt>
                <c:pt idx="6">
                  <c:v>64067.640554604026</c:v>
                </c:pt>
                <c:pt idx="7">
                  <c:v>62183.298185350963</c:v>
                </c:pt>
                <c:pt idx="8">
                  <c:v>60298.955816097907</c:v>
                </c:pt>
                <c:pt idx="9">
                  <c:v>58414.613446844844</c:v>
                </c:pt>
                <c:pt idx="10">
                  <c:v>56530.27107759178</c:v>
                </c:pt>
                <c:pt idx="11">
                  <c:v>54645.928708338724</c:v>
                </c:pt>
                <c:pt idx="12">
                  <c:v>52761.586339085661</c:v>
                </c:pt>
                <c:pt idx="13">
                  <c:v>50877.243969832598</c:v>
                </c:pt>
                <c:pt idx="14">
                  <c:v>48992.901600579542</c:v>
                </c:pt>
                <c:pt idx="15">
                  <c:v>47108.559231326479</c:v>
                </c:pt>
                <c:pt idx="16">
                  <c:v>45224.216862073423</c:v>
                </c:pt>
                <c:pt idx="17">
                  <c:v>43339.87449282036</c:v>
                </c:pt>
                <c:pt idx="18">
                  <c:v>41455.532123567296</c:v>
                </c:pt>
                <c:pt idx="19">
                  <c:v>39571.18975431424</c:v>
                </c:pt>
                <c:pt idx="20">
                  <c:v>37686.847385061177</c:v>
                </c:pt>
                <c:pt idx="21">
                  <c:v>35802.505015808114</c:v>
                </c:pt>
                <c:pt idx="22">
                  <c:v>33918.162646555058</c:v>
                </c:pt>
                <c:pt idx="23">
                  <c:v>32033.820277301998</c:v>
                </c:pt>
                <c:pt idx="24">
                  <c:v>30149.477908048942</c:v>
                </c:pt>
                <c:pt idx="25">
                  <c:v>28265.135538795883</c:v>
                </c:pt>
                <c:pt idx="26">
                  <c:v>26380.793169542823</c:v>
                </c:pt>
                <c:pt idx="27">
                  <c:v>24496.450800289767</c:v>
                </c:pt>
                <c:pt idx="28">
                  <c:v>22612.108431036704</c:v>
                </c:pt>
                <c:pt idx="29">
                  <c:v>20727.766061783648</c:v>
                </c:pt>
                <c:pt idx="30">
                  <c:v>18843.423692530589</c:v>
                </c:pt>
                <c:pt idx="31">
                  <c:v>16959.081323277529</c:v>
                </c:pt>
              </c:numCache>
            </c:numRef>
          </c:xVal>
          <c:yVal>
            <c:numRef>
              <c:f>SLC!$G$11:$G$42</c:f>
              <c:numCache>
                <c:formatCode>0.0</c:formatCode>
                <c:ptCount val="32"/>
                <c:pt idx="0">
                  <c:v>77.384204611389364</c:v>
                </c:pt>
                <c:pt idx="1">
                  <c:v>82.744786808708824</c:v>
                </c:pt>
                <c:pt idx="2">
                  <c:v>88.630782626726329</c:v>
                </c:pt>
                <c:pt idx="3">
                  <c:v>95.109622670144731</c:v>
                </c:pt>
                <c:pt idx="4">
                  <c:v>102.259551921569</c:v>
                </c:pt>
                <c:pt idx="5">
                  <c:v>110.17173079257911</c:v>
                </c:pt>
                <c:pt idx="6">
                  <c:v>118.95281988151208</c:v>
                </c:pt>
                <c:pt idx="7">
                  <c:v>128.72817825540861</c:v>
                </c:pt>
                <c:pt idx="8">
                  <c:v>139.64584518366044</c:v>
                </c:pt>
                <c:pt idx="9">
                  <c:v>151.88152948924252</c:v>
                </c:pt>
                <c:pt idx="10">
                  <c:v>165.64490467944736</c:v>
                </c:pt>
                <c:pt idx="11">
                  <c:v>181.18760992268395</c:v>
                </c:pt>
                <c:pt idx="12">
                  <c:v>198.81349868668235</c:v>
                </c:pt>
                <c:pt idx="13">
                  <c:v>218.89187613512192</c:v>
                </c:pt>
                <c:pt idx="14">
                  <c:v>241.87474974590805</c:v>
                </c:pt>
                <c:pt idx="15">
                  <c:v>268.3195254689544</c:v>
                </c:pt>
                <c:pt idx="16">
                  <c:v>298.91917647136734</c:v>
                </c:pt>
                <c:pt idx="17">
                  <c:v>334.54279097764345</c:v>
                </c:pt>
                <c:pt idx="18">
                  <c:v>376.290725997697</c:v>
                </c:pt>
                <c:pt idx="19">
                  <c:v>425.57060842486277</c:v>
                </c:pt>
                <c:pt idx="20">
                  <c:v>484.20355422088386</c:v>
                </c:pt>
                <c:pt idx="21">
                  <c:v>554.57493136684695</c:v>
                </c:pt>
                <c:pt idx="22">
                  <c:v>639.85200522654247</c:v>
                </c:pt>
                <c:pt idx="23">
                  <c:v>744.30406644959703</c:v>
                </c:pt>
                <c:pt idx="24">
                  <c:v>873.78315651972321</c:v>
                </c:pt>
                <c:pt idx="25">
                  <c:v>1036.462828391768</c:v>
                </c:pt>
                <c:pt idx="26">
                  <c:v>1244.0032584765049</c:v>
                </c:pt>
                <c:pt idx="27">
                  <c:v>1513.4433970265027</c:v>
                </c:pt>
                <c:pt idx="28">
                  <c:v>1870.3781785839178</c:v>
                </c:pt>
                <c:pt idx="29">
                  <c:v>2354.5025482063907</c:v>
                </c:pt>
                <c:pt idx="30">
                  <c:v>3029.727876606355</c:v>
                </c:pt>
                <c:pt idx="31">
                  <c:v>4003.6415268711371</c:v>
                </c:pt>
              </c:numCache>
            </c:numRef>
          </c:yVal>
          <c:smooth val="1"/>
          <c:extLst>
            <c:ext xmlns:c16="http://schemas.microsoft.com/office/drawing/2014/chart" uri="{C3380CC4-5D6E-409C-BE32-E72D297353CC}">
              <c16:uniqueId val="{00000001-BB19-4FEF-A6A0-3DF5B4018C50}"/>
            </c:ext>
          </c:extLst>
        </c:ser>
        <c:ser>
          <c:idx val="2"/>
          <c:order val="2"/>
          <c:tx>
            <c:strRef>
              <c:f>SLC!$H$10</c:f>
              <c:strCache>
                <c:ptCount val="1"/>
                <c:pt idx="0">
                  <c:v>Fall, Spring</c:v>
                </c:pt>
              </c:strCache>
            </c:strRef>
          </c:tx>
          <c:spPr>
            <a:ln w="12700" cap="rnd">
              <a:solidFill>
                <a:schemeClr val="accent3"/>
              </a:solidFill>
              <a:round/>
            </a:ln>
            <a:effectLst/>
          </c:spPr>
          <c:marker>
            <c:symbol val="diamond"/>
            <c:size val="4"/>
            <c:spPr>
              <a:solidFill>
                <a:schemeClr val="accent3"/>
              </a:solidFill>
              <a:ln w="9525">
                <a:solidFill>
                  <a:schemeClr val="accent3"/>
                </a:solidFill>
              </a:ln>
              <a:effectLst/>
            </c:spPr>
          </c:marker>
          <c:xVal>
            <c:numRef>
              <c:f>SLC!$D$11:$D$44</c:f>
              <c:numCache>
                <c:formatCode>0.0</c:formatCode>
                <c:ptCount val="34"/>
                <c:pt idx="0">
                  <c:v>106081.49634313522</c:v>
                </c:pt>
                <c:pt idx="1">
                  <c:v>103429.45893455684</c:v>
                </c:pt>
                <c:pt idx="2">
                  <c:v>100777.42152597847</c:v>
                </c:pt>
                <c:pt idx="3">
                  <c:v>98125.384117400085</c:v>
                </c:pt>
                <c:pt idx="4">
                  <c:v>95473.3467088217</c:v>
                </c:pt>
                <c:pt idx="5">
                  <c:v>92821.309300243316</c:v>
                </c:pt>
                <c:pt idx="6">
                  <c:v>90169.271891664932</c:v>
                </c:pt>
                <c:pt idx="7">
                  <c:v>87517.234483086548</c:v>
                </c:pt>
                <c:pt idx="8">
                  <c:v>84865.197074508178</c:v>
                </c:pt>
                <c:pt idx="9">
                  <c:v>82213.159665929794</c:v>
                </c:pt>
                <c:pt idx="10">
                  <c:v>79561.12225735141</c:v>
                </c:pt>
                <c:pt idx="11">
                  <c:v>76909.084848773025</c:v>
                </c:pt>
                <c:pt idx="12">
                  <c:v>74257.047440194641</c:v>
                </c:pt>
                <c:pt idx="13">
                  <c:v>71605.010031616257</c:v>
                </c:pt>
                <c:pt idx="14">
                  <c:v>68952.972623037887</c:v>
                </c:pt>
                <c:pt idx="15">
                  <c:v>66300.935214459503</c:v>
                </c:pt>
                <c:pt idx="16">
                  <c:v>63648.897805881119</c:v>
                </c:pt>
                <c:pt idx="17">
                  <c:v>60996.860397302735</c:v>
                </c:pt>
                <c:pt idx="18">
                  <c:v>58344.822988724351</c:v>
                </c:pt>
                <c:pt idx="19">
                  <c:v>55692.785580145974</c:v>
                </c:pt>
                <c:pt idx="20">
                  <c:v>53040.748171567589</c:v>
                </c:pt>
                <c:pt idx="21">
                  <c:v>50388.710762989205</c:v>
                </c:pt>
                <c:pt idx="22">
                  <c:v>47736.673354410828</c:v>
                </c:pt>
                <c:pt idx="23">
                  <c:v>45084.635945832451</c:v>
                </c:pt>
                <c:pt idx="24">
                  <c:v>42432.598537254074</c:v>
                </c:pt>
                <c:pt idx="25">
                  <c:v>39780.56112867569</c:v>
                </c:pt>
                <c:pt idx="26">
                  <c:v>37128.523720097313</c:v>
                </c:pt>
                <c:pt idx="27">
                  <c:v>34476.486311518936</c:v>
                </c:pt>
                <c:pt idx="28">
                  <c:v>31824.448902940552</c:v>
                </c:pt>
                <c:pt idx="29">
                  <c:v>29172.411494362175</c:v>
                </c:pt>
                <c:pt idx="30">
                  <c:v>26520.374085783795</c:v>
                </c:pt>
                <c:pt idx="31">
                  <c:v>23868.336677205414</c:v>
                </c:pt>
                <c:pt idx="32">
                  <c:v>21216.299268627037</c:v>
                </c:pt>
                <c:pt idx="33">
                  <c:v>18564.261860048657</c:v>
                </c:pt>
              </c:numCache>
            </c:numRef>
          </c:xVal>
          <c:yVal>
            <c:numRef>
              <c:f>SLC!$H$11:$H$44</c:f>
              <c:numCache>
                <c:formatCode>0.0</c:formatCode>
                <c:ptCount val="34"/>
                <c:pt idx="0">
                  <c:v>115.97051066959911</c:v>
                </c:pt>
                <c:pt idx="1">
                  <c:v>122.18516088800534</c:v>
                </c:pt>
                <c:pt idx="2">
                  <c:v>128.90752802467063</c:v>
                </c:pt>
                <c:pt idx="3">
                  <c:v>136.19414257742724</c:v>
                </c:pt>
                <c:pt idx="4">
                  <c:v>144.10959940151534</c:v>
                </c:pt>
                <c:pt idx="5">
                  <c:v>152.72797525029969</c:v>
                </c:pt>
                <c:pt idx="6">
                  <c:v>162.13454523947246</c:v>
                </c:pt>
                <c:pt idx="7">
                  <c:v>172.42787240512493</c:v>
                </c:pt>
                <c:pt idx="8">
                  <c:v>183.72236586740601</c:v>
                </c:pt>
                <c:pt idx="9">
                  <c:v>196.15143149395092</c:v>
                </c:pt>
                <c:pt idx="10">
                  <c:v>209.87137702124411</c:v>
                </c:pt>
                <c:pt idx="11">
                  <c:v>225.06628509520814</c:v>
                </c:pt>
                <c:pt idx="12">
                  <c:v>241.95413804001996</c:v>
                </c:pt>
                <c:pt idx="13">
                  <c:v>260.79457522216603</c:v>
                </c:pt>
                <c:pt idx="14">
                  <c:v>281.89879922993782</c:v>
                </c:pt>
                <c:pt idx="15">
                  <c:v>305.64233802408552</c:v>
                </c:pt>
                <c:pt idx="16">
                  <c:v>332.48164288976608</c:v>
                </c:pt>
                <c:pt idx="17">
                  <c:v>362.97589660553649</c:v>
                </c:pt>
                <c:pt idx="18">
                  <c:v>397.81598543976156</c:v>
                </c:pt>
                <c:pt idx="19">
                  <c:v>437.86345195217621</c:v>
                </c:pt>
                <c:pt idx="20">
                  <c:v>484.20355422088215</c:v>
                </c:pt>
                <c:pt idx="21">
                  <c:v>538.21857707604124</c:v>
                </c:pt>
                <c:pt idx="22">
                  <c:v>601.69072141417178</c:v>
                </c:pt>
                <c:pt idx="23">
                  <c:v>676.94901586320964</c:v>
                </c:pt>
                <c:pt idx="24">
                  <c:v>767.0831319895816</c:v>
                </c:pt>
                <c:pt idx="25">
                  <c:v>876.26126759444071</c:v>
                </c:pt>
                <c:pt idx="26">
                  <c:v>1010.2141735945551</c:v>
                </c:pt>
                <c:pt idx="27">
                  <c:v>1176.9923209755805</c:v>
                </c:pt>
                <c:pt idx="28">
                  <c:v>1388.1873268548513</c:v>
                </c:pt>
                <c:pt idx="29">
                  <c:v>1660.9732333127479</c:v>
                </c:pt>
                <c:pt idx="30">
                  <c:v>2021.6612013384454</c:v>
                </c:pt>
                <c:pt idx="31">
                  <c:v>2512.1971453631068</c:v>
                </c:pt>
                <c:pt idx="32">
                  <c:v>3202.7484982836058</c:v>
                </c:pt>
                <c:pt idx="33">
                  <c:v>4217.8765149390711</c:v>
                </c:pt>
              </c:numCache>
            </c:numRef>
          </c:yVal>
          <c:smooth val="1"/>
          <c:extLst>
            <c:ext xmlns:c16="http://schemas.microsoft.com/office/drawing/2014/chart" uri="{C3380CC4-5D6E-409C-BE32-E72D297353CC}">
              <c16:uniqueId val="{00000002-BB19-4FEF-A6A0-3DF5B4018C50}"/>
            </c:ext>
          </c:extLst>
        </c:ser>
        <c:ser>
          <c:idx val="3"/>
          <c:order val="3"/>
          <c:tx>
            <c:strRef>
              <c:f>SLC!$E$10</c:f>
              <c:strCache>
                <c:ptCount val="1"/>
                <c:pt idx="0">
                  <c:v>2010 Price</c:v>
                </c:pt>
              </c:strCache>
            </c:strRef>
          </c:tx>
          <c:spPr>
            <a:ln w="19050" cap="rnd">
              <a:solidFill>
                <a:schemeClr val="tx1"/>
              </a:solidFill>
              <a:round/>
            </a:ln>
            <a:effectLst/>
          </c:spPr>
          <c:marker>
            <c:symbol val="none"/>
          </c:marker>
          <c:xVal>
            <c:numRef>
              <c:f>SLC!$B$11:$B$51</c:f>
              <c:numCache>
                <c:formatCode>0.0</c:formatCode>
                <c:ptCount val="41"/>
                <c:pt idx="0">
                  <c:v>156330.62618988348</c:v>
                </c:pt>
                <c:pt idx="1">
                  <c:v>152422.36053513639</c:v>
                </c:pt>
                <c:pt idx="2">
                  <c:v>148514.09488038931</c:v>
                </c:pt>
                <c:pt idx="3">
                  <c:v>144605.82922564223</c:v>
                </c:pt>
                <c:pt idx="4">
                  <c:v>140697.56357089514</c:v>
                </c:pt>
                <c:pt idx="5">
                  <c:v>136789.29791614803</c:v>
                </c:pt>
                <c:pt idx="6">
                  <c:v>132881.03226140095</c:v>
                </c:pt>
                <c:pt idx="7">
                  <c:v>128972.76660665387</c:v>
                </c:pt>
                <c:pt idx="8">
                  <c:v>125064.50095190678</c:v>
                </c:pt>
                <c:pt idx="9">
                  <c:v>121156.23529715968</c:v>
                </c:pt>
                <c:pt idx="10">
                  <c:v>117247.9696424126</c:v>
                </c:pt>
                <c:pt idx="11">
                  <c:v>113339.7039876655</c:v>
                </c:pt>
                <c:pt idx="12">
                  <c:v>109431.43833291842</c:v>
                </c:pt>
                <c:pt idx="13">
                  <c:v>105523.17267817134</c:v>
                </c:pt>
                <c:pt idx="14">
                  <c:v>101614.90702342424</c:v>
                </c:pt>
                <c:pt idx="15">
                  <c:v>97706.641368677156</c:v>
                </c:pt>
                <c:pt idx="16">
                  <c:v>93798.375713930072</c:v>
                </c:pt>
                <c:pt idx="17">
                  <c:v>89890.110059182975</c:v>
                </c:pt>
                <c:pt idx="18">
                  <c:v>85981.844404435891</c:v>
                </c:pt>
                <c:pt idx="19">
                  <c:v>82073.578749688793</c:v>
                </c:pt>
                <c:pt idx="20">
                  <c:v>78165.31309494171</c:v>
                </c:pt>
                <c:pt idx="21">
                  <c:v>74257.047440194627</c:v>
                </c:pt>
                <c:pt idx="22">
                  <c:v>70348.781785447543</c:v>
                </c:pt>
                <c:pt idx="23">
                  <c:v>66440.516130700446</c:v>
                </c:pt>
                <c:pt idx="24">
                  <c:v>62532.250475953369</c:v>
                </c:pt>
                <c:pt idx="25">
                  <c:v>58623.984821206279</c:v>
                </c:pt>
                <c:pt idx="26">
                  <c:v>54715.719166459196</c:v>
                </c:pt>
                <c:pt idx="27">
                  <c:v>50807.453511712112</c:v>
                </c:pt>
                <c:pt idx="28">
                  <c:v>46899.187856965022</c:v>
                </c:pt>
                <c:pt idx="29">
                  <c:v>42990.922202217946</c:v>
                </c:pt>
                <c:pt idx="30">
                  <c:v>39082.656547470855</c:v>
                </c:pt>
                <c:pt idx="31">
                  <c:v>35174.390892723772</c:v>
                </c:pt>
                <c:pt idx="32">
                  <c:v>31266.125237976685</c:v>
                </c:pt>
                <c:pt idx="33">
                  <c:v>27357.859583229598</c:v>
                </c:pt>
                <c:pt idx="34">
                  <c:v>23449.593928482511</c:v>
                </c:pt>
                <c:pt idx="35">
                  <c:v>19541.328273735428</c:v>
                </c:pt>
                <c:pt idx="36">
                  <c:v>15633.062618988342</c:v>
                </c:pt>
                <c:pt idx="37">
                  <c:v>11724.796964241255</c:v>
                </c:pt>
                <c:pt idx="38">
                  <c:v>7816.5313094941712</c:v>
                </c:pt>
                <c:pt idx="39">
                  <c:v>3908.2656547470856</c:v>
                </c:pt>
                <c:pt idx="40" formatCode="General">
                  <c:v>0</c:v>
                </c:pt>
              </c:numCache>
            </c:numRef>
          </c:xVal>
          <c:yVal>
            <c:numRef>
              <c:f>SLC!$E$11:$E$51</c:f>
              <c:numCache>
                <c:formatCode>0.0</c:formatCode>
                <c:ptCount val="41"/>
                <c:pt idx="0">
                  <c:v>484.20355422088215</c:v>
                </c:pt>
                <c:pt idx="1">
                  <c:v>484.20355422088215</c:v>
                </c:pt>
                <c:pt idx="2">
                  <c:v>484.20355422088215</c:v>
                </c:pt>
                <c:pt idx="3">
                  <c:v>484.20355422088215</c:v>
                </c:pt>
                <c:pt idx="4">
                  <c:v>484.20355422088215</c:v>
                </c:pt>
                <c:pt idx="5">
                  <c:v>484.20355422088215</c:v>
                </c:pt>
                <c:pt idx="6">
                  <c:v>484.20355422088215</c:v>
                </c:pt>
                <c:pt idx="7">
                  <c:v>484.20355422088215</c:v>
                </c:pt>
                <c:pt idx="8">
                  <c:v>484.20355422088215</c:v>
                </c:pt>
                <c:pt idx="9">
                  <c:v>484.20355422088215</c:v>
                </c:pt>
                <c:pt idx="10">
                  <c:v>484.20355422088215</c:v>
                </c:pt>
                <c:pt idx="11">
                  <c:v>484.20355422088215</c:v>
                </c:pt>
                <c:pt idx="12">
                  <c:v>484.20355422088215</c:v>
                </c:pt>
                <c:pt idx="13">
                  <c:v>484.20355422088215</c:v>
                </c:pt>
                <c:pt idx="14">
                  <c:v>484.20355422088215</c:v>
                </c:pt>
                <c:pt idx="15">
                  <c:v>484.20355422088215</c:v>
                </c:pt>
                <c:pt idx="16">
                  <c:v>484.20355422088215</c:v>
                </c:pt>
                <c:pt idx="17">
                  <c:v>484.20355422088215</c:v>
                </c:pt>
                <c:pt idx="18">
                  <c:v>484.20355422088215</c:v>
                </c:pt>
                <c:pt idx="19">
                  <c:v>484.20355422088215</c:v>
                </c:pt>
                <c:pt idx="20">
                  <c:v>484.20355422088215</c:v>
                </c:pt>
                <c:pt idx="21">
                  <c:v>484.20355422088215</c:v>
                </c:pt>
                <c:pt idx="22">
                  <c:v>484.20355422088215</c:v>
                </c:pt>
                <c:pt idx="23">
                  <c:v>484.20355422088215</c:v>
                </c:pt>
                <c:pt idx="24">
                  <c:v>484.20355422088215</c:v>
                </c:pt>
                <c:pt idx="25">
                  <c:v>484.20355422088215</c:v>
                </c:pt>
                <c:pt idx="26">
                  <c:v>484.20355422088215</c:v>
                </c:pt>
                <c:pt idx="27">
                  <c:v>484.20355422088215</c:v>
                </c:pt>
                <c:pt idx="28">
                  <c:v>484.20355422088215</c:v>
                </c:pt>
                <c:pt idx="29">
                  <c:v>484.20355422088215</c:v>
                </c:pt>
                <c:pt idx="30">
                  <c:v>484.20355422088215</c:v>
                </c:pt>
                <c:pt idx="31">
                  <c:v>484.20355422088215</c:v>
                </c:pt>
                <c:pt idx="32">
                  <c:v>484.20355422088215</c:v>
                </c:pt>
                <c:pt idx="33">
                  <c:v>484.20355422088215</c:v>
                </c:pt>
                <c:pt idx="34">
                  <c:v>484.20355422088215</c:v>
                </c:pt>
                <c:pt idx="35">
                  <c:v>484.20355422088215</c:v>
                </c:pt>
                <c:pt idx="36">
                  <c:v>484.20355422088215</c:v>
                </c:pt>
                <c:pt idx="37">
                  <c:v>484.20355422088215</c:v>
                </c:pt>
                <c:pt idx="38">
                  <c:v>484.20355422088215</c:v>
                </c:pt>
                <c:pt idx="39">
                  <c:v>484.20355422088215</c:v>
                </c:pt>
                <c:pt idx="40">
                  <c:v>484.20355422088215</c:v>
                </c:pt>
              </c:numCache>
            </c:numRef>
          </c:yVal>
          <c:smooth val="1"/>
          <c:extLst>
            <c:ext xmlns:c16="http://schemas.microsoft.com/office/drawing/2014/chart" uri="{C3380CC4-5D6E-409C-BE32-E72D297353CC}">
              <c16:uniqueId val="{00000000-4489-46DA-BA23-12E7B386EBFC}"/>
            </c:ext>
          </c:extLst>
        </c:ser>
        <c:dLbls>
          <c:showLegendKey val="0"/>
          <c:showVal val="0"/>
          <c:showCatName val="0"/>
          <c:showSerName val="0"/>
          <c:showPercent val="0"/>
          <c:showBubbleSize val="0"/>
        </c:dLbls>
        <c:axId val="205400320"/>
        <c:axId val="205400896"/>
      </c:scatterChart>
      <c:valAx>
        <c:axId val="205400320"/>
        <c:scaling>
          <c:orientation val="minMax"/>
          <c:max val="100000"/>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n-US" sz="1200">
                    <a:solidFill>
                      <a:sysClr val="windowText" lastClr="000000"/>
                    </a:solidFill>
                  </a:rPr>
                  <a:t>Water Quantity, af</a:t>
                </a:r>
              </a:p>
            </c:rich>
          </c:tx>
          <c:layout>
            <c:manualLayout>
              <c:xMode val="edge"/>
              <c:yMode val="edge"/>
              <c:x val="0.38920713035870519"/>
              <c:y val="0.88388815981335667"/>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title>
        <c:numFmt formatCode="0"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crossAx val="205400896"/>
        <c:crosses val="autoZero"/>
        <c:crossBetween val="midCat"/>
      </c:valAx>
      <c:valAx>
        <c:axId val="205400896"/>
        <c:scaling>
          <c:orientation val="minMax"/>
          <c:max val="4000"/>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n-US" sz="1200">
                    <a:solidFill>
                      <a:sysClr val="windowText" lastClr="000000"/>
                    </a:solidFill>
                  </a:rPr>
                  <a:t>Price, $/af</a:t>
                </a:r>
              </a:p>
            </c:rich>
          </c:tx>
          <c:layout>
            <c:manualLayout>
              <c:xMode val="edge"/>
              <c:yMode val="edge"/>
              <c:x val="2.2222222222222223E-2"/>
              <c:y val="0.2593667979002624"/>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crossAx val="205400320"/>
        <c:crosses val="autoZero"/>
        <c:crossBetween val="midCat"/>
      </c:valAx>
      <c:spPr>
        <a:noFill/>
        <a:ln>
          <a:solidFill>
            <a:schemeClr val="tx1"/>
          </a:solidFill>
        </a:ln>
        <a:effectLst/>
      </c:spPr>
    </c:plotArea>
    <c:legend>
      <c:legendPos val="b"/>
      <c:layout>
        <c:manualLayout>
          <c:xMode val="edge"/>
          <c:yMode val="edge"/>
          <c:x val="0.60237226596675419"/>
          <c:y val="7.01337532808399E-2"/>
          <c:w val="0.31151662292213472"/>
          <c:h val="0.36621774278215224"/>
        </c:manualLayout>
      </c:layout>
      <c:overlay val="0"/>
      <c:spPr>
        <a:solidFill>
          <a:schemeClr val="bg1"/>
        </a:solid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legend>
    <c:plotVisOnly val="1"/>
    <c:dispBlanksAs val="zero"/>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610192475940507"/>
          <c:y val="3.9960104986876639E-2"/>
          <c:w val="0.8024050743657043"/>
          <c:h val="0.73334173228346444"/>
        </c:manualLayout>
      </c:layout>
      <c:scatterChart>
        <c:scatterStyle val="smoothMarker"/>
        <c:varyColors val="0"/>
        <c:ser>
          <c:idx val="1"/>
          <c:order val="0"/>
          <c:tx>
            <c:strRef>
              <c:f>SLC!$I$10</c:f>
              <c:strCache>
                <c:ptCount val="1"/>
                <c:pt idx="0">
                  <c:v>Summer</c:v>
                </c:pt>
              </c:strCache>
            </c:strRef>
          </c:tx>
          <c:spPr>
            <a:ln w="12700" cap="rnd">
              <a:solidFill>
                <a:schemeClr val="accent2"/>
              </a:solidFill>
              <a:round/>
            </a:ln>
            <a:effectLst/>
          </c:spPr>
          <c:marker>
            <c:symbol val="diamond"/>
            <c:size val="4"/>
            <c:spPr>
              <a:solidFill>
                <a:schemeClr val="accent2"/>
              </a:solidFill>
              <a:ln w="9525">
                <a:solidFill>
                  <a:schemeClr val="accent2"/>
                </a:solidFill>
              </a:ln>
              <a:effectLst/>
            </c:spPr>
          </c:marker>
          <c:xVal>
            <c:numRef>
              <c:f>SLC!$B$56:$B$73</c:f>
              <c:numCache>
                <c:formatCode>General</c:formatCode>
                <c:ptCount val="18"/>
                <c:pt idx="0">
                  <c:v>84.278626516072819</c:v>
                </c:pt>
                <c:pt idx="1">
                  <c:v>80.370360861325736</c:v>
                </c:pt>
                <c:pt idx="2">
                  <c:v>76.462095206578653</c:v>
                </c:pt>
                <c:pt idx="3">
                  <c:v>72.553829551831555</c:v>
                </c:pt>
                <c:pt idx="4">
                  <c:v>68.645563897084486</c:v>
                </c:pt>
                <c:pt idx="5">
                  <c:v>64.737298242337388</c:v>
                </c:pt>
                <c:pt idx="6">
                  <c:v>60.829032587590305</c:v>
                </c:pt>
                <c:pt idx="7">
                  <c:v>56.920766932843222</c:v>
                </c:pt>
                <c:pt idx="8">
                  <c:v>53.012501278096131</c:v>
                </c:pt>
                <c:pt idx="9">
                  <c:v>49.104235623349055</c:v>
                </c:pt>
                <c:pt idx="10">
                  <c:v>45.195969968601965</c:v>
                </c:pt>
                <c:pt idx="11">
                  <c:v>41.287704313854881</c:v>
                </c:pt>
                <c:pt idx="12">
                  <c:v>37.379438659107798</c:v>
                </c:pt>
                <c:pt idx="13">
                  <c:v>33.471173004360708</c:v>
                </c:pt>
                <c:pt idx="14">
                  <c:v>29.562907349613628</c:v>
                </c:pt>
                <c:pt idx="15">
                  <c:v>25.654641694866545</c:v>
                </c:pt>
                <c:pt idx="16">
                  <c:v>21.746376040119454</c:v>
                </c:pt>
                <c:pt idx="17">
                  <c:v>17.838110385372367</c:v>
                </c:pt>
              </c:numCache>
            </c:numRef>
          </c:xVal>
          <c:yVal>
            <c:numRef>
              <c:f>SLC!$E$56:$E$73</c:f>
              <c:numCache>
                <c:formatCode>General</c:formatCode>
                <c:ptCount val="18"/>
                <c:pt idx="0">
                  <c:v>0</c:v>
                </c:pt>
                <c:pt idx="1">
                  <c:v>1.9628399817946904</c:v>
                </c:pt>
                <c:pt idx="2">
                  <c:v>4.0790779428383068</c:v>
                </c:pt>
                <c:pt idx="3">
                  <c:v>6.3702766969567417</c:v>
                </c:pt>
                <c:pt idx="4">
                  <c:v>8.8625418782676881</c:v>
                </c:pt>
                <c:pt idx="5">
                  <c:v>11.587839366414073</c:v>
                </c:pt>
                <c:pt idx="6">
                  <c:v>14.585813971172453</c:v>
                </c:pt>
                <c:pt idx="7">
                  <c:v>17.906352318633022</c:v>
                </c:pt>
                <c:pt idx="8">
                  <c:v>21.61328008264929</c:v>
                </c:pt>
                <c:pt idx="9">
                  <c:v>25.789841132169865</c:v>
                </c:pt>
                <c:pt idx="10">
                  <c:v>30.547075194764027</c:v>
                </c:pt>
                <c:pt idx="11">
                  <c:v>36.03710698379259</c:v>
                </c:pt>
                <c:pt idx="12">
                  <c:v>42.475172015936913</c:v>
                </c:pt>
                <c:pt idx="13">
                  <c:v>50.178125028264716</c:v>
                </c:pt>
                <c:pt idx="14">
                  <c:v>59.636393021418883</c:v>
                </c:pt>
                <c:pt idx="15">
                  <c:v>71.660389583752092</c:v>
                </c:pt>
                <c:pt idx="16">
                  <c:v>87.714417393106132</c:v>
                </c:pt>
                <c:pt idx="17">
                  <c:v>110.8117080501907</c:v>
                </c:pt>
              </c:numCache>
            </c:numRef>
          </c:yVal>
          <c:smooth val="1"/>
          <c:extLst>
            <c:ext xmlns:c16="http://schemas.microsoft.com/office/drawing/2014/chart" uri="{C3380CC4-5D6E-409C-BE32-E72D297353CC}">
              <c16:uniqueId val="{00000000-5D48-449C-8394-3B7B3EB6B644}"/>
            </c:ext>
          </c:extLst>
        </c:ser>
        <c:ser>
          <c:idx val="0"/>
          <c:order val="1"/>
          <c:tx>
            <c:strRef>
              <c:f>SLC!$J$10</c:f>
              <c:strCache>
                <c:ptCount val="1"/>
                <c:pt idx="0">
                  <c:v>Winter</c:v>
                </c:pt>
              </c:strCache>
            </c:strRef>
          </c:tx>
          <c:spPr>
            <a:ln w="12700" cap="rnd">
              <a:solidFill>
                <a:schemeClr val="accent1"/>
              </a:solidFill>
              <a:round/>
            </a:ln>
            <a:effectLst/>
          </c:spPr>
          <c:marker>
            <c:symbol val="diamond"/>
            <c:size val="4"/>
            <c:spPr>
              <a:solidFill>
                <a:schemeClr val="accent1"/>
              </a:solidFill>
              <a:ln w="9525">
                <a:solidFill>
                  <a:schemeClr val="accent1"/>
                </a:solidFill>
              </a:ln>
              <a:effectLst/>
            </c:spPr>
          </c:marker>
          <c:xVal>
            <c:numRef>
              <c:f>SLC!$C$56:$C$73</c:f>
              <c:numCache>
                <c:formatCode>General</c:formatCode>
                <c:ptCount val="18"/>
                <c:pt idx="0">
                  <c:v>43.800160806192288</c:v>
                </c:pt>
                <c:pt idx="1">
                  <c:v>41.915818436939226</c:v>
                </c:pt>
                <c:pt idx="2">
                  <c:v>40.031476067686171</c:v>
                </c:pt>
                <c:pt idx="3">
                  <c:v>38.147133698433116</c:v>
                </c:pt>
                <c:pt idx="4">
                  <c:v>36.262791329180061</c:v>
                </c:pt>
                <c:pt idx="5">
                  <c:v>34.378448959926992</c:v>
                </c:pt>
                <c:pt idx="6">
                  <c:v>32.494106590673937</c:v>
                </c:pt>
                <c:pt idx="7">
                  <c:v>30.609764221420882</c:v>
                </c:pt>
                <c:pt idx="8">
                  <c:v>28.72542185216782</c:v>
                </c:pt>
                <c:pt idx="9">
                  <c:v>26.841079482914765</c:v>
                </c:pt>
                <c:pt idx="10">
                  <c:v>24.956737113661699</c:v>
                </c:pt>
                <c:pt idx="11">
                  <c:v>23.072394744408644</c:v>
                </c:pt>
                <c:pt idx="12">
                  <c:v>21.188052375155586</c:v>
                </c:pt>
                <c:pt idx="13">
                  <c:v>19.303710005902524</c:v>
                </c:pt>
                <c:pt idx="14">
                  <c:v>17.419367636649465</c:v>
                </c:pt>
                <c:pt idx="15">
                  <c:v>15.535025267396408</c:v>
                </c:pt>
                <c:pt idx="16">
                  <c:v>13.65068289814335</c:v>
                </c:pt>
                <c:pt idx="17">
                  <c:v>11.766340528890291</c:v>
                </c:pt>
              </c:numCache>
            </c:numRef>
          </c:xVal>
          <c:yVal>
            <c:numRef>
              <c:f>SLC!$F$56:$F$73</c:f>
              <c:numCache>
                <c:formatCode>General</c:formatCode>
                <c:ptCount val="18"/>
                <c:pt idx="0">
                  <c:v>0</c:v>
                </c:pt>
                <c:pt idx="1">
                  <c:v>0.97664158430172054</c:v>
                </c:pt>
                <c:pt idx="2">
                  <c:v>2.0993578717197492</c:v>
                </c:pt>
                <c:pt idx="3">
                  <c:v>3.4000536312573155</c:v>
                </c:pt>
                <c:pt idx="4">
                  <c:v>4.9200774880655977</c:v>
                </c:pt>
                <c:pt idx="5">
                  <c:v>6.7138493544114928</c:v>
                </c:pt>
                <c:pt idx="6">
                  <c:v>8.8542472129717176</c:v>
                </c:pt>
                <c:pt idx="7">
                  <c:v>11.440811909060058</c:v>
                </c:pt>
                <c:pt idx="8">
                  <c:v>14.612610192803924</c:v>
                </c:pt>
                <c:pt idx="9">
                  <c:v>18.569081394904224</c:v>
                </c:pt>
                <c:pt idx="10">
                  <c:v>23.605152326493414</c:v>
                </c:pt>
                <c:pt idx="11">
                  <c:v>30.173137021645786</c:v>
                </c:pt>
                <c:pt idx="12">
                  <c:v>38.997951275110609</c:v>
                </c:pt>
                <c:pt idx="13">
                  <c:v>51.306270351813644</c:v>
                </c:pt>
                <c:pt idx="14">
                  <c:v>69.321702799111563</c:v>
                </c:pt>
                <c:pt idx="15">
                  <c:v>97.455485943098608</c:v>
                </c:pt>
                <c:pt idx="16">
                  <c:v>145.61291030222239</c:v>
                </c:pt>
                <c:pt idx="17">
                  <c:v>240.48284105209038</c:v>
                </c:pt>
              </c:numCache>
            </c:numRef>
          </c:yVal>
          <c:smooth val="1"/>
          <c:extLst>
            <c:ext xmlns:c16="http://schemas.microsoft.com/office/drawing/2014/chart" uri="{C3380CC4-5D6E-409C-BE32-E72D297353CC}">
              <c16:uniqueId val="{00000001-5D48-449C-8394-3B7B3EB6B644}"/>
            </c:ext>
          </c:extLst>
        </c:ser>
        <c:ser>
          <c:idx val="2"/>
          <c:order val="2"/>
          <c:tx>
            <c:strRef>
              <c:f>SLC!$K$10</c:f>
              <c:strCache>
                <c:ptCount val="1"/>
                <c:pt idx="0">
                  <c:v>Fall, Spring</c:v>
                </c:pt>
              </c:strCache>
            </c:strRef>
          </c:tx>
          <c:spPr>
            <a:ln w="12700" cap="rnd">
              <a:solidFill>
                <a:schemeClr val="accent3"/>
              </a:solidFill>
              <a:round/>
            </a:ln>
            <a:effectLst/>
          </c:spPr>
          <c:marker>
            <c:symbol val="diamond"/>
            <c:size val="4"/>
            <c:spPr>
              <a:solidFill>
                <a:schemeClr val="accent3"/>
              </a:solidFill>
              <a:ln w="9525">
                <a:solidFill>
                  <a:schemeClr val="accent3"/>
                </a:solidFill>
              </a:ln>
              <a:effectLst/>
            </c:spPr>
          </c:marker>
          <c:xVal>
            <c:numRef>
              <c:f>SLC!$D$56:$D$73</c:f>
              <c:numCache>
                <c:formatCode>General</c:formatCode>
                <c:ptCount val="18"/>
                <c:pt idx="0">
                  <c:v>59.154061592698703</c:v>
                </c:pt>
                <c:pt idx="1">
                  <c:v>56.502024184120316</c:v>
                </c:pt>
                <c:pt idx="2">
                  <c:v>53.849986775541943</c:v>
                </c:pt>
                <c:pt idx="3">
                  <c:v>51.197949366963563</c:v>
                </c:pt>
                <c:pt idx="4">
                  <c:v>48.545911958385183</c:v>
                </c:pt>
                <c:pt idx="5">
                  <c:v>45.893874549806803</c:v>
                </c:pt>
                <c:pt idx="6">
                  <c:v>43.241837141228423</c:v>
                </c:pt>
                <c:pt idx="7">
                  <c:v>40.58979973265005</c:v>
                </c:pt>
                <c:pt idx="8">
                  <c:v>37.937762324071663</c:v>
                </c:pt>
                <c:pt idx="9">
                  <c:v>35.28572491549329</c:v>
                </c:pt>
                <c:pt idx="10">
                  <c:v>32.63368750691491</c:v>
                </c:pt>
                <c:pt idx="11">
                  <c:v>29.981650098336527</c:v>
                </c:pt>
                <c:pt idx="12">
                  <c:v>27.32961268975815</c:v>
                </c:pt>
                <c:pt idx="13">
                  <c:v>24.677575281179774</c:v>
                </c:pt>
                <c:pt idx="14">
                  <c:v>22.025537872601387</c:v>
                </c:pt>
                <c:pt idx="15">
                  <c:v>19.37350046402301</c:v>
                </c:pt>
                <c:pt idx="16">
                  <c:v>16.721463055444634</c:v>
                </c:pt>
                <c:pt idx="17">
                  <c:v>14.069425646866252</c:v>
                </c:pt>
              </c:numCache>
            </c:numRef>
          </c:xVal>
          <c:yVal>
            <c:numRef>
              <c:f>SLC!$G$56:$G$73</c:f>
              <c:numCache>
                <c:formatCode>General</c:formatCode>
                <c:ptCount val="18"/>
                <c:pt idx="0">
                  <c:v>0</c:v>
                </c:pt>
                <c:pt idx="1">
                  <c:v>1.3538764870040283</c:v>
                </c:pt>
                <c:pt idx="2">
                  <c:v>2.863095928117243</c:v>
                </c:pt>
                <c:pt idx="3">
                  <c:v>4.5556861323769642</c:v>
                </c:pt>
                <c:pt idx="4">
                  <c:v>6.4668033467665165</c:v>
                </c:pt>
                <c:pt idx="5">
                  <c:v>8.6411424785562723</c:v>
                </c:pt>
                <c:pt idx="6">
                  <c:v>11.136393067739627</c:v>
                </c:pt>
                <c:pt idx="7">
                  <c:v>14.028310324154884</c:v>
                </c:pt>
                <c:pt idx="8">
                  <c:v>17.418353914518736</c:v>
                </c:pt>
                <c:pt idx="9">
                  <c:v>21.445547169232633</c:v>
                </c:pt>
                <c:pt idx="10">
                  <c:v>26.305545412109428</c:v>
                </c:pt>
                <c:pt idx="11">
                  <c:v>32.282587405221562</c:v>
                </c:pt>
                <c:pt idx="12">
                  <c:v>39.805741051812909</c:v>
                </c:pt>
                <c:pt idx="13">
                  <c:v>49.554046576181101</c:v>
                </c:pt>
                <c:pt idx="14">
                  <c:v>62.66836224110385</c:v>
                </c:pt>
                <c:pt idx="15">
                  <c:v>81.221396479415205</c:v>
                </c:pt>
                <c:pt idx="16">
                  <c:v>109.40460733913626</c:v>
                </c:pt>
                <c:pt idx="17">
                  <c:v>157.13295817049243</c:v>
                </c:pt>
              </c:numCache>
            </c:numRef>
          </c:yVal>
          <c:smooth val="1"/>
          <c:extLst>
            <c:ext xmlns:c16="http://schemas.microsoft.com/office/drawing/2014/chart" uri="{C3380CC4-5D6E-409C-BE32-E72D297353CC}">
              <c16:uniqueId val="{00000002-5D48-449C-8394-3B7B3EB6B644}"/>
            </c:ext>
          </c:extLst>
        </c:ser>
        <c:dLbls>
          <c:showLegendKey val="0"/>
          <c:showVal val="0"/>
          <c:showCatName val="0"/>
          <c:showSerName val="0"/>
          <c:showPercent val="0"/>
          <c:showBubbleSize val="0"/>
        </c:dLbls>
        <c:axId val="205403200"/>
        <c:axId val="205403776"/>
      </c:scatterChart>
      <c:valAx>
        <c:axId val="205403200"/>
        <c:scaling>
          <c:orientation val="minMax"/>
          <c:max val="90"/>
          <c:min val="0"/>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n-US" sz="1200">
                    <a:solidFill>
                      <a:sysClr val="windowText" lastClr="000000"/>
                    </a:solidFill>
                  </a:rPr>
                  <a:t>Water Quantity, af</a:t>
                </a:r>
              </a:p>
            </c:rich>
          </c:tx>
          <c:layout>
            <c:manualLayout>
              <c:xMode val="edge"/>
              <c:yMode val="edge"/>
              <c:x val="0.38920713035870519"/>
              <c:y val="0.88388815981335667"/>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title>
        <c:numFmt formatCode="#,##0"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crossAx val="205403776"/>
        <c:crosses val="autoZero"/>
        <c:crossBetween val="midCat"/>
      </c:valAx>
      <c:valAx>
        <c:axId val="205403776"/>
        <c:scaling>
          <c:orientation val="minMax"/>
          <c:max val="50"/>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n-US" sz="1200">
                    <a:solidFill>
                      <a:sysClr val="windowText" lastClr="000000"/>
                    </a:solidFill>
                  </a:rPr>
                  <a:t>Losses, $M</a:t>
                </a:r>
              </a:p>
            </c:rich>
          </c:tx>
          <c:layout>
            <c:manualLayout>
              <c:xMode val="edge"/>
              <c:yMode val="edge"/>
              <c:x val="0"/>
              <c:y val="0.25936671916010501"/>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crossAx val="205403200"/>
        <c:crosses val="autoZero"/>
        <c:crossBetween val="midCat"/>
      </c:valAx>
      <c:spPr>
        <a:noFill/>
        <a:ln>
          <a:solidFill>
            <a:schemeClr val="tx1"/>
          </a:solidFill>
        </a:ln>
        <a:effectLst/>
      </c:spPr>
    </c:plotArea>
    <c:legend>
      <c:legendPos val="b"/>
      <c:layout>
        <c:manualLayout>
          <c:xMode val="edge"/>
          <c:yMode val="edge"/>
          <c:x val="0.63570559930008741"/>
          <c:y val="8.0800419947506544E-2"/>
          <c:w val="0.26151662292213473"/>
          <c:h val="0.24577553805774277"/>
        </c:manualLayout>
      </c:layout>
      <c:overlay val="0"/>
      <c:spPr>
        <a:solidFill>
          <a:schemeClr val="bg1"/>
        </a:solid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648381452318464"/>
          <c:y val="3.9960104986876639E-2"/>
          <c:w val="0.75518285214348202"/>
          <c:h val="0.73334173228346444"/>
        </c:manualLayout>
      </c:layout>
      <c:scatterChart>
        <c:scatterStyle val="smoothMarker"/>
        <c:varyColors val="0"/>
        <c:ser>
          <c:idx val="1"/>
          <c:order val="0"/>
          <c:tx>
            <c:strRef>
              <c:f>Provo!$F$10</c:f>
              <c:strCache>
                <c:ptCount val="1"/>
                <c:pt idx="0">
                  <c:v>Summer</c:v>
                </c:pt>
              </c:strCache>
            </c:strRef>
          </c:tx>
          <c:spPr>
            <a:ln w="12700" cap="rnd">
              <a:solidFill>
                <a:schemeClr val="accent2"/>
              </a:solidFill>
              <a:round/>
            </a:ln>
            <a:effectLst/>
          </c:spPr>
          <c:marker>
            <c:symbol val="diamond"/>
            <c:size val="4"/>
            <c:spPr>
              <a:solidFill>
                <a:schemeClr val="accent2"/>
              </a:solidFill>
              <a:ln w="9525">
                <a:solidFill>
                  <a:schemeClr val="accent2"/>
                </a:solidFill>
              </a:ln>
              <a:effectLst/>
            </c:spPr>
          </c:marker>
          <c:xVal>
            <c:numRef>
              <c:f>Provo!$B$12:$B$48</c:f>
              <c:numCache>
                <c:formatCode>0.0</c:formatCode>
                <c:ptCount val="37"/>
                <c:pt idx="0">
                  <c:v>75999.775465587358</c:v>
                </c:pt>
                <c:pt idx="1">
                  <c:v>74099.781078947679</c:v>
                </c:pt>
                <c:pt idx="2">
                  <c:v>72199.786692307986</c:v>
                </c:pt>
                <c:pt idx="3">
                  <c:v>70299.792305668307</c:v>
                </c:pt>
                <c:pt idx="4">
                  <c:v>68399.797919028628</c:v>
                </c:pt>
                <c:pt idx="5">
                  <c:v>66499.803532388934</c:v>
                </c:pt>
                <c:pt idx="6">
                  <c:v>64599.809145749256</c:v>
                </c:pt>
                <c:pt idx="7">
                  <c:v>62699.814759109569</c:v>
                </c:pt>
                <c:pt idx="8">
                  <c:v>60799.820372469883</c:v>
                </c:pt>
                <c:pt idx="9">
                  <c:v>58899.825985830197</c:v>
                </c:pt>
                <c:pt idx="10">
                  <c:v>56999.831599190511</c:v>
                </c:pt>
                <c:pt idx="11">
                  <c:v>55099.837212550825</c:v>
                </c:pt>
                <c:pt idx="12">
                  <c:v>53199.842825911146</c:v>
                </c:pt>
                <c:pt idx="13">
                  <c:v>51299.84843927146</c:v>
                </c:pt>
                <c:pt idx="14">
                  <c:v>49399.854052631774</c:v>
                </c:pt>
                <c:pt idx="15">
                  <c:v>47499.859665992088</c:v>
                </c:pt>
                <c:pt idx="16">
                  <c:v>45599.865279352402</c:v>
                </c:pt>
                <c:pt idx="17">
                  <c:v>43699.870892712715</c:v>
                </c:pt>
                <c:pt idx="18">
                  <c:v>41799.876506073037</c:v>
                </c:pt>
                <c:pt idx="19">
                  <c:v>39899.88211943335</c:v>
                </c:pt>
                <c:pt idx="20">
                  <c:v>37999.887732793664</c:v>
                </c:pt>
                <c:pt idx="21">
                  <c:v>36099.893346153978</c:v>
                </c:pt>
                <c:pt idx="22">
                  <c:v>34199.898959514299</c:v>
                </c:pt>
                <c:pt idx="23">
                  <c:v>32299.904572874613</c:v>
                </c:pt>
                <c:pt idx="24">
                  <c:v>30399.910186234934</c:v>
                </c:pt>
                <c:pt idx="25">
                  <c:v>28499.915799595248</c:v>
                </c:pt>
                <c:pt idx="26">
                  <c:v>26599.921412955562</c:v>
                </c:pt>
                <c:pt idx="27">
                  <c:v>24699.927026315883</c:v>
                </c:pt>
                <c:pt idx="28">
                  <c:v>22799.932639676197</c:v>
                </c:pt>
                <c:pt idx="29">
                  <c:v>20899.938253036518</c:v>
                </c:pt>
                <c:pt idx="30">
                  <c:v>18999.943866396832</c:v>
                </c:pt>
                <c:pt idx="31">
                  <c:v>17099.94947975715</c:v>
                </c:pt>
                <c:pt idx="32">
                  <c:v>15199.955093117467</c:v>
                </c:pt>
                <c:pt idx="33">
                  <c:v>13299.960706477781</c:v>
                </c:pt>
                <c:pt idx="34">
                  <c:v>11399.966319838099</c:v>
                </c:pt>
                <c:pt idx="35">
                  <c:v>9499.9719331984161</c:v>
                </c:pt>
                <c:pt idx="36">
                  <c:v>7599.9775465587336</c:v>
                </c:pt>
              </c:numCache>
            </c:numRef>
          </c:xVal>
          <c:yVal>
            <c:numRef>
              <c:f>Provo!$F$12:$F$48</c:f>
              <c:numCache>
                <c:formatCode>0.0</c:formatCode>
                <c:ptCount val="37"/>
                <c:pt idx="0">
                  <c:v>110.74144241138455</c:v>
                </c:pt>
                <c:pt idx="1">
                  <c:v>114.82008598845115</c:v>
                </c:pt>
                <c:pt idx="2">
                  <c:v>119.16085122380191</c:v>
                </c:pt>
                <c:pt idx="3">
                  <c:v>123.78816614444759</c:v>
                </c:pt>
                <c:pt idx="4">
                  <c:v>128.72948137534888</c:v>
                </c:pt>
                <c:pt idx="5">
                  <c:v>134.0157417553537</c:v>
                </c:pt>
                <c:pt idx="6">
                  <c:v>139.68194767069696</c:v>
                </c:pt>
                <c:pt idx="7">
                  <c:v>145.7678264291072</c:v>
                </c:pt>
                <c:pt idx="8">
                  <c:v>152.3186393849862</c:v>
                </c:pt>
                <c:pt idx="9">
                  <c:v>159.38615756299572</c:v>
                </c:pt>
                <c:pt idx="10">
                  <c:v>167.02984779091176</c:v>
                </c:pt>
                <c:pt idx="11">
                  <c:v>175.31832364918949</c:v>
                </c:pt>
                <c:pt idx="12">
                  <c:v>184.33113201211648</c:v>
                </c:pt>
                <c:pt idx="13">
                  <c:v>194.16096821687324</c:v>
                </c:pt>
                <c:pt idx="14">
                  <c:v>204.91644329426464</c:v>
                </c:pt>
                <c:pt idx="15">
                  <c:v>216.72556864971284</c:v>
                </c:pt>
                <c:pt idx="16">
                  <c:v>229.74018215946168</c:v>
                </c:pt>
                <c:pt idx="17">
                  <c:v>244.14162244727601</c:v>
                </c:pt>
                <c:pt idx="18">
                  <c:v>260.14807671884836</c:v>
                </c:pt>
                <c:pt idx="19">
                  <c:v>278.02419990824637</c:v>
                </c:pt>
                <c:pt idx="20">
                  <c:v>298.09385734773554</c:v>
                </c:pt>
                <c:pt idx="21">
                  <c:v>320.75722523270116</c:v>
                </c:pt>
                <c:pt idx="22">
                  <c:v>346.51406756109145</c:v>
                </c:pt>
                <c:pt idx="23">
                  <c:v>375.99592055450756</c:v>
                </c:pt>
                <c:pt idx="24">
                  <c:v>410.01137217950281</c:v>
                </c:pt>
                <c:pt idx="25">
                  <c:v>449.61100863428192</c:v>
                </c:pt>
                <c:pt idx="26">
                  <c:v>496.18261216649586</c:v>
                </c:pt>
                <c:pt idx="27">
                  <c:v>551.59416100657631</c:v>
                </c:pt>
                <c:pt idx="28">
                  <c:v>618.41471084762441</c:v>
                </c:pt>
                <c:pt idx="29">
                  <c:v>700.26669313767025</c:v>
                </c:pt>
                <c:pt idx="30">
                  <c:v>802.40916005367899</c:v>
                </c:pt>
                <c:pt idx="31">
                  <c:v>932.74670056058892</c:v>
                </c:pt>
                <c:pt idx="32">
                  <c:v>1103.6687695956994</c:v>
                </c:pt>
                <c:pt idx="33">
                  <c:v>1335.6245465914253</c:v>
                </c:pt>
                <c:pt idx="34">
                  <c:v>1664.6489569130015</c:v>
                </c:pt>
                <c:pt idx="35">
                  <c:v>2159.9252861724281</c:v>
                </c:pt>
                <c:pt idx="36">
                  <c:v>2970.8560192023356</c:v>
                </c:pt>
              </c:numCache>
            </c:numRef>
          </c:yVal>
          <c:smooth val="1"/>
          <c:extLst>
            <c:ext xmlns:c16="http://schemas.microsoft.com/office/drawing/2014/chart" uri="{C3380CC4-5D6E-409C-BE32-E72D297353CC}">
              <c16:uniqueId val="{00000000-3D1C-4D7B-AD0B-375CCD262839}"/>
            </c:ext>
          </c:extLst>
        </c:ser>
        <c:ser>
          <c:idx val="0"/>
          <c:order val="1"/>
          <c:tx>
            <c:strRef>
              <c:f>Provo!$G$10</c:f>
              <c:strCache>
                <c:ptCount val="1"/>
                <c:pt idx="0">
                  <c:v>Winter</c:v>
                </c:pt>
              </c:strCache>
            </c:strRef>
          </c:tx>
          <c:spPr>
            <a:ln w="12700" cap="rnd">
              <a:solidFill>
                <a:schemeClr val="accent1"/>
              </a:solidFill>
              <a:round/>
            </a:ln>
            <a:effectLst/>
          </c:spPr>
          <c:marker>
            <c:symbol val="diamond"/>
            <c:size val="4"/>
            <c:spPr>
              <a:solidFill>
                <a:schemeClr val="accent1"/>
              </a:solidFill>
              <a:ln w="9525">
                <a:solidFill>
                  <a:schemeClr val="accent1"/>
                </a:solidFill>
              </a:ln>
              <a:effectLst/>
            </c:spPr>
          </c:marker>
          <c:xVal>
            <c:numRef>
              <c:f>Provo!$C$12:$C$45</c:f>
              <c:numCache>
                <c:formatCode>0.0</c:formatCode>
                <c:ptCount val="34"/>
                <c:pt idx="0">
                  <c:v>36642.748885193905</c:v>
                </c:pt>
                <c:pt idx="1">
                  <c:v>35726.680163064062</c:v>
                </c:pt>
                <c:pt idx="2">
                  <c:v>34810.611440934212</c:v>
                </c:pt>
                <c:pt idx="3">
                  <c:v>33894.542718804361</c:v>
                </c:pt>
                <c:pt idx="4">
                  <c:v>32978.473996674511</c:v>
                </c:pt>
                <c:pt idx="5">
                  <c:v>32062.405274544668</c:v>
                </c:pt>
                <c:pt idx="6">
                  <c:v>31146.336552414818</c:v>
                </c:pt>
                <c:pt idx="7">
                  <c:v>30230.267830284971</c:v>
                </c:pt>
                <c:pt idx="8">
                  <c:v>29314.19910815512</c:v>
                </c:pt>
                <c:pt idx="9">
                  <c:v>28398.130386025274</c:v>
                </c:pt>
                <c:pt idx="10">
                  <c:v>27482.061663895427</c:v>
                </c:pt>
                <c:pt idx="11">
                  <c:v>26565.992941765577</c:v>
                </c:pt>
                <c:pt idx="12">
                  <c:v>25649.92421963573</c:v>
                </c:pt>
                <c:pt idx="13">
                  <c:v>24733.855497505883</c:v>
                </c:pt>
                <c:pt idx="14">
                  <c:v>23817.786775376033</c:v>
                </c:pt>
                <c:pt idx="15">
                  <c:v>22901.718053246186</c:v>
                </c:pt>
                <c:pt idx="16">
                  <c:v>21985.649331116336</c:v>
                </c:pt>
                <c:pt idx="17">
                  <c:v>21069.580608986489</c:v>
                </c:pt>
                <c:pt idx="18">
                  <c:v>20153.511886856642</c:v>
                </c:pt>
                <c:pt idx="19">
                  <c:v>19237.443164726792</c:v>
                </c:pt>
                <c:pt idx="20">
                  <c:v>18321.374442596945</c:v>
                </c:pt>
                <c:pt idx="21">
                  <c:v>17405.305720467099</c:v>
                </c:pt>
                <c:pt idx="22">
                  <c:v>16489.236998337252</c:v>
                </c:pt>
                <c:pt idx="23">
                  <c:v>15573.168276207403</c:v>
                </c:pt>
                <c:pt idx="24">
                  <c:v>14657.099554077557</c:v>
                </c:pt>
                <c:pt idx="25">
                  <c:v>13741.030831947708</c:v>
                </c:pt>
                <c:pt idx="26">
                  <c:v>12824.962109817861</c:v>
                </c:pt>
                <c:pt idx="27">
                  <c:v>11908.893387688015</c:v>
                </c:pt>
                <c:pt idx="28">
                  <c:v>10992.824665558166</c:v>
                </c:pt>
                <c:pt idx="29">
                  <c:v>10076.755943428321</c:v>
                </c:pt>
                <c:pt idx="30">
                  <c:v>9160.6872212984727</c:v>
                </c:pt>
                <c:pt idx="31">
                  <c:v>8244.6184991686259</c:v>
                </c:pt>
                <c:pt idx="32">
                  <c:v>7328.5497770387783</c:v>
                </c:pt>
                <c:pt idx="33">
                  <c:v>6412.4810549089307</c:v>
                </c:pt>
              </c:numCache>
            </c:numRef>
          </c:xVal>
          <c:yVal>
            <c:numRef>
              <c:f>Provo!$G$12:$G$45</c:f>
              <c:numCache>
                <c:formatCode>0.0</c:formatCode>
                <c:ptCount val="34"/>
                <c:pt idx="0">
                  <c:v>47.640616945724524</c:v>
                </c:pt>
                <c:pt idx="1">
                  <c:v>50.940792276737305</c:v>
                </c:pt>
                <c:pt idx="2">
                  <c:v>54.564431926695676</c:v>
                </c:pt>
                <c:pt idx="3">
                  <c:v>58.553048703351024</c:v>
                </c:pt>
                <c:pt idx="4">
                  <c:v>62.954813150846114</c:v>
                </c:pt>
                <c:pt idx="5">
                  <c:v>67.825847035510293</c:v>
                </c:pt>
                <c:pt idx="6">
                  <c:v>73.23181461963101</c:v>
                </c:pt>
                <c:pt idx="7">
                  <c:v>79.249891643704501</c:v>
                </c:pt>
                <c:pt idx="8">
                  <c:v>85.971216630913844</c:v>
                </c:pt>
                <c:pt idx="9">
                  <c:v>93.503962518764325</c:v>
                </c:pt>
                <c:pt idx="10">
                  <c:v>101.97721217752387</c:v>
                </c:pt>
                <c:pt idx="11">
                  <c:v>111.54588411143845</c:v>
                </c:pt>
                <c:pt idx="12">
                  <c:v>122.39704190456348</c:v>
                </c:pt>
                <c:pt idx="13">
                  <c:v>134.7580436582991</c:v>
                </c:pt>
                <c:pt idx="14">
                  <c:v>148.90716211860922</c:v>
                </c:pt>
                <c:pt idx="15">
                  <c:v>165.18755728147141</c:v>
                </c:pt>
                <c:pt idx="16">
                  <c:v>184.02584940322438</c:v>
                </c:pt>
                <c:pt idx="17">
                  <c:v>205.95708177084211</c:v>
                </c:pt>
                <c:pt idx="18">
                  <c:v>231.6586754042348</c:v>
                </c:pt>
                <c:pt idx="19">
                  <c:v>261.99721818092877</c:v>
                </c:pt>
                <c:pt idx="20">
                  <c:v>298.09385734773554</c:v>
                </c:pt>
                <c:pt idx="21">
                  <c:v>341.41711484440191</c:v>
                </c:pt>
                <c:pt idx="22">
                  <c:v>393.91687794727119</c:v>
                </c:pt>
                <c:pt idx="23">
                  <c:v>458.22148200579284</c:v>
                </c:pt>
                <c:pt idx="24">
                  <c:v>537.93366310901274</c:v>
                </c:pt>
                <c:pt idx="25">
                  <c:v>638.08536682467707</c:v>
                </c:pt>
                <c:pt idx="26">
                  <c:v>765.85503480886712</c:v>
                </c:pt>
                <c:pt idx="27">
                  <c:v>931.73248350690028</c:v>
                </c:pt>
                <c:pt idx="28">
                  <c:v>1151.4749139961282</c:v>
                </c:pt>
                <c:pt idx="29">
                  <c:v>1449.5200223370057</c:v>
                </c:pt>
                <c:pt idx="30">
                  <c:v>1865.2140439257428</c:v>
                </c:pt>
                <c:pt idx="31">
                  <c:v>2464.7917921687908</c:v>
                </c:pt>
                <c:pt idx="32">
                  <c:v>3365.9245180651214</c:v>
                </c:pt>
                <c:pt idx="33">
                  <c:v>4792.0597198699334</c:v>
                </c:pt>
              </c:numCache>
            </c:numRef>
          </c:yVal>
          <c:smooth val="1"/>
          <c:extLst>
            <c:ext xmlns:c16="http://schemas.microsoft.com/office/drawing/2014/chart" uri="{C3380CC4-5D6E-409C-BE32-E72D297353CC}">
              <c16:uniqueId val="{00000001-3D1C-4D7B-AD0B-375CCD262839}"/>
            </c:ext>
          </c:extLst>
        </c:ser>
        <c:ser>
          <c:idx val="2"/>
          <c:order val="2"/>
          <c:tx>
            <c:strRef>
              <c:f>Provo!$H$10</c:f>
              <c:strCache>
                <c:ptCount val="1"/>
                <c:pt idx="0">
                  <c:v>Fall, Spring</c:v>
                </c:pt>
              </c:strCache>
            </c:strRef>
          </c:tx>
          <c:spPr>
            <a:ln w="12700" cap="rnd">
              <a:solidFill>
                <a:schemeClr val="accent3"/>
              </a:solidFill>
              <a:round/>
            </a:ln>
            <a:effectLst/>
          </c:spPr>
          <c:marker>
            <c:symbol val="diamond"/>
            <c:size val="4"/>
            <c:spPr>
              <a:solidFill>
                <a:schemeClr val="accent3"/>
              </a:solidFill>
              <a:ln w="9525">
                <a:solidFill>
                  <a:schemeClr val="accent3"/>
                </a:solidFill>
              </a:ln>
              <a:effectLst/>
            </c:spPr>
          </c:marker>
          <c:xVal>
            <c:numRef>
              <c:f>Provo!$D$12:$D$47</c:f>
              <c:numCache>
                <c:formatCode>0.0</c:formatCode>
                <c:ptCount val="36"/>
                <c:pt idx="0">
                  <c:v>51571.276208791423</c:v>
                </c:pt>
                <c:pt idx="1">
                  <c:v>50281.994303571635</c:v>
                </c:pt>
                <c:pt idx="2">
                  <c:v>48992.712398351854</c:v>
                </c:pt>
                <c:pt idx="3">
                  <c:v>47703.430493132066</c:v>
                </c:pt>
                <c:pt idx="4">
                  <c:v>46414.148587912277</c:v>
                </c:pt>
                <c:pt idx="5">
                  <c:v>45124.866682692496</c:v>
                </c:pt>
                <c:pt idx="6">
                  <c:v>43835.584777472708</c:v>
                </c:pt>
                <c:pt idx="7">
                  <c:v>42546.30287225292</c:v>
                </c:pt>
                <c:pt idx="8">
                  <c:v>41257.020967033131</c:v>
                </c:pt>
                <c:pt idx="9">
                  <c:v>39967.73906181335</c:v>
                </c:pt>
                <c:pt idx="10">
                  <c:v>38678.457156593562</c:v>
                </c:pt>
                <c:pt idx="11">
                  <c:v>37389.175251373774</c:v>
                </c:pt>
                <c:pt idx="12">
                  <c:v>36099.893346153993</c:v>
                </c:pt>
                <c:pt idx="13">
                  <c:v>34810.611440934204</c:v>
                </c:pt>
                <c:pt idx="14">
                  <c:v>33521.329535714416</c:v>
                </c:pt>
                <c:pt idx="15">
                  <c:v>32232.047630494631</c:v>
                </c:pt>
                <c:pt idx="16">
                  <c:v>30942.765725274847</c:v>
                </c:pt>
                <c:pt idx="17">
                  <c:v>29653.483820055058</c:v>
                </c:pt>
                <c:pt idx="18">
                  <c:v>28364.201914835274</c:v>
                </c:pt>
                <c:pt idx="19">
                  <c:v>27074.920009615485</c:v>
                </c:pt>
                <c:pt idx="20">
                  <c:v>25785.638104395701</c:v>
                </c:pt>
                <c:pt idx="21">
                  <c:v>24496.356199175916</c:v>
                </c:pt>
                <c:pt idx="22">
                  <c:v>23207.074293956131</c:v>
                </c:pt>
                <c:pt idx="23">
                  <c:v>21917.792388736347</c:v>
                </c:pt>
                <c:pt idx="24">
                  <c:v>20628.510483516562</c:v>
                </c:pt>
                <c:pt idx="25">
                  <c:v>19339.228578296774</c:v>
                </c:pt>
                <c:pt idx="26">
                  <c:v>18049.946673076989</c:v>
                </c:pt>
                <c:pt idx="27">
                  <c:v>16760.664767857204</c:v>
                </c:pt>
                <c:pt idx="28">
                  <c:v>15471.38286263742</c:v>
                </c:pt>
                <c:pt idx="29">
                  <c:v>14182.100957417637</c:v>
                </c:pt>
                <c:pt idx="30">
                  <c:v>12892.81905219785</c:v>
                </c:pt>
                <c:pt idx="31">
                  <c:v>11603.537146978066</c:v>
                </c:pt>
                <c:pt idx="32">
                  <c:v>10314.255241758281</c:v>
                </c:pt>
                <c:pt idx="33">
                  <c:v>9024.9733365384946</c:v>
                </c:pt>
                <c:pt idx="34">
                  <c:v>7735.6914313187099</c:v>
                </c:pt>
                <c:pt idx="35">
                  <c:v>6446.4095260989252</c:v>
                </c:pt>
              </c:numCache>
            </c:numRef>
          </c:xVal>
          <c:yVal>
            <c:numRef>
              <c:f>Provo!$H$12:$H$47</c:f>
              <c:numCache>
                <c:formatCode>0.0</c:formatCode>
                <c:ptCount val="36"/>
                <c:pt idx="0">
                  <c:v>71.395793283081403</c:v>
                </c:pt>
                <c:pt idx="1">
                  <c:v>75.221764900849479</c:v>
                </c:pt>
                <c:pt idx="2">
                  <c:v>79.360306084217868</c:v>
                </c:pt>
                <c:pt idx="3">
                  <c:v>83.846219126579001</c:v>
                </c:pt>
                <c:pt idx="4">
                  <c:v>88.719271042025071</c:v>
                </c:pt>
                <c:pt idx="5">
                  <c:v>94.025066256541152</c:v>
                </c:pt>
                <c:pt idx="6">
                  <c:v>99.816103327707793</c:v>
                </c:pt>
                <c:pt idx="7">
                  <c:v>106.15306135497585</c:v>
                </c:pt>
                <c:pt idx="8">
                  <c:v>113.10637488109769</c:v>
                </c:pt>
                <c:pt idx="9">
                  <c:v>120.7581735586319</c:v>
                </c:pt>
                <c:pt idx="10">
                  <c:v>129.2046862890324</c:v>
                </c:pt>
                <c:pt idx="11">
                  <c:v>138.55924124908478</c:v>
                </c:pt>
                <c:pt idx="12">
                  <c:v>148.95603652817061</c:v>
                </c:pt>
                <c:pt idx="13">
                  <c:v>160.55491585234407</c:v>
                </c:pt>
                <c:pt idx="14">
                  <c:v>173.54746719974139</c:v>
                </c:pt>
                <c:pt idx="15">
                  <c:v>188.16487965889144</c:v>
                </c:pt>
                <c:pt idx="16">
                  <c:v>204.68816175006992</c:v>
                </c:pt>
                <c:pt idx="17">
                  <c:v>223.4615673515658</c:v>
                </c:pt>
                <c:pt idx="18">
                  <c:v>244.91043194662791</c:v>
                </c:pt>
                <c:pt idx="19">
                  <c:v>269.56515342817266</c:v>
                </c:pt>
                <c:pt idx="20">
                  <c:v>298.09385734773554</c:v>
                </c:pt>
                <c:pt idx="21">
                  <c:v>331.34753005885187</c:v>
                </c:pt>
                <c:pt idx="22">
                  <c:v>370.42336123553457</c:v>
                </c:pt>
                <c:pt idx="23">
                  <c:v>416.75518819996591</c:v>
                </c:pt>
                <c:pt idx="24">
                  <c:v>472.24512857839539</c:v>
                </c:pt>
                <c:pt idx="25">
                  <c:v>539.45928117348012</c:v>
                </c:pt>
                <c:pt idx="26">
                  <c:v>621.92571105494721</c:v>
                </c:pt>
                <c:pt idx="27">
                  <c:v>724.60058991682308</c:v>
                </c:pt>
                <c:pt idx="28">
                  <c:v>854.62015174435101</c:v>
                </c:pt>
                <c:pt idx="29">
                  <c:v>1022.5573805756756</c:v>
                </c:pt>
                <c:pt idx="30">
                  <c:v>1244.6104133352146</c:v>
                </c:pt>
                <c:pt idx="31">
                  <c:v>1546.6027272026979</c:v>
                </c:pt>
                <c:pt idx="32">
                  <c:v>1971.7320239506278</c:v>
                </c:pt>
                <c:pt idx="33">
                  <c:v>2596.6828809791232</c:v>
                </c:pt>
                <c:pt idx="34">
                  <c:v>3568.2356884876763</c:v>
                </c:pt>
                <c:pt idx="35">
                  <c:v>5196.5347248851194</c:v>
                </c:pt>
              </c:numCache>
            </c:numRef>
          </c:yVal>
          <c:smooth val="1"/>
          <c:extLst>
            <c:ext xmlns:c16="http://schemas.microsoft.com/office/drawing/2014/chart" uri="{C3380CC4-5D6E-409C-BE32-E72D297353CC}">
              <c16:uniqueId val="{00000002-3D1C-4D7B-AD0B-375CCD262839}"/>
            </c:ext>
          </c:extLst>
        </c:ser>
        <c:ser>
          <c:idx val="3"/>
          <c:order val="3"/>
          <c:tx>
            <c:strRef>
              <c:f>Provo!$E$10</c:f>
              <c:strCache>
                <c:ptCount val="1"/>
                <c:pt idx="0">
                  <c:v>2010 Price</c:v>
                </c:pt>
              </c:strCache>
            </c:strRef>
          </c:tx>
          <c:spPr>
            <a:ln w="19050" cap="rnd">
              <a:solidFill>
                <a:schemeClr val="tx1"/>
              </a:solidFill>
              <a:round/>
            </a:ln>
            <a:effectLst/>
          </c:spPr>
          <c:marker>
            <c:symbol val="none"/>
          </c:marker>
          <c:xVal>
            <c:numRef>
              <c:f>Provo!$B$11:$B$52</c:f>
              <c:numCache>
                <c:formatCode>0.0</c:formatCode>
                <c:ptCount val="42"/>
                <c:pt idx="0" formatCode="General">
                  <c:v>100000</c:v>
                </c:pt>
                <c:pt idx="1">
                  <c:v>75999.775465587358</c:v>
                </c:pt>
                <c:pt idx="2">
                  <c:v>74099.781078947679</c:v>
                </c:pt>
                <c:pt idx="3">
                  <c:v>72199.786692307986</c:v>
                </c:pt>
                <c:pt idx="4">
                  <c:v>70299.792305668307</c:v>
                </c:pt>
                <c:pt idx="5">
                  <c:v>68399.797919028628</c:v>
                </c:pt>
                <c:pt idx="6">
                  <c:v>66499.803532388934</c:v>
                </c:pt>
                <c:pt idx="7">
                  <c:v>64599.809145749256</c:v>
                </c:pt>
                <c:pt idx="8">
                  <c:v>62699.814759109569</c:v>
                </c:pt>
                <c:pt idx="9">
                  <c:v>60799.820372469883</c:v>
                </c:pt>
                <c:pt idx="10">
                  <c:v>58899.825985830197</c:v>
                </c:pt>
                <c:pt idx="11">
                  <c:v>56999.831599190511</c:v>
                </c:pt>
                <c:pt idx="12">
                  <c:v>55099.837212550825</c:v>
                </c:pt>
                <c:pt idx="13">
                  <c:v>53199.842825911146</c:v>
                </c:pt>
                <c:pt idx="14">
                  <c:v>51299.84843927146</c:v>
                </c:pt>
                <c:pt idx="15">
                  <c:v>49399.854052631774</c:v>
                </c:pt>
                <c:pt idx="16">
                  <c:v>47499.859665992088</c:v>
                </c:pt>
                <c:pt idx="17">
                  <c:v>45599.865279352402</c:v>
                </c:pt>
                <c:pt idx="18">
                  <c:v>43699.870892712715</c:v>
                </c:pt>
                <c:pt idx="19">
                  <c:v>41799.876506073037</c:v>
                </c:pt>
                <c:pt idx="20">
                  <c:v>39899.88211943335</c:v>
                </c:pt>
                <c:pt idx="21">
                  <c:v>37999.887732793664</c:v>
                </c:pt>
                <c:pt idx="22">
                  <c:v>36099.893346153978</c:v>
                </c:pt>
                <c:pt idx="23">
                  <c:v>34199.898959514299</c:v>
                </c:pt>
                <c:pt idx="24">
                  <c:v>32299.904572874613</c:v>
                </c:pt>
                <c:pt idx="25">
                  <c:v>30399.910186234934</c:v>
                </c:pt>
                <c:pt idx="26">
                  <c:v>28499.915799595248</c:v>
                </c:pt>
                <c:pt idx="27">
                  <c:v>26599.921412955562</c:v>
                </c:pt>
                <c:pt idx="28">
                  <c:v>24699.927026315883</c:v>
                </c:pt>
                <c:pt idx="29">
                  <c:v>22799.932639676197</c:v>
                </c:pt>
                <c:pt idx="30">
                  <c:v>20899.938253036518</c:v>
                </c:pt>
                <c:pt idx="31">
                  <c:v>18999.943866396832</c:v>
                </c:pt>
                <c:pt idx="32">
                  <c:v>17099.94947975715</c:v>
                </c:pt>
                <c:pt idx="33">
                  <c:v>15199.955093117467</c:v>
                </c:pt>
                <c:pt idx="34">
                  <c:v>13299.960706477781</c:v>
                </c:pt>
                <c:pt idx="35">
                  <c:v>11399.966319838099</c:v>
                </c:pt>
                <c:pt idx="36">
                  <c:v>9499.9719331984161</c:v>
                </c:pt>
                <c:pt idx="37">
                  <c:v>7599.9775465587336</c:v>
                </c:pt>
                <c:pt idx="38">
                  <c:v>5699.9831599190493</c:v>
                </c:pt>
                <c:pt idx="39">
                  <c:v>3799.9887732793668</c:v>
                </c:pt>
                <c:pt idx="40">
                  <c:v>1899.9943866396834</c:v>
                </c:pt>
                <c:pt idx="41" formatCode="General">
                  <c:v>0</c:v>
                </c:pt>
              </c:numCache>
            </c:numRef>
          </c:xVal>
          <c:yVal>
            <c:numRef>
              <c:f>Provo!$E$11:$E$52</c:f>
              <c:numCache>
                <c:formatCode>0.0</c:formatCode>
                <c:ptCount val="42"/>
                <c:pt idx="0">
                  <c:v>298.09385734773554</c:v>
                </c:pt>
                <c:pt idx="1">
                  <c:v>298.09385734773554</c:v>
                </c:pt>
                <c:pt idx="2">
                  <c:v>298.09385734773554</c:v>
                </c:pt>
                <c:pt idx="3">
                  <c:v>298.09385734773554</c:v>
                </c:pt>
                <c:pt idx="4">
                  <c:v>298.09385734773554</c:v>
                </c:pt>
                <c:pt idx="5">
                  <c:v>298.09385734773554</c:v>
                </c:pt>
                <c:pt idx="6">
                  <c:v>298.09385734773554</c:v>
                </c:pt>
                <c:pt idx="7">
                  <c:v>298.09385734773554</c:v>
                </c:pt>
                <c:pt idx="8">
                  <c:v>298.09385734773554</c:v>
                </c:pt>
                <c:pt idx="9">
                  <c:v>298.09385734773554</c:v>
                </c:pt>
                <c:pt idx="10">
                  <c:v>298.09385734773554</c:v>
                </c:pt>
                <c:pt idx="11">
                  <c:v>298.09385734773554</c:v>
                </c:pt>
                <c:pt idx="12">
                  <c:v>298.09385734773554</c:v>
                </c:pt>
                <c:pt idx="13">
                  <c:v>298.09385734773554</c:v>
                </c:pt>
                <c:pt idx="14">
                  <c:v>298.09385734773554</c:v>
                </c:pt>
                <c:pt idx="15">
                  <c:v>298.09385734773554</c:v>
                </c:pt>
                <c:pt idx="16">
                  <c:v>298.09385734773554</c:v>
                </c:pt>
                <c:pt idx="17">
                  <c:v>298.09385734773554</c:v>
                </c:pt>
                <c:pt idx="18">
                  <c:v>298.09385734773554</c:v>
                </c:pt>
                <c:pt idx="19">
                  <c:v>298.09385734773554</c:v>
                </c:pt>
                <c:pt idx="20">
                  <c:v>298.09385734773554</c:v>
                </c:pt>
                <c:pt idx="21">
                  <c:v>298.09385734773554</c:v>
                </c:pt>
                <c:pt idx="22">
                  <c:v>298.09385734773554</c:v>
                </c:pt>
                <c:pt idx="23">
                  <c:v>298.09385734773554</c:v>
                </c:pt>
                <c:pt idx="24">
                  <c:v>298.09385734773554</c:v>
                </c:pt>
                <c:pt idx="25">
                  <c:v>298.09385734773554</c:v>
                </c:pt>
                <c:pt idx="26">
                  <c:v>298.09385734773554</c:v>
                </c:pt>
                <c:pt idx="27">
                  <c:v>298.09385734773554</c:v>
                </c:pt>
                <c:pt idx="28">
                  <c:v>298.09385734773554</c:v>
                </c:pt>
                <c:pt idx="29">
                  <c:v>298.09385734773554</c:v>
                </c:pt>
                <c:pt idx="30">
                  <c:v>298.09385734773554</c:v>
                </c:pt>
                <c:pt idx="31">
                  <c:v>298.09385734773554</c:v>
                </c:pt>
                <c:pt idx="32">
                  <c:v>298.09385734773554</c:v>
                </c:pt>
                <c:pt idx="33">
                  <c:v>298.09385734773554</c:v>
                </c:pt>
                <c:pt idx="34">
                  <c:v>298.09385734773554</c:v>
                </c:pt>
                <c:pt idx="35">
                  <c:v>298.09385734773554</c:v>
                </c:pt>
                <c:pt idx="36">
                  <c:v>298.09385734773554</c:v>
                </c:pt>
                <c:pt idx="37">
                  <c:v>298.09385734773554</c:v>
                </c:pt>
                <c:pt idx="38">
                  <c:v>298.09385734773554</c:v>
                </c:pt>
                <c:pt idx="39">
                  <c:v>298.09385734773554</c:v>
                </c:pt>
                <c:pt idx="40">
                  <c:v>298.09385734773554</c:v>
                </c:pt>
                <c:pt idx="41">
                  <c:v>298.09385734773554</c:v>
                </c:pt>
              </c:numCache>
            </c:numRef>
          </c:yVal>
          <c:smooth val="1"/>
          <c:extLst>
            <c:ext xmlns:c16="http://schemas.microsoft.com/office/drawing/2014/chart" uri="{C3380CC4-5D6E-409C-BE32-E72D297353CC}">
              <c16:uniqueId val="{00000000-69C8-4CF0-8794-FA1176A5924C}"/>
            </c:ext>
          </c:extLst>
        </c:ser>
        <c:dLbls>
          <c:showLegendKey val="0"/>
          <c:showVal val="0"/>
          <c:showCatName val="0"/>
          <c:showSerName val="0"/>
          <c:showPercent val="0"/>
          <c:showBubbleSize val="0"/>
        </c:dLbls>
        <c:axId val="205526656"/>
        <c:axId val="205527232"/>
      </c:scatterChart>
      <c:valAx>
        <c:axId val="205526656"/>
        <c:scaling>
          <c:orientation val="minMax"/>
          <c:max val="100000"/>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n-US" sz="1200">
                    <a:solidFill>
                      <a:sysClr val="windowText" lastClr="000000"/>
                    </a:solidFill>
                  </a:rPr>
                  <a:t>Water Quantity, af</a:t>
                </a:r>
              </a:p>
            </c:rich>
          </c:tx>
          <c:layout>
            <c:manualLayout>
              <c:xMode val="edge"/>
              <c:yMode val="edge"/>
              <c:x val="0.38920713035870519"/>
              <c:y val="0.88388815981335667"/>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title>
        <c:numFmt formatCode="0"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crossAx val="205527232"/>
        <c:crosses val="autoZero"/>
        <c:crossBetween val="midCat"/>
      </c:valAx>
      <c:valAx>
        <c:axId val="205527232"/>
        <c:scaling>
          <c:orientation val="minMax"/>
          <c:max val="4000"/>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n-US" sz="1200">
                    <a:solidFill>
                      <a:sysClr val="windowText" lastClr="000000"/>
                    </a:solidFill>
                  </a:rPr>
                  <a:t>Price, $/af</a:t>
                </a:r>
              </a:p>
            </c:rich>
          </c:tx>
          <c:layout>
            <c:manualLayout>
              <c:xMode val="edge"/>
              <c:yMode val="edge"/>
              <c:x val="2.2222222222222223E-2"/>
              <c:y val="0.2593667979002624"/>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crossAx val="205526656"/>
        <c:crosses val="autoZero"/>
        <c:crossBetween val="midCat"/>
      </c:valAx>
      <c:spPr>
        <a:noFill/>
        <a:ln>
          <a:solidFill>
            <a:schemeClr val="tx1"/>
          </a:solidFill>
        </a:ln>
        <a:effectLst/>
      </c:spPr>
    </c:plotArea>
    <c:legend>
      <c:legendPos val="b"/>
      <c:layout>
        <c:manualLayout>
          <c:xMode val="edge"/>
          <c:yMode val="edge"/>
          <c:x val="0.56626115485564299"/>
          <c:y val="9.6800419947506572E-2"/>
          <c:w val="0.32540551181102362"/>
          <c:h val="0.40888440944881893"/>
        </c:manualLayout>
      </c:layout>
      <c:overlay val="0"/>
      <c:spPr>
        <a:solidFill>
          <a:schemeClr val="bg1"/>
        </a:solid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legend>
    <c:plotVisOnly val="1"/>
    <c:dispBlanksAs val="zero"/>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065748031496062"/>
          <c:y val="3.9960104986876639E-2"/>
          <c:w val="0.81629396325459314"/>
          <c:h val="0.73334173228346444"/>
        </c:manualLayout>
      </c:layout>
      <c:scatterChart>
        <c:scatterStyle val="smoothMarker"/>
        <c:varyColors val="0"/>
        <c:ser>
          <c:idx val="1"/>
          <c:order val="0"/>
          <c:tx>
            <c:strRef>
              <c:f>Provo!$I$10</c:f>
              <c:strCache>
                <c:ptCount val="1"/>
                <c:pt idx="0">
                  <c:v>Summer</c:v>
                </c:pt>
              </c:strCache>
            </c:strRef>
          </c:tx>
          <c:spPr>
            <a:ln w="12700" cap="rnd">
              <a:solidFill>
                <a:schemeClr val="accent2"/>
              </a:solidFill>
              <a:round/>
            </a:ln>
            <a:effectLst/>
          </c:spPr>
          <c:marker>
            <c:symbol val="diamond"/>
            <c:size val="4"/>
            <c:spPr>
              <a:solidFill>
                <a:schemeClr val="accent2"/>
              </a:solidFill>
              <a:ln w="9525">
                <a:solidFill>
                  <a:schemeClr val="accent2"/>
                </a:solidFill>
              </a:ln>
              <a:effectLst/>
            </c:spPr>
          </c:marker>
          <c:xVal>
            <c:numRef>
              <c:f>Provo!$B$57:$B$76</c:f>
              <c:numCache>
                <c:formatCode>General</c:formatCode>
                <c:ptCount val="20"/>
                <c:pt idx="0">
                  <c:v>41.067963206014653</c:v>
                </c:pt>
                <c:pt idx="1">
                  <c:v>39.16796881937497</c:v>
                </c:pt>
                <c:pt idx="2">
                  <c:v>37.267974432735286</c:v>
                </c:pt>
                <c:pt idx="3">
                  <c:v>35.367980046095603</c:v>
                </c:pt>
                <c:pt idx="4">
                  <c:v>33.467985659455927</c:v>
                </c:pt>
                <c:pt idx="5">
                  <c:v>31.567991272816236</c:v>
                </c:pt>
                <c:pt idx="6">
                  <c:v>29.667996886176553</c:v>
                </c:pt>
                <c:pt idx="7">
                  <c:v>27.768002499536873</c:v>
                </c:pt>
                <c:pt idx="8">
                  <c:v>25.868008112897186</c:v>
                </c:pt>
                <c:pt idx="9">
                  <c:v>23.968013726257507</c:v>
                </c:pt>
                <c:pt idx="10">
                  <c:v>22.068019339617823</c:v>
                </c:pt>
                <c:pt idx="11">
                  <c:v>20.16802495297814</c:v>
                </c:pt>
                <c:pt idx="12">
                  <c:v>18.268030566338457</c:v>
                </c:pt>
                <c:pt idx="13">
                  <c:v>16.36803617969877</c:v>
                </c:pt>
                <c:pt idx="14">
                  <c:v>14.468041793059088</c:v>
                </c:pt>
                <c:pt idx="15">
                  <c:v>12.568047406419407</c:v>
                </c:pt>
                <c:pt idx="16">
                  <c:v>10.668053019779723</c:v>
                </c:pt>
                <c:pt idx="17">
                  <c:v>8.7680586331400416</c:v>
                </c:pt>
                <c:pt idx="18">
                  <c:v>6.8680642465003574</c:v>
                </c:pt>
                <c:pt idx="19">
                  <c:v>4.9680698598606741</c:v>
                </c:pt>
              </c:numCache>
            </c:numRef>
          </c:xVal>
          <c:yVal>
            <c:numRef>
              <c:f>Provo!$E$57:$E$76</c:f>
              <c:numCache>
                <c:formatCode>General</c:formatCode>
                <c:ptCount val="20"/>
                <c:pt idx="0">
                  <c:v>0</c:v>
                </c:pt>
                <c:pt idx="1">
                  <c:v>0.58745985167204384</c:v>
                </c:pt>
                <c:pt idx="2">
                  <c:v>1.2208302997106926</c:v>
                </c:pt>
                <c:pt idx="3">
                  <c:v>1.9065648948532372</c:v>
                </c:pt>
                <c:pt idx="4">
                  <c:v>2.6524768119324778</c:v>
                </c:pt>
                <c:pt idx="5">
                  <c:v>3.4681331430638718</c:v>
                </c:pt>
                <c:pt idx="6">
                  <c:v>4.365399213127076</c:v>
                </c:pt>
                <c:pt idx="7">
                  <c:v>5.3592056278950508</c:v>
                </c:pt>
                <c:pt idx="8">
                  <c:v>6.4686548212097579</c:v>
                </c:pt>
                <c:pt idx="9">
                  <c:v>7.7186609131007238</c:v>
                </c:pt>
                <c:pt idx="10">
                  <c:v>9.1424570669907297</c:v>
                </c:pt>
                <c:pt idx="11">
                  <c:v>10.785572802542729</c:v>
                </c:pt>
                <c:pt idx="12">
                  <c:v>12.712426119123514</c:v>
                </c:pt>
                <c:pt idx="13">
                  <c:v>15.017848708855599</c:v>
                </c:pt>
                <c:pt idx="14">
                  <c:v>17.848620836929157</c:v>
                </c:pt>
                <c:pt idx="15">
                  <c:v>21.44729179458658</c:v>
                </c:pt>
                <c:pt idx="16">
                  <c:v>26.252113829543642</c:v>
                </c:pt>
                <c:pt idx="17">
                  <c:v>33.164919289635556</c:v>
                </c:pt>
                <c:pt idx="18">
                  <c:v>44.475182127180041</c:v>
                </c:pt>
                <c:pt idx="19">
                  <c:v>69.001613259321431</c:v>
                </c:pt>
              </c:numCache>
            </c:numRef>
          </c:yVal>
          <c:smooth val="1"/>
          <c:extLst>
            <c:ext xmlns:c16="http://schemas.microsoft.com/office/drawing/2014/chart" uri="{C3380CC4-5D6E-409C-BE32-E72D297353CC}">
              <c16:uniqueId val="{00000000-C142-41A7-BF50-3DF87694D90D}"/>
            </c:ext>
          </c:extLst>
        </c:ser>
        <c:ser>
          <c:idx val="0"/>
          <c:order val="1"/>
          <c:tx>
            <c:strRef>
              <c:f>Provo!$J$10</c:f>
              <c:strCache>
                <c:ptCount val="1"/>
                <c:pt idx="0">
                  <c:v>Winter</c:v>
                </c:pt>
              </c:strCache>
            </c:strRef>
          </c:tx>
          <c:spPr>
            <a:ln w="12700" cap="rnd">
              <a:solidFill>
                <a:schemeClr val="accent1"/>
              </a:solidFill>
              <a:round/>
            </a:ln>
            <a:effectLst/>
          </c:spPr>
          <c:marker>
            <c:symbol val="diamond"/>
            <c:size val="4"/>
            <c:spPr>
              <a:solidFill>
                <a:schemeClr val="accent1"/>
              </a:solidFill>
              <a:ln w="9525">
                <a:solidFill>
                  <a:schemeClr val="accent1"/>
                </a:solidFill>
              </a:ln>
              <a:effectLst/>
            </c:spPr>
          </c:marker>
          <c:xVal>
            <c:numRef>
              <c:f>Provo!$C$57:$C$74</c:f>
              <c:numCache>
                <c:formatCode>General</c:formatCode>
                <c:ptCount val="18"/>
                <c:pt idx="0">
                  <c:v>21.389449915817934</c:v>
                </c:pt>
                <c:pt idx="1">
                  <c:v>20.473381193688088</c:v>
                </c:pt>
                <c:pt idx="2">
                  <c:v>19.557312471558241</c:v>
                </c:pt>
                <c:pt idx="3">
                  <c:v>18.641243749428394</c:v>
                </c:pt>
                <c:pt idx="4">
                  <c:v>17.725175027298548</c:v>
                </c:pt>
                <c:pt idx="5">
                  <c:v>16.809106305168697</c:v>
                </c:pt>
                <c:pt idx="6">
                  <c:v>15.893037583038851</c:v>
                </c:pt>
                <c:pt idx="7">
                  <c:v>14.976968860909004</c:v>
                </c:pt>
                <c:pt idx="8">
                  <c:v>14.060900138779157</c:v>
                </c:pt>
                <c:pt idx="9">
                  <c:v>13.144831416649311</c:v>
                </c:pt>
                <c:pt idx="10">
                  <c:v>12.228762694519464</c:v>
                </c:pt>
                <c:pt idx="11">
                  <c:v>11.312693972389617</c:v>
                </c:pt>
                <c:pt idx="12">
                  <c:v>10.396625250259769</c:v>
                </c:pt>
                <c:pt idx="13">
                  <c:v>9.4805565281299202</c:v>
                </c:pt>
                <c:pt idx="14">
                  <c:v>8.5644878060000735</c:v>
                </c:pt>
                <c:pt idx="15">
                  <c:v>7.6484190838702268</c:v>
                </c:pt>
                <c:pt idx="16">
                  <c:v>6.7323503617403802</c:v>
                </c:pt>
                <c:pt idx="17">
                  <c:v>5.8162816396105317</c:v>
                </c:pt>
              </c:numCache>
            </c:numRef>
          </c:xVal>
          <c:yVal>
            <c:numRef>
              <c:f>Provo!$F$57:$F$74</c:f>
              <c:numCache>
                <c:formatCode>General</c:formatCode>
                <c:ptCount val="18"/>
                <c:pt idx="0">
                  <c:v>0</c:v>
                </c:pt>
                <c:pt idx="1">
                  <c:v>0.29229979293882485</c:v>
                </c:pt>
                <c:pt idx="2">
                  <c:v>0.62831839343284579</c:v>
                </c:pt>
                <c:pt idx="3">
                  <c:v>1.0176046037482527</c:v>
                </c:pt>
                <c:pt idx="4">
                  <c:v>1.4725336849472697</c:v>
                </c:pt>
                <c:pt idx="5">
                  <c:v>2.0093930134257545</c:v>
                </c:pt>
                <c:pt idx="6">
                  <c:v>2.6499942953291495</c:v>
                </c:pt>
                <c:pt idx="7">
                  <c:v>3.4241291849776276</c:v>
                </c:pt>
                <c:pt idx="8">
                  <c:v>4.3734190744153389</c:v>
                </c:pt>
                <c:pt idx="9">
                  <c:v>5.557554310648567</c:v>
                </c:pt>
                <c:pt idx="10">
                  <c:v>7.0648037603852876</c:v>
                </c:pt>
                <c:pt idx="11">
                  <c:v>9.0305408304395183</c:v>
                </c:pt>
                <c:pt idx="12">
                  <c:v>11.67172611322226</c:v>
                </c:pt>
                <c:pt idx="13">
                  <c:v>15.355492169648782</c:v>
                </c:pt>
                <c:pt idx="14">
                  <c:v>20.74734447113936</c:v>
                </c:pt>
                <c:pt idx="15">
                  <c:v>29.167525548574027</c:v>
                </c:pt>
                <c:pt idx="16">
                  <c:v>43.580597237205083</c:v>
                </c:pt>
                <c:pt idx="17">
                  <c:v>71.974290030998858</c:v>
                </c:pt>
              </c:numCache>
            </c:numRef>
          </c:yVal>
          <c:smooth val="1"/>
          <c:extLst>
            <c:ext xmlns:c16="http://schemas.microsoft.com/office/drawing/2014/chart" uri="{C3380CC4-5D6E-409C-BE32-E72D297353CC}">
              <c16:uniqueId val="{00000001-C142-41A7-BF50-3DF87694D90D}"/>
            </c:ext>
          </c:extLst>
        </c:ser>
        <c:ser>
          <c:idx val="2"/>
          <c:order val="2"/>
          <c:tx>
            <c:strRef>
              <c:f>Provo!$K$10</c:f>
              <c:strCache>
                <c:ptCount val="1"/>
                <c:pt idx="0">
                  <c:v>Fall, Spring</c:v>
                </c:pt>
              </c:strCache>
            </c:strRef>
          </c:tx>
          <c:spPr>
            <a:ln w="12700" cap="rnd">
              <a:solidFill>
                <a:schemeClr val="accent3"/>
              </a:solidFill>
              <a:round/>
            </a:ln>
            <a:effectLst/>
          </c:spPr>
          <c:marker>
            <c:symbol val="diamond"/>
            <c:size val="4"/>
            <c:spPr>
              <a:solidFill>
                <a:schemeClr val="accent3"/>
              </a:solidFill>
              <a:ln w="9525">
                <a:solidFill>
                  <a:schemeClr val="accent3"/>
                </a:solidFill>
              </a:ln>
              <a:effectLst/>
            </c:spPr>
          </c:marker>
          <c:xVal>
            <c:numRef>
              <c:f>Provo!$D$57:$D$75</c:f>
              <c:numCache>
                <c:formatCode>General</c:formatCode>
                <c:ptCount val="19"/>
                <c:pt idx="0">
                  <c:v>28.853713577616691</c:v>
                </c:pt>
                <c:pt idx="1">
                  <c:v>27.564431672396907</c:v>
                </c:pt>
                <c:pt idx="2">
                  <c:v>26.275149767177123</c:v>
                </c:pt>
                <c:pt idx="3">
                  <c:v>24.985867861957338</c:v>
                </c:pt>
                <c:pt idx="4">
                  <c:v>23.69658595673755</c:v>
                </c:pt>
                <c:pt idx="5">
                  <c:v>22.407304051517762</c:v>
                </c:pt>
                <c:pt idx="6">
                  <c:v>21.118022146297978</c:v>
                </c:pt>
                <c:pt idx="7">
                  <c:v>19.828740241078194</c:v>
                </c:pt>
                <c:pt idx="8">
                  <c:v>18.539458335858409</c:v>
                </c:pt>
                <c:pt idx="9">
                  <c:v>17.250176430638628</c:v>
                </c:pt>
                <c:pt idx="10">
                  <c:v>15.960894525418841</c:v>
                </c:pt>
                <c:pt idx="11">
                  <c:v>14.671612620199056</c:v>
                </c:pt>
                <c:pt idx="12">
                  <c:v>13.38233071497927</c:v>
                </c:pt>
                <c:pt idx="13">
                  <c:v>12.093048809759486</c:v>
                </c:pt>
                <c:pt idx="14">
                  <c:v>10.803766904539701</c:v>
                </c:pt>
                <c:pt idx="15">
                  <c:v>9.514484999319917</c:v>
                </c:pt>
                <c:pt idx="16">
                  <c:v>8.2252030941001326</c:v>
                </c:pt>
                <c:pt idx="17">
                  <c:v>6.9359211888803456</c:v>
                </c:pt>
                <c:pt idx="18">
                  <c:v>5.6466392836605612</c:v>
                </c:pt>
              </c:numCache>
            </c:numRef>
          </c:xVal>
          <c:yVal>
            <c:numRef>
              <c:f>Provo!$G$57:$G$75</c:f>
              <c:numCache>
                <c:formatCode>General</c:formatCode>
                <c:ptCount val="19"/>
                <c:pt idx="0">
                  <c:v>0</c:v>
                </c:pt>
                <c:pt idx="1">
                  <c:v>0.4052027101620696</c:v>
                </c:pt>
                <c:pt idx="2">
                  <c:v>0.85689812967671697</c:v>
                </c:pt>
                <c:pt idx="3">
                  <c:v>1.3634747225515043</c:v>
                </c:pt>
                <c:pt idx="4">
                  <c:v>1.9354544283381536</c:v>
                </c:pt>
                <c:pt idx="5">
                  <c:v>2.586214019386412</c:v>
                </c:pt>
                <c:pt idx="6">
                  <c:v>3.333019441429006</c:v>
                </c:pt>
                <c:pt idx="7">
                  <c:v>4.1985435280884662</c:v>
                </c:pt>
                <c:pt idx="8">
                  <c:v>5.2131522191830868</c:v>
                </c:pt>
                <c:pt idx="9">
                  <c:v>6.4184539116347175</c:v>
                </c:pt>
                <c:pt idx="10">
                  <c:v>7.873006434187424</c:v>
                </c:pt>
                <c:pt idx="11">
                  <c:v>9.6618798193223014</c:v>
                </c:pt>
                <c:pt idx="12">
                  <c:v>11.913490121906268</c:v>
                </c:pt>
                <c:pt idx="13">
                  <c:v>14.831067800430448</c:v>
                </c:pt>
                <c:pt idx="14">
                  <c:v>18.756061180813788</c:v>
                </c:pt>
                <c:pt idx="15">
                  <c:v>24.308812725918919</c:v>
                </c:pt>
                <c:pt idx="16">
                  <c:v>32.743787061501486</c:v>
                </c:pt>
                <c:pt idx="17">
                  <c:v>47.028441011897911</c:v>
                </c:pt>
                <c:pt idx="18">
                  <c:v>76.229427313460761</c:v>
                </c:pt>
              </c:numCache>
            </c:numRef>
          </c:yVal>
          <c:smooth val="1"/>
          <c:extLst>
            <c:ext xmlns:c16="http://schemas.microsoft.com/office/drawing/2014/chart" uri="{C3380CC4-5D6E-409C-BE32-E72D297353CC}">
              <c16:uniqueId val="{00000002-C142-41A7-BF50-3DF87694D90D}"/>
            </c:ext>
          </c:extLst>
        </c:ser>
        <c:dLbls>
          <c:showLegendKey val="0"/>
          <c:showVal val="0"/>
          <c:showCatName val="0"/>
          <c:showSerName val="0"/>
          <c:showPercent val="0"/>
          <c:showBubbleSize val="0"/>
        </c:dLbls>
        <c:axId val="205275712"/>
        <c:axId val="205276288"/>
      </c:scatterChart>
      <c:valAx>
        <c:axId val="205275712"/>
        <c:scaling>
          <c:orientation val="minMax"/>
          <c:max val="90"/>
          <c:min val="0"/>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n-US" sz="1200">
                    <a:solidFill>
                      <a:sysClr val="windowText" lastClr="000000"/>
                    </a:solidFill>
                  </a:rPr>
                  <a:t>Water Quantity, af</a:t>
                </a:r>
              </a:p>
            </c:rich>
          </c:tx>
          <c:layout>
            <c:manualLayout>
              <c:xMode val="edge"/>
              <c:yMode val="edge"/>
              <c:x val="0.40309601924759414"/>
              <c:y val="0.90522162729658795"/>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title>
        <c:numFmt formatCode="#,##0"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crossAx val="205276288"/>
        <c:crosses val="autoZero"/>
        <c:crossBetween val="midCat"/>
      </c:valAx>
      <c:valAx>
        <c:axId val="205276288"/>
        <c:scaling>
          <c:orientation val="minMax"/>
          <c:max val="50"/>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n-US" sz="1200">
                    <a:solidFill>
                      <a:sysClr val="windowText" lastClr="000000"/>
                    </a:solidFill>
                  </a:rPr>
                  <a:t>Losses, $M</a:t>
                </a:r>
              </a:p>
            </c:rich>
          </c:tx>
          <c:layout>
            <c:manualLayout>
              <c:xMode val="edge"/>
              <c:yMode val="edge"/>
              <c:x val="0"/>
              <c:y val="0.25936671916010501"/>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crossAx val="205275712"/>
        <c:crosses val="autoZero"/>
        <c:crossBetween val="midCat"/>
      </c:valAx>
      <c:spPr>
        <a:noFill/>
        <a:ln>
          <a:solidFill>
            <a:schemeClr val="tx1"/>
          </a:solidFill>
        </a:ln>
        <a:effectLst/>
      </c:spPr>
    </c:plotArea>
    <c:legend>
      <c:legendPos val="b"/>
      <c:layout>
        <c:manualLayout>
          <c:xMode val="edge"/>
          <c:yMode val="edge"/>
          <c:x val="0.61070559930008739"/>
          <c:y val="9.1467086614173243E-2"/>
          <c:w val="0.29762773403324583"/>
          <c:h val="0.24577553805774277"/>
        </c:manualLayout>
      </c:layout>
      <c:overlay val="0"/>
      <c:spPr>
        <a:solidFill>
          <a:schemeClr val="bg1"/>
        </a:solid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980577427821524"/>
          <c:y val="3.9960104986876639E-2"/>
          <c:w val="0.64919422572178487"/>
          <c:h val="0.73334173228346444"/>
        </c:manualLayout>
      </c:layout>
      <c:scatterChart>
        <c:scatterStyle val="smoothMarker"/>
        <c:varyColors val="0"/>
        <c:ser>
          <c:idx val="1"/>
          <c:order val="0"/>
          <c:tx>
            <c:strRef>
              <c:f>Ogden!$F$10</c:f>
              <c:strCache>
                <c:ptCount val="1"/>
                <c:pt idx="0">
                  <c:v>Summer</c:v>
                </c:pt>
              </c:strCache>
            </c:strRef>
          </c:tx>
          <c:spPr>
            <a:ln w="12700" cap="rnd">
              <a:solidFill>
                <a:schemeClr val="accent6">
                  <a:lumMod val="50000"/>
                </a:schemeClr>
              </a:solidFill>
              <a:round/>
            </a:ln>
            <a:effectLst/>
          </c:spPr>
          <c:marker>
            <c:symbol val="none"/>
          </c:marker>
          <c:xVal>
            <c:numRef>
              <c:f>Ogden!$B$12:$B$49</c:f>
              <c:numCache>
                <c:formatCode>0.0</c:formatCode>
                <c:ptCount val="38"/>
                <c:pt idx="0">
                  <c:v>105077.71472251521</c:v>
                </c:pt>
                <c:pt idx="1">
                  <c:v>102450.77185445234</c:v>
                </c:pt>
                <c:pt idx="2">
                  <c:v>99823.828986389461</c:v>
                </c:pt>
                <c:pt idx="3">
                  <c:v>97196.886118326569</c:v>
                </c:pt>
                <c:pt idx="4">
                  <c:v>94569.943250263692</c:v>
                </c:pt>
                <c:pt idx="5">
                  <c:v>91943.000382200815</c:v>
                </c:pt>
                <c:pt idx="6">
                  <c:v>89316.057514137923</c:v>
                </c:pt>
                <c:pt idx="7">
                  <c:v>86689.114646075046</c:v>
                </c:pt>
                <c:pt idx="8">
                  <c:v>84062.171778012169</c:v>
                </c:pt>
                <c:pt idx="9">
                  <c:v>81435.228909949277</c:v>
                </c:pt>
                <c:pt idx="10">
                  <c:v>78808.2860418864</c:v>
                </c:pt>
                <c:pt idx="11">
                  <c:v>76181.343173823523</c:v>
                </c:pt>
                <c:pt idx="12">
                  <c:v>73554.400305760631</c:v>
                </c:pt>
                <c:pt idx="13">
                  <c:v>70927.457437697754</c:v>
                </c:pt>
                <c:pt idx="14">
                  <c:v>68300.514569634877</c:v>
                </c:pt>
                <c:pt idx="15">
                  <c:v>65673.571701572</c:v>
                </c:pt>
                <c:pt idx="16">
                  <c:v>63046.628833509109</c:v>
                </c:pt>
                <c:pt idx="17">
                  <c:v>60419.685965446231</c:v>
                </c:pt>
                <c:pt idx="18">
                  <c:v>57792.743097383347</c:v>
                </c:pt>
                <c:pt idx="19">
                  <c:v>55165.80022932047</c:v>
                </c:pt>
                <c:pt idx="20">
                  <c:v>52538.857361257586</c:v>
                </c:pt>
                <c:pt idx="21">
                  <c:v>49911.914493194701</c:v>
                </c:pt>
                <c:pt idx="22">
                  <c:v>47284.971625131831</c:v>
                </c:pt>
                <c:pt idx="23">
                  <c:v>44658.028757068947</c:v>
                </c:pt>
                <c:pt idx="24">
                  <c:v>42031.08588900607</c:v>
                </c:pt>
                <c:pt idx="25">
                  <c:v>39404.143020943186</c:v>
                </c:pt>
                <c:pt idx="26">
                  <c:v>36777.200152880308</c:v>
                </c:pt>
                <c:pt idx="27">
                  <c:v>34150.257284817431</c:v>
                </c:pt>
                <c:pt idx="28">
                  <c:v>31523.314416754551</c:v>
                </c:pt>
                <c:pt idx="29">
                  <c:v>28896.371548691674</c:v>
                </c:pt>
                <c:pt idx="30">
                  <c:v>26269.428680628793</c:v>
                </c:pt>
                <c:pt idx="31">
                  <c:v>23642.485812565916</c:v>
                </c:pt>
                <c:pt idx="32">
                  <c:v>21015.542944503035</c:v>
                </c:pt>
                <c:pt idx="33">
                  <c:v>18388.600076440154</c:v>
                </c:pt>
                <c:pt idx="34">
                  <c:v>15761.657208377275</c:v>
                </c:pt>
                <c:pt idx="35">
                  <c:v>13134.714340314396</c:v>
                </c:pt>
                <c:pt idx="36">
                  <c:v>10507.771472251517</c:v>
                </c:pt>
                <c:pt idx="37">
                  <c:v>7880.8286041886377</c:v>
                </c:pt>
              </c:numCache>
            </c:numRef>
          </c:xVal>
          <c:yVal>
            <c:numRef>
              <c:f>Ogden!$F$12:$F$49</c:f>
              <c:numCache>
                <c:formatCode>0.0</c:formatCode>
                <c:ptCount val="38"/>
                <c:pt idx="0">
                  <c:v>150.4852620291947</c:v>
                </c:pt>
                <c:pt idx="1">
                  <c:v>156.02768349358587</c:v>
                </c:pt>
                <c:pt idx="2">
                  <c:v>161.92629904008027</c:v>
                </c:pt>
                <c:pt idx="3">
                  <c:v>168.21430363133538</c:v>
                </c:pt>
                <c:pt idx="4">
                  <c:v>174.92899960331556</c:v>
                </c:pt>
                <c:pt idx="5">
                  <c:v>182.11243753872205</c:v>
                </c:pt>
                <c:pt idx="6">
                  <c:v>189.81217905657448</c:v>
                </c:pt>
                <c:pt idx="7">
                  <c:v>198.08220913470109</c:v>
                </c:pt>
                <c:pt idx="8">
                  <c:v>206.9840329027862</c:v>
                </c:pt>
                <c:pt idx="9">
                  <c:v>216.58800140594991</c:v>
                </c:pt>
                <c:pt idx="10">
                  <c:v>226.9749234269303</c:v>
                </c:pt>
                <c:pt idx="11">
                  <c:v>238.23803716462263</c:v>
                </c:pt>
                <c:pt idx="12">
                  <c:v>250.48543794413962</c:v>
                </c:pt>
                <c:pt idx="13">
                  <c:v>263.84308838435834</c:v>
                </c:pt>
                <c:pt idx="14">
                  <c:v>278.45857875567862</c:v>
                </c:pt>
                <c:pt idx="15">
                  <c:v>294.50586227261732</c:v>
                </c:pt>
                <c:pt idx="16">
                  <c:v>312.1912696646192</c:v>
                </c:pt>
                <c:pt idx="17">
                  <c:v>331.76121988486972</c:v>
                </c:pt>
                <c:pt idx="18">
                  <c:v>353.51220499727111</c:v>
                </c:pt>
                <c:pt idx="19">
                  <c:v>377.80386152301361</c:v>
                </c:pt>
                <c:pt idx="20">
                  <c:v>405.07628630684763</c:v>
                </c:pt>
                <c:pt idx="21">
                  <c:v>435.87327414057728</c:v>
                </c:pt>
                <c:pt idx="22">
                  <c:v>470.87394852617655</c:v>
                </c:pt>
                <c:pt idx="23">
                  <c:v>510.9364967124219</c:v>
                </c:pt>
                <c:pt idx="24">
                  <c:v>557.15969951136401</c:v>
                </c:pt>
                <c:pt idx="25">
                  <c:v>610.97118632603872</c:v>
                </c:pt>
                <c:pt idx="26">
                  <c:v>674.2567983612355</c:v>
                </c:pt>
                <c:pt idx="27">
                  <c:v>749.55490957480026</c:v>
                </c:pt>
                <c:pt idx="28">
                  <c:v>840.35657995950191</c:v>
                </c:pt>
                <c:pt idx="29">
                  <c:v>951.58428960743277</c:v>
                </c:pt>
                <c:pt idx="30">
                  <c:v>1090.3845035423699</c:v>
                </c:pt>
                <c:pt idx="31">
                  <c:v>1267.4986760538766</c:v>
                </c:pt>
                <c:pt idx="32">
                  <c:v>1499.7626937986615</c:v>
                </c:pt>
                <c:pt idx="33">
                  <c:v>1814.9647095961257</c:v>
                </c:pt>
                <c:pt idx="34">
                  <c:v>2262.0721656947239</c:v>
                </c:pt>
                <c:pt idx="35">
                  <c:v>2935.097426722024</c:v>
                </c:pt>
                <c:pt idx="36">
                  <c:v>4037.061796972881</c:v>
                </c:pt>
                <c:pt idx="37">
                  <c:v>6089.0467271136431</c:v>
                </c:pt>
              </c:numCache>
            </c:numRef>
          </c:yVal>
          <c:smooth val="1"/>
          <c:extLst>
            <c:ext xmlns:c16="http://schemas.microsoft.com/office/drawing/2014/chart" uri="{C3380CC4-5D6E-409C-BE32-E72D297353CC}">
              <c16:uniqueId val="{00000000-2121-43BC-A99F-64B176BD998A}"/>
            </c:ext>
          </c:extLst>
        </c:ser>
        <c:ser>
          <c:idx val="0"/>
          <c:order val="1"/>
          <c:tx>
            <c:strRef>
              <c:f>Ogden!$G$10</c:f>
              <c:strCache>
                <c:ptCount val="1"/>
                <c:pt idx="0">
                  <c:v>Winter</c:v>
                </c:pt>
              </c:strCache>
            </c:strRef>
          </c:tx>
          <c:spPr>
            <a:ln w="12700" cap="rnd">
              <a:solidFill>
                <a:schemeClr val="tx2"/>
              </a:solidFill>
              <a:round/>
            </a:ln>
            <a:effectLst/>
          </c:spPr>
          <c:marker>
            <c:symbol val="none"/>
          </c:marker>
          <c:xVal>
            <c:numRef>
              <c:f>Ogden!$C$12:$C$44</c:f>
              <c:numCache>
                <c:formatCode>0.0</c:formatCode>
                <c:ptCount val="33"/>
                <c:pt idx="0">
                  <c:v>50662.46959835555</c:v>
                </c:pt>
                <c:pt idx="1">
                  <c:v>49395.907858396662</c:v>
                </c:pt>
                <c:pt idx="2">
                  <c:v>48129.346118437774</c:v>
                </c:pt>
                <c:pt idx="3">
                  <c:v>46862.784378478886</c:v>
                </c:pt>
                <c:pt idx="4">
                  <c:v>45596.22263851999</c:v>
                </c:pt>
                <c:pt idx="5">
                  <c:v>44329.660898561102</c:v>
                </c:pt>
                <c:pt idx="6">
                  <c:v>43063.099158602214</c:v>
                </c:pt>
                <c:pt idx="7">
                  <c:v>41796.537418643326</c:v>
                </c:pt>
                <c:pt idx="8">
                  <c:v>40529.975678684437</c:v>
                </c:pt>
                <c:pt idx="9">
                  <c:v>39263.413938725549</c:v>
                </c:pt>
                <c:pt idx="10">
                  <c:v>37996.852198766661</c:v>
                </c:pt>
                <c:pt idx="11">
                  <c:v>36730.290458807765</c:v>
                </c:pt>
                <c:pt idx="12">
                  <c:v>35463.728718848877</c:v>
                </c:pt>
                <c:pt idx="13">
                  <c:v>34197.166978889989</c:v>
                </c:pt>
                <c:pt idx="14">
                  <c:v>32930.605238931101</c:v>
                </c:pt>
                <c:pt idx="15">
                  <c:v>31664.043498972213</c:v>
                </c:pt>
                <c:pt idx="16">
                  <c:v>30397.481759013321</c:v>
                </c:pt>
                <c:pt idx="17">
                  <c:v>29130.920019054432</c:v>
                </c:pt>
                <c:pt idx="18">
                  <c:v>27864.358279095544</c:v>
                </c:pt>
                <c:pt idx="19">
                  <c:v>26597.796539136652</c:v>
                </c:pt>
                <c:pt idx="20">
                  <c:v>25331.234799177764</c:v>
                </c:pt>
                <c:pt idx="21">
                  <c:v>24064.673059218876</c:v>
                </c:pt>
                <c:pt idx="22">
                  <c:v>22798.111319259988</c:v>
                </c:pt>
                <c:pt idx="23">
                  <c:v>21531.5495793011</c:v>
                </c:pt>
                <c:pt idx="24">
                  <c:v>20264.987839342211</c:v>
                </c:pt>
                <c:pt idx="25">
                  <c:v>18998.426099383323</c:v>
                </c:pt>
                <c:pt idx="26">
                  <c:v>17731.864359424435</c:v>
                </c:pt>
                <c:pt idx="27">
                  <c:v>16465.302619465547</c:v>
                </c:pt>
                <c:pt idx="28">
                  <c:v>15198.740879506659</c:v>
                </c:pt>
                <c:pt idx="29">
                  <c:v>13932.179139547772</c:v>
                </c:pt>
                <c:pt idx="30">
                  <c:v>12665.617399588882</c:v>
                </c:pt>
                <c:pt idx="31">
                  <c:v>11399.055659629994</c:v>
                </c:pt>
                <c:pt idx="32">
                  <c:v>10132.493919671106</c:v>
                </c:pt>
              </c:numCache>
            </c:numRef>
          </c:xVal>
          <c:yVal>
            <c:numRef>
              <c:f>Ogden!$G$12:$G$44</c:f>
              <c:numCache>
                <c:formatCode>0.0</c:formatCode>
                <c:ptCount val="33"/>
                <c:pt idx="0">
                  <c:v>64.738281967445104</c:v>
                </c:pt>
                <c:pt idx="1">
                  <c:v>69.222851958730601</c:v>
                </c:pt>
                <c:pt idx="2">
                  <c:v>74.146973862413731</c:v>
                </c:pt>
                <c:pt idx="3">
                  <c:v>79.567058951600572</c:v>
                </c:pt>
                <c:pt idx="4">
                  <c:v>85.548565620183197</c:v>
                </c:pt>
                <c:pt idx="5">
                  <c:v>92.167757085684485</c:v>
                </c:pt>
                <c:pt idx="6">
                  <c:v>99.513863752741074</c:v>
                </c:pt>
                <c:pt idx="7">
                  <c:v>107.69175884024872</c:v>
                </c:pt>
                <c:pt idx="8">
                  <c:v>116.82528943059604</c:v>
                </c:pt>
                <c:pt idx="9">
                  <c:v>127.06145047427756</c:v>
                </c:pt>
                <c:pt idx="10">
                  <c:v>138.5756511869651</c:v>
                </c:pt>
                <c:pt idx="11">
                  <c:v>151.57840852777576</c:v>
                </c:pt>
                <c:pt idx="12">
                  <c:v>166.32392103205112</c:v>
                </c:pt>
                <c:pt idx="13">
                  <c:v>183.12114298753232</c:v>
                </c:pt>
                <c:pt idx="14">
                  <c:v>202.34821600209679</c:v>
                </c:pt>
                <c:pt idx="15">
                  <c:v>224.4714562152862</c:v>
                </c:pt>
                <c:pt idx="16">
                  <c:v>250.07059294671424</c:v>
                </c:pt>
                <c:pt idx="17">
                  <c:v>279.87269031514001</c:v>
                </c:pt>
                <c:pt idx="18">
                  <c:v>314.79828788972497</c:v>
                </c:pt>
                <c:pt idx="19">
                  <c:v>356.02498188901893</c:v>
                </c:pt>
                <c:pt idx="20">
                  <c:v>405.0762863068469</c:v>
                </c:pt>
                <c:pt idx="21">
                  <c:v>463.94775857939919</c:v>
                </c:pt>
                <c:pt idx="22">
                  <c:v>535.28907791726022</c:v>
                </c:pt>
                <c:pt idx="23">
                  <c:v>622.6718587508534</c:v>
                </c:pt>
                <c:pt idx="24">
                  <c:v>730.99181737732204</c:v>
                </c:pt>
                <c:pt idx="25">
                  <c:v>867.08680628251068</c:v>
                </c:pt>
                <c:pt idx="26">
                  <c:v>1040.7115265977641</c:v>
                </c:pt>
                <c:pt idx="27">
                  <c:v>1266.1204682596178</c:v>
                </c:pt>
                <c:pt idx="28">
                  <c:v>1564.7259091049916</c:v>
                </c:pt>
                <c:pt idx="29">
                  <c:v>1969.7359509516727</c:v>
                </c:pt>
                <c:pt idx="30">
                  <c:v>2534.6177368540648</c:v>
                </c:pt>
                <c:pt idx="31">
                  <c:v>3349.3769867476135</c:v>
                </c:pt>
                <c:pt idx="32">
                  <c:v>4573.9157991990078</c:v>
                </c:pt>
              </c:numCache>
            </c:numRef>
          </c:yVal>
          <c:smooth val="1"/>
          <c:extLst>
            <c:ext xmlns:c16="http://schemas.microsoft.com/office/drawing/2014/chart" uri="{C3380CC4-5D6E-409C-BE32-E72D297353CC}">
              <c16:uniqueId val="{00000001-2121-43BC-A99F-64B176BD998A}"/>
            </c:ext>
          </c:extLst>
        </c:ser>
        <c:ser>
          <c:idx val="2"/>
          <c:order val="2"/>
          <c:tx>
            <c:strRef>
              <c:f>Ogden!$H$10</c:f>
              <c:strCache>
                <c:ptCount val="1"/>
                <c:pt idx="0">
                  <c:v>Fall, Spring</c:v>
                </c:pt>
              </c:strCache>
            </c:strRef>
          </c:tx>
          <c:spPr>
            <a:ln w="12700" cap="rnd">
              <a:solidFill>
                <a:srgbClr val="FFC000"/>
              </a:solidFill>
              <a:round/>
            </a:ln>
            <a:effectLst/>
          </c:spPr>
          <c:marker>
            <c:symbol val="none"/>
          </c:marker>
          <c:xVal>
            <c:numRef>
              <c:f>Ogden!$D$12:$D$46</c:f>
              <c:numCache>
                <c:formatCode>0.0</c:formatCode>
                <c:ptCount val="35"/>
                <c:pt idx="0">
                  <c:v>71302.734990278186</c:v>
                </c:pt>
                <c:pt idx="1">
                  <c:v>69520.16661552123</c:v>
                </c:pt>
                <c:pt idx="2">
                  <c:v>67737.598240764273</c:v>
                </c:pt>
                <c:pt idx="3">
                  <c:v>65955.029866007317</c:v>
                </c:pt>
                <c:pt idx="4">
                  <c:v>64172.461491250368</c:v>
                </c:pt>
                <c:pt idx="5">
                  <c:v>62389.893116493411</c:v>
                </c:pt>
                <c:pt idx="6">
                  <c:v>60607.324741736455</c:v>
                </c:pt>
                <c:pt idx="7">
                  <c:v>58824.756366979498</c:v>
                </c:pt>
                <c:pt idx="8">
                  <c:v>57042.187992222542</c:v>
                </c:pt>
                <c:pt idx="9">
                  <c:v>55259.619617465592</c:v>
                </c:pt>
                <c:pt idx="10">
                  <c:v>53477.051242708636</c:v>
                </c:pt>
                <c:pt idx="11">
                  <c:v>51694.48286795168</c:v>
                </c:pt>
                <c:pt idx="12">
                  <c:v>49911.914493194723</c:v>
                </c:pt>
                <c:pt idx="13">
                  <c:v>48129.346118437767</c:v>
                </c:pt>
                <c:pt idx="14">
                  <c:v>46346.77774368081</c:v>
                </c:pt>
                <c:pt idx="15">
                  <c:v>44564.209368923854</c:v>
                </c:pt>
                <c:pt idx="16">
                  <c:v>42781.640994166897</c:v>
                </c:pt>
                <c:pt idx="17">
                  <c:v>40999.072619409948</c:v>
                </c:pt>
                <c:pt idx="18">
                  <c:v>39216.504244652991</c:v>
                </c:pt>
                <c:pt idx="19">
                  <c:v>37433.935869896035</c:v>
                </c:pt>
                <c:pt idx="20">
                  <c:v>35651.367495139079</c:v>
                </c:pt>
                <c:pt idx="21">
                  <c:v>33868.799120382122</c:v>
                </c:pt>
                <c:pt idx="22">
                  <c:v>32086.230745625173</c:v>
                </c:pt>
                <c:pt idx="23">
                  <c:v>30303.662370868216</c:v>
                </c:pt>
                <c:pt idx="24">
                  <c:v>28521.093996111264</c:v>
                </c:pt>
                <c:pt idx="25">
                  <c:v>26738.525621354311</c:v>
                </c:pt>
                <c:pt idx="26">
                  <c:v>24955.957246597354</c:v>
                </c:pt>
                <c:pt idx="27">
                  <c:v>23173.388871840401</c:v>
                </c:pt>
                <c:pt idx="28">
                  <c:v>21390.820497083445</c:v>
                </c:pt>
                <c:pt idx="29">
                  <c:v>19608.252122326496</c:v>
                </c:pt>
                <c:pt idx="30">
                  <c:v>17825.683747569539</c:v>
                </c:pt>
                <c:pt idx="31">
                  <c:v>16043.115372812586</c:v>
                </c:pt>
                <c:pt idx="32">
                  <c:v>14260.546998055632</c:v>
                </c:pt>
                <c:pt idx="33">
                  <c:v>12477.978623298677</c:v>
                </c:pt>
                <c:pt idx="34">
                  <c:v>10695.410248541722</c:v>
                </c:pt>
              </c:numCache>
            </c:numRef>
          </c:xVal>
          <c:yVal>
            <c:numRef>
              <c:f>Ogden!$H$12:$H$46</c:f>
              <c:numCache>
                <c:formatCode>0.0</c:formatCode>
                <c:ptCount val="35"/>
                <c:pt idx="0">
                  <c:v>97.018915647446619</c:v>
                </c:pt>
                <c:pt idx="1">
                  <c:v>102.21798411611684</c:v>
                </c:pt>
                <c:pt idx="2">
                  <c:v>107.84179974319034</c:v>
                </c:pt>
                <c:pt idx="3">
                  <c:v>113.93765496162025</c:v>
                </c:pt>
                <c:pt idx="4">
                  <c:v>120.55958870575198</c:v>
                </c:pt>
                <c:pt idx="5">
                  <c:v>127.76957230126649</c:v>
                </c:pt>
                <c:pt idx="6">
                  <c:v>135.63894542933133</c:v>
                </c:pt>
                <c:pt idx="7">
                  <c:v>144.25016421460649</c:v>
                </c:pt>
                <c:pt idx="8">
                  <c:v>153.69894134054061</c:v>
                </c:pt>
                <c:pt idx="9">
                  <c:v>164.09688183968839</c:v>
                </c:pt>
                <c:pt idx="10">
                  <c:v>175.57475005044753</c:v>
                </c:pt>
                <c:pt idx="11">
                  <c:v>188.28654631819472</c:v>
                </c:pt>
                <c:pt idx="12">
                  <c:v>202.41463087054368</c:v>
                </c:pt>
                <c:pt idx="13">
                  <c:v>218.17621349341732</c:v>
                </c:pt>
                <c:pt idx="14">
                  <c:v>235.83164086881374</c:v>
                </c:pt>
                <c:pt idx="15">
                  <c:v>255.69507316846261</c:v>
                </c:pt>
                <c:pt idx="16">
                  <c:v>278.14836961223068</c:v>
                </c:pt>
                <c:pt idx="17">
                  <c:v>303.65933280364942</c:v>
                </c:pt>
                <c:pt idx="18">
                  <c:v>332.80594619907691</c:v>
                </c:pt>
                <c:pt idx="19">
                  <c:v>366.30896134515427</c:v>
                </c:pt>
                <c:pt idx="20">
                  <c:v>405.0762863068469</c:v>
                </c:pt>
                <c:pt idx="21">
                  <c:v>450.2643165726596</c:v>
                </c:pt>
                <c:pt idx="22">
                  <c:v>503.36401046852978</c:v>
                </c:pt>
                <c:pt idx="23">
                  <c:v>566.32379290601205</c:v>
                </c:pt>
                <c:pt idx="24">
                  <c:v>641.72842947207744</c:v>
                </c:pt>
                <c:pt idx="25">
                  <c:v>733.06496207535906</c:v>
                </c:pt>
                <c:pt idx="26">
                  <c:v>845.12763743065727</c:v>
                </c:pt>
                <c:pt idx="27">
                  <c:v>984.65133978543849</c:v>
                </c:pt>
                <c:pt idx="28">
                  <c:v>1161.3334147565436</c:v>
                </c:pt>
                <c:pt idx="29">
                  <c:v>1389.5413677580711</c:v>
                </c:pt>
                <c:pt idx="30">
                  <c:v>1691.2866592367852</c:v>
                </c:pt>
                <c:pt idx="31">
                  <c:v>2101.6605129051291</c:v>
                </c:pt>
                <c:pt idx="32">
                  <c:v>2679.3637848179246</c:v>
                </c:pt>
                <c:pt idx="33">
                  <c:v>3528.6022580350154</c:v>
                </c:pt>
                <c:pt idx="34">
                  <c:v>4848.8341028578498</c:v>
                </c:pt>
              </c:numCache>
            </c:numRef>
          </c:yVal>
          <c:smooth val="1"/>
          <c:extLst>
            <c:ext xmlns:c16="http://schemas.microsoft.com/office/drawing/2014/chart" uri="{C3380CC4-5D6E-409C-BE32-E72D297353CC}">
              <c16:uniqueId val="{00000002-2121-43BC-A99F-64B176BD998A}"/>
            </c:ext>
          </c:extLst>
        </c:ser>
        <c:ser>
          <c:idx val="3"/>
          <c:order val="3"/>
          <c:tx>
            <c:strRef>
              <c:f>Ogden!$E$10</c:f>
              <c:strCache>
                <c:ptCount val="1"/>
                <c:pt idx="0">
                  <c:v>2010 Price</c:v>
                </c:pt>
              </c:strCache>
            </c:strRef>
          </c:tx>
          <c:spPr>
            <a:ln w="19050" cap="rnd">
              <a:solidFill>
                <a:schemeClr val="tx1"/>
              </a:solidFill>
              <a:round/>
            </a:ln>
            <a:effectLst/>
          </c:spPr>
          <c:marker>
            <c:symbol val="none"/>
          </c:marker>
          <c:xVal>
            <c:numRef>
              <c:f>Ogden!$B$12:$B$52</c:f>
              <c:numCache>
                <c:formatCode>0.0</c:formatCode>
                <c:ptCount val="41"/>
                <c:pt idx="0">
                  <c:v>105077.71472251521</c:v>
                </c:pt>
                <c:pt idx="1">
                  <c:v>102450.77185445234</c:v>
                </c:pt>
                <c:pt idx="2">
                  <c:v>99823.828986389461</c:v>
                </c:pt>
                <c:pt idx="3">
                  <c:v>97196.886118326569</c:v>
                </c:pt>
                <c:pt idx="4">
                  <c:v>94569.943250263692</c:v>
                </c:pt>
                <c:pt idx="5">
                  <c:v>91943.000382200815</c:v>
                </c:pt>
                <c:pt idx="6">
                  <c:v>89316.057514137923</c:v>
                </c:pt>
                <c:pt idx="7">
                  <c:v>86689.114646075046</c:v>
                </c:pt>
                <c:pt idx="8">
                  <c:v>84062.171778012169</c:v>
                </c:pt>
                <c:pt idx="9">
                  <c:v>81435.228909949277</c:v>
                </c:pt>
                <c:pt idx="10">
                  <c:v>78808.2860418864</c:v>
                </c:pt>
                <c:pt idx="11">
                  <c:v>76181.343173823523</c:v>
                </c:pt>
                <c:pt idx="12">
                  <c:v>73554.400305760631</c:v>
                </c:pt>
                <c:pt idx="13">
                  <c:v>70927.457437697754</c:v>
                </c:pt>
                <c:pt idx="14">
                  <c:v>68300.514569634877</c:v>
                </c:pt>
                <c:pt idx="15">
                  <c:v>65673.571701572</c:v>
                </c:pt>
                <c:pt idx="16">
                  <c:v>63046.628833509109</c:v>
                </c:pt>
                <c:pt idx="17">
                  <c:v>60419.685965446231</c:v>
                </c:pt>
                <c:pt idx="18">
                  <c:v>57792.743097383347</c:v>
                </c:pt>
                <c:pt idx="19">
                  <c:v>55165.80022932047</c:v>
                </c:pt>
                <c:pt idx="20">
                  <c:v>52538.857361257586</c:v>
                </c:pt>
                <c:pt idx="21">
                  <c:v>49911.914493194701</c:v>
                </c:pt>
                <c:pt idx="22">
                  <c:v>47284.971625131831</c:v>
                </c:pt>
                <c:pt idx="23">
                  <c:v>44658.028757068947</c:v>
                </c:pt>
                <c:pt idx="24">
                  <c:v>42031.08588900607</c:v>
                </c:pt>
                <c:pt idx="25">
                  <c:v>39404.143020943186</c:v>
                </c:pt>
                <c:pt idx="26">
                  <c:v>36777.200152880308</c:v>
                </c:pt>
                <c:pt idx="27">
                  <c:v>34150.257284817431</c:v>
                </c:pt>
                <c:pt idx="28">
                  <c:v>31523.314416754551</c:v>
                </c:pt>
                <c:pt idx="29">
                  <c:v>28896.371548691674</c:v>
                </c:pt>
                <c:pt idx="30">
                  <c:v>26269.428680628793</c:v>
                </c:pt>
                <c:pt idx="31">
                  <c:v>23642.485812565916</c:v>
                </c:pt>
                <c:pt idx="32">
                  <c:v>21015.542944503035</c:v>
                </c:pt>
                <c:pt idx="33">
                  <c:v>18388.600076440154</c:v>
                </c:pt>
                <c:pt idx="34">
                  <c:v>15761.657208377275</c:v>
                </c:pt>
                <c:pt idx="35">
                  <c:v>13134.714340314396</c:v>
                </c:pt>
                <c:pt idx="36">
                  <c:v>10507.771472251517</c:v>
                </c:pt>
                <c:pt idx="37">
                  <c:v>7880.8286041886377</c:v>
                </c:pt>
                <c:pt idx="38">
                  <c:v>5253.8857361257587</c:v>
                </c:pt>
                <c:pt idx="39">
                  <c:v>2626.9428680628794</c:v>
                </c:pt>
                <c:pt idx="40" formatCode="General">
                  <c:v>0</c:v>
                </c:pt>
              </c:numCache>
            </c:numRef>
          </c:xVal>
          <c:yVal>
            <c:numRef>
              <c:f>Ogden!$E$11:$E$52</c:f>
              <c:numCache>
                <c:formatCode>0.0</c:formatCode>
                <c:ptCount val="42"/>
                <c:pt idx="0">
                  <c:v>405.07628630684763</c:v>
                </c:pt>
                <c:pt idx="1">
                  <c:v>405.07628630684763</c:v>
                </c:pt>
                <c:pt idx="2">
                  <c:v>405.07628630684763</c:v>
                </c:pt>
                <c:pt idx="3">
                  <c:v>405.07628630684763</c:v>
                </c:pt>
                <c:pt idx="4">
                  <c:v>405.07628630684763</c:v>
                </c:pt>
                <c:pt idx="5">
                  <c:v>405.07628630684763</c:v>
                </c:pt>
                <c:pt idx="6">
                  <c:v>405.07628630684763</c:v>
                </c:pt>
                <c:pt idx="7">
                  <c:v>405.07628630684763</c:v>
                </c:pt>
                <c:pt idx="8">
                  <c:v>405.07628630684763</c:v>
                </c:pt>
                <c:pt idx="9">
                  <c:v>405.07628630684763</c:v>
                </c:pt>
                <c:pt idx="10">
                  <c:v>405.07628630684763</c:v>
                </c:pt>
                <c:pt idx="11">
                  <c:v>405.07628630684763</c:v>
                </c:pt>
                <c:pt idx="12">
                  <c:v>405.07628630684763</c:v>
                </c:pt>
                <c:pt idx="13">
                  <c:v>405.07628630684763</c:v>
                </c:pt>
                <c:pt idx="14">
                  <c:v>405.07628630684763</c:v>
                </c:pt>
                <c:pt idx="15">
                  <c:v>405.07628630684763</c:v>
                </c:pt>
                <c:pt idx="16">
                  <c:v>405.07628630684763</c:v>
                </c:pt>
                <c:pt idx="17">
                  <c:v>405.07628630684763</c:v>
                </c:pt>
                <c:pt idx="18">
                  <c:v>405.07628630684763</c:v>
                </c:pt>
                <c:pt idx="19">
                  <c:v>405.07628630684763</c:v>
                </c:pt>
                <c:pt idx="20">
                  <c:v>405.07628630684763</c:v>
                </c:pt>
                <c:pt idx="21">
                  <c:v>405.07628630684763</c:v>
                </c:pt>
                <c:pt idx="22">
                  <c:v>405.07628630684763</c:v>
                </c:pt>
                <c:pt idx="23">
                  <c:v>405.07628630684763</c:v>
                </c:pt>
                <c:pt idx="24">
                  <c:v>405.07628630684763</c:v>
                </c:pt>
                <c:pt idx="25">
                  <c:v>405.07628630684763</c:v>
                </c:pt>
                <c:pt idx="26">
                  <c:v>405.07628630684763</c:v>
                </c:pt>
                <c:pt idx="27">
                  <c:v>405.07628630684763</c:v>
                </c:pt>
                <c:pt idx="28">
                  <c:v>405.07628630684763</c:v>
                </c:pt>
                <c:pt idx="29">
                  <c:v>405.07628630684763</c:v>
                </c:pt>
                <c:pt idx="30">
                  <c:v>405.07628630684763</c:v>
                </c:pt>
                <c:pt idx="31">
                  <c:v>405.07628630684763</c:v>
                </c:pt>
                <c:pt idx="32">
                  <c:v>405.07628630684763</c:v>
                </c:pt>
                <c:pt idx="33">
                  <c:v>405.07628630684763</c:v>
                </c:pt>
                <c:pt idx="34">
                  <c:v>405.07628630684763</c:v>
                </c:pt>
                <c:pt idx="35">
                  <c:v>405.07628630684763</c:v>
                </c:pt>
                <c:pt idx="36">
                  <c:v>405.07628630684763</c:v>
                </c:pt>
                <c:pt idx="37">
                  <c:v>405.07628630684763</c:v>
                </c:pt>
                <c:pt idx="38">
                  <c:v>405.07628630684763</c:v>
                </c:pt>
                <c:pt idx="39">
                  <c:v>405.07628630684763</c:v>
                </c:pt>
                <c:pt idx="40">
                  <c:v>405.07628630684763</c:v>
                </c:pt>
                <c:pt idx="41">
                  <c:v>405.07628630684763</c:v>
                </c:pt>
              </c:numCache>
            </c:numRef>
          </c:yVal>
          <c:smooth val="1"/>
          <c:extLst>
            <c:ext xmlns:c16="http://schemas.microsoft.com/office/drawing/2014/chart" uri="{C3380CC4-5D6E-409C-BE32-E72D297353CC}">
              <c16:uniqueId val="{00000003-2121-43BC-A99F-64B176BD998A}"/>
            </c:ext>
          </c:extLst>
        </c:ser>
        <c:dLbls>
          <c:showLegendKey val="0"/>
          <c:showVal val="0"/>
          <c:showCatName val="0"/>
          <c:showSerName val="0"/>
          <c:showPercent val="0"/>
          <c:showBubbleSize val="0"/>
        </c:dLbls>
        <c:axId val="204806912"/>
        <c:axId val="204807488"/>
      </c:scatterChart>
      <c:valAx>
        <c:axId val="204806912"/>
        <c:scaling>
          <c:orientation val="minMax"/>
          <c:max val="100000"/>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n-US" sz="1200">
                    <a:solidFill>
                      <a:sysClr val="windowText" lastClr="000000"/>
                    </a:solidFill>
                  </a:rPr>
                  <a:t>Water Quantity, af</a:t>
                </a:r>
              </a:p>
            </c:rich>
          </c:tx>
          <c:layout>
            <c:manualLayout>
              <c:xMode val="edge"/>
              <c:yMode val="edge"/>
              <c:x val="0.38920713035870519"/>
              <c:y val="0.88388815981335667"/>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title>
        <c:numFmt formatCode="#,##0" sourceLinked="0"/>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crossAx val="204807488"/>
        <c:crosses val="autoZero"/>
        <c:crossBetween val="midCat"/>
        <c:majorUnit val="25000"/>
      </c:valAx>
      <c:valAx>
        <c:axId val="204807488"/>
        <c:scaling>
          <c:orientation val="minMax"/>
          <c:max val="3000"/>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n-US" sz="1200">
                    <a:solidFill>
                      <a:sysClr val="windowText" lastClr="000000"/>
                    </a:solidFill>
                  </a:rPr>
                  <a:t>Price, $/af</a:t>
                </a:r>
              </a:p>
            </c:rich>
          </c:tx>
          <c:layout>
            <c:manualLayout>
              <c:xMode val="edge"/>
              <c:yMode val="edge"/>
              <c:x val="9.7221128608923884E-3"/>
              <c:y val="0.25936671916010501"/>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crossAx val="204806912"/>
        <c:crosses val="autoZero"/>
        <c:crossBetween val="midCat"/>
      </c:valAx>
      <c:spPr>
        <a:noFill/>
        <a:ln>
          <a:solidFill>
            <a:schemeClr val="tx1"/>
          </a:solidFill>
        </a:ln>
        <a:effectLst/>
      </c:spPr>
    </c:plotArea>
    <c:legend>
      <c:legendPos val="b"/>
      <c:layout>
        <c:manualLayout>
          <c:xMode val="edge"/>
          <c:yMode val="edge"/>
          <c:x val="0.4954278215223098"/>
          <c:y val="4.3467086614173235E-2"/>
          <c:w val="0.38929429133858268"/>
          <c:h val="0.36310887139107612"/>
        </c:manualLayout>
      </c:layout>
      <c:overlay val="0"/>
      <c:spPr>
        <a:solidFill>
          <a:schemeClr val="bg1"/>
        </a:solid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legend>
    <c:plotVisOnly val="1"/>
    <c:dispBlanksAs val="zero"/>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582349081364829"/>
          <c:y val="3.9960104986876639E-2"/>
          <c:w val="0.65317650918635173"/>
          <c:h val="0.73334173228346444"/>
        </c:manualLayout>
      </c:layout>
      <c:scatterChart>
        <c:scatterStyle val="smoothMarker"/>
        <c:varyColors val="0"/>
        <c:ser>
          <c:idx val="1"/>
          <c:order val="0"/>
          <c:tx>
            <c:strRef>
              <c:f>SLC!$F$10</c:f>
              <c:strCache>
                <c:ptCount val="1"/>
                <c:pt idx="0">
                  <c:v>Summer</c:v>
                </c:pt>
              </c:strCache>
            </c:strRef>
          </c:tx>
          <c:spPr>
            <a:ln w="12700" cap="rnd">
              <a:solidFill>
                <a:schemeClr val="accent6">
                  <a:lumMod val="50000"/>
                </a:schemeClr>
              </a:solidFill>
              <a:round/>
            </a:ln>
            <a:effectLst/>
          </c:spPr>
          <c:marker>
            <c:symbol val="none"/>
          </c:marker>
          <c:xVal>
            <c:numRef>
              <c:f>SLC!$B$11:$B$46</c:f>
              <c:numCache>
                <c:formatCode>0.0</c:formatCode>
                <c:ptCount val="36"/>
                <c:pt idx="0">
                  <c:v>156330.62618988348</c:v>
                </c:pt>
                <c:pt idx="1">
                  <c:v>152422.36053513639</c:v>
                </c:pt>
                <c:pt idx="2">
                  <c:v>148514.09488038931</c:v>
                </c:pt>
                <c:pt idx="3">
                  <c:v>144605.82922564223</c:v>
                </c:pt>
                <c:pt idx="4">
                  <c:v>140697.56357089514</c:v>
                </c:pt>
                <c:pt idx="5">
                  <c:v>136789.29791614803</c:v>
                </c:pt>
                <c:pt idx="6">
                  <c:v>132881.03226140095</c:v>
                </c:pt>
                <c:pt idx="7">
                  <c:v>128972.76660665387</c:v>
                </c:pt>
                <c:pt idx="8">
                  <c:v>125064.50095190678</c:v>
                </c:pt>
                <c:pt idx="9">
                  <c:v>121156.23529715968</c:v>
                </c:pt>
                <c:pt idx="10">
                  <c:v>117247.9696424126</c:v>
                </c:pt>
                <c:pt idx="11">
                  <c:v>113339.7039876655</c:v>
                </c:pt>
                <c:pt idx="12">
                  <c:v>109431.43833291842</c:v>
                </c:pt>
                <c:pt idx="13">
                  <c:v>105523.17267817134</c:v>
                </c:pt>
                <c:pt idx="14">
                  <c:v>101614.90702342424</c:v>
                </c:pt>
                <c:pt idx="15">
                  <c:v>97706.641368677156</c:v>
                </c:pt>
                <c:pt idx="16">
                  <c:v>93798.375713930072</c:v>
                </c:pt>
                <c:pt idx="17">
                  <c:v>89890.110059182975</c:v>
                </c:pt>
                <c:pt idx="18">
                  <c:v>85981.844404435891</c:v>
                </c:pt>
                <c:pt idx="19">
                  <c:v>82073.578749688793</c:v>
                </c:pt>
                <c:pt idx="20">
                  <c:v>78165.31309494171</c:v>
                </c:pt>
                <c:pt idx="21">
                  <c:v>74257.047440194627</c:v>
                </c:pt>
                <c:pt idx="22">
                  <c:v>70348.781785447543</c:v>
                </c:pt>
                <c:pt idx="23">
                  <c:v>66440.516130700446</c:v>
                </c:pt>
                <c:pt idx="24">
                  <c:v>62532.250475953369</c:v>
                </c:pt>
                <c:pt idx="25">
                  <c:v>58623.984821206279</c:v>
                </c:pt>
                <c:pt idx="26">
                  <c:v>54715.719166459196</c:v>
                </c:pt>
                <c:pt idx="27">
                  <c:v>50807.453511712112</c:v>
                </c:pt>
                <c:pt idx="28">
                  <c:v>46899.187856965022</c:v>
                </c:pt>
                <c:pt idx="29">
                  <c:v>42990.922202217946</c:v>
                </c:pt>
                <c:pt idx="30">
                  <c:v>39082.656547470855</c:v>
                </c:pt>
                <c:pt idx="31">
                  <c:v>35174.390892723772</c:v>
                </c:pt>
                <c:pt idx="32">
                  <c:v>31266.125237976685</c:v>
                </c:pt>
                <c:pt idx="33">
                  <c:v>27357.859583229598</c:v>
                </c:pt>
                <c:pt idx="34">
                  <c:v>23449.593928482511</c:v>
                </c:pt>
                <c:pt idx="35">
                  <c:v>19541.328273735428</c:v>
                </c:pt>
              </c:numCache>
            </c:numRef>
          </c:xVal>
          <c:yVal>
            <c:numRef>
              <c:f>SLC!$F$11:$F$46</c:f>
              <c:numCache>
                <c:formatCode>0.0</c:formatCode>
                <c:ptCount val="36"/>
                <c:pt idx="0">
                  <c:v>179.8809290880105</c:v>
                </c:pt>
                <c:pt idx="1">
                  <c:v>186.50600259333956</c:v>
                </c:pt>
                <c:pt idx="2">
                  <c:v>193.55684883920281</c:v>
                </c:pt>
                <c:pt idx="3">
                  <c:v>201.07314706490683</c:v>
                </c:pt>
                <c:pt idx="4">
                  <c:v>209.09948621397982</c:v>
                </c:pt>
                <c:pt idx="5">
                  <c:v>217.68613099528858</c:v>
                </c:pt>
                <c:pt idx="6">
                  <c:v>226.88993367531526</c:v>
                </c:pt>
                <c:pt idx="7">
                  <c:v>236.77542461296338</c:v>
                </c:pt>
                <c:pt idx="8">
                  <c:v>247.41612329925977</c:v>
                </c:pt>
                <c:pt idx="9">
                  <c:v>258.89612309449416</c:v>
                </c:pt>
                <c:pt idx="10">
                  <c:v>271.31201790242778</c:v>
                </c:pt>
                <c:pt idx="11">
                  <c:v>284.77525899488199</c:v>
                </c:pt>
                <c:pt idx="12">
                  <c:v>299.4150569486855</c:v>
                </c:pt>
                <c:pt idx="13">
                  <c:v>315.38197981687438</c:v>
                </c:pt>
                <c:pt idx="14">
                  <c:v>332.85244803162834</c:v>
                </c:pt>
                <c:pt idx="15">
                  <c:v>352.03439468502108</c:v>
                </c:pt>
                <c:pt idx="16">
                  <c:v>373.17445498113108</c:v>
                </c:pt>
                <c:pt idx="17">
                  <c:v>396.56718314837144</c:v>
                </c:pt>
                <c:pt idx="18">
                  <c:v>422.56698776604361</c:v>
                </c:pt>
                <c:pt idx="19">
                  <c:v>451.60375645698406</c:v>
                </c:pt>
                <c:pt idx="20">
                  <c:v>484.20355422088215</c:v>
                </c:pt>
                <c:pt idx="21">
                  <c:v>521.01640027599092</c:v>
                </c:pt>
                <c:pt idx="22">
                  <c:v>562.85407754944447</c:v>
                </c:pt>
                <c:pt idx="23">
                  <c:v>610.74241087989992</c:v>
                </c:pt>
                <c:pt idx="24">
                  <c:v>665.99481601764921</c:v>
                </c:pt>
                <c:pt idx="25">
                  <c:v>730.31779431670191</c:v>
                </c:pt>
                <c:pt idx="26">
                  <c:v>805.96556564852779</c:v>
                </c:pt>
                <c:pt idx="27">
                  <c:v>895.97234784784018</c:v>
                </c:pt>
                <c:pt idx="28">
                  <c:v>1004.5111416891581</c:v>
                </c:pt>
                <c:pt idx="29">
                  <c:v>1137.4659804687856</c:v>
                </c:pt>
                <c:pt idx="30">
                  <c:v>1303.3793137983116</c:v>
                </c:pt>
                <c:pt idx="31">
                  <c:v>1515.0908227954094</c:v>
                </c:pt>
                <c:pt idx="32">
                  <c:v>1792.7251023406102</c:v>
                </c:pt>
                <c:pt idx="33">
                  <c:v>2169.4984201227994</c:v>
                </c:pt>
                <c:pt idx="34">
                  <c:v>2703.9434782015724</c:v>
                </c:pt>
                <c:pt idx="35">
                  <c:v>3508.4369390283532</c:v>
                </c:pt>
              </c:numCache>
            </c:numRef>
          </c:yVal>
          <c:smooth val="1"/>
          <c:extLst>
            <c:ext xmlns:c16="http://schemas.microsoft.com/office/drawing/2014/chart" uri="{C3380CC4-5D6E-409C-BE32-E72D297353CC}">
              <c16:uniqueId val="{00000000-AA20-48A3-9A33-76B16521F72B}"/>
            </c:ext>
          </c:extLst>
        </c:ser>
        <c:ser>
          <c:idx val="0"/>
          <c:order val="1"/>
          <c:tx>
            <c:strRef>
              <c:f>SLC!$G$10</c:f>
              <c:strCache>
                <c:ptCount val="1"/>
                <c:pt idx="0">
                  <c:v>Winter</c:v>
                </c:pt>
              </c:strCache>
            </c:strRef>
          </c:tx>
          <c:spPr>
            <a:ln w="12700" cap="rnd">
              <a:solidFill>
                <a:schemeClr val="tx2"/>
              </a:solidFill>
              <a:round/>
            </a:ln>
            <a:effectLst/>
          </c:spPr>
          <c:marker>
            <c:symbol val="none"/>
          </c:marker>
          <c:xVal>
            <c:numRef>
              <c:f>SLC!$C$11:$C$42</c:f>
              <c:numCache>
                <c:formatCode>0.0</c:formatCode>
                <c:ptCount val="32"/>
                <c:pt idx="0">
                  <c:v>75373.694770122383</c:v>
                </c:pt>
                <c:pt idx="1">
                  <c:v>73489.35240086932</c:v>
                </c:pt>
                <c:pt idx="2">
                  <c:v>71605.010031616272</c:v>
                </c:pt>
                <c:pt idx="3">
                  <c:v>69720.667662363208</c:v>
                </c:pt>
                <c:pt idx="4">
                  <c:v>67836.325293110145</c:v>
                </c:pt>
                <c:pt idx="5">
                  <c:v>65951.982923857082</c:v>
                </c:pt>
                <c:pt idx="6">
                  <c:v>64067.640554604026</c:v>
                </c:pt>
                <c:pt idx="7">
                  <c:v>62183.298185350963</c:v>
                </c:pt>
                <c:pt idx="8">
                  <c:v>60298.955816097907</c:v>
                </c:pt>
                <c:pt idx="9">
                  <c:v>58414.613446844844</c:v>
                </c:pt>
                <c:pt idx="10">
                  <c:v>56530.27107759178</c:v>
                </c:pt>
                <c:pt idx="11">
                  <c:v>54645.928708338724</c:v>
                </c:pt>
                <c:pt idx="12">
                  <c:v>52761.586339085661</c:v>
                </c:pt>
                <c:pt idx="13">
                  <c:v>50877.243969832598</c:v>
                </c:pt>
                <c:pt idx="14">
                  <c:v>48992.901600579542</c:v>
                </c:pt>
                <c:pt idx="15">
                  <c:v>47108.559231326479</c:v>
                </c:pt>
                <c:pt idx="16">
                  <c:v>45224.216862073423</c:v>
                </c:pt>
                <c:pt idx="17">
                  <c:v>43339.87449282036</c:v>
                </c:pt>
                <c:pt idx="18">
                  <c:v>41455.532123567296</c:v>
                </c:pt>
                <c:pt idx="19">
                  <c:v>39571.18975431424</c:v>
                </c:pt>
                <c:pt idx="20">
                  <c:v>37686.847385061177</c:v>
                </c:pt>
                <c:pt idx="21">
                  <c:v>35802.505015808114</c:v>
                </c:pt>
                <c:pt idx="22">
                  <c:v>33918.162646555058</c:v>
                </c:pt>
                <c:pt idx="23">
                  <c:v>32033.820277301998</c:v>
                </c:pt>
                <c:pt idx="24">
                  <c:v>30149.477908048942</c:v>
                </c:pt>
                <c:pt idx="25">
                  <c:v>28265.135538795883</c:v>
                </c:pt>
                <c:pt idx="26">
                  <c:v>26380.793169542823</c:v>
                </c:pt>
                <c:pt idx="27">
                  <c:v>24496.450800289767</c:v>
                </c:pt>
                <c:pt idx="28">
                  <c:v>22612.108431036704</c:v>
                </c:pt>
                <c:pt idx="29">
                  <c:v>20727.766061783648</c:v>
                </c:pt>
                <c:pt idx="30">
                  <c:v>18843.423692530589</c:v>
                </c:pt>
                <c:pt idx="31">
                  <c:v>16959.081323277529</c:v>
                </c:pt>
              </c:numCache>
            </c:numRef>
          </c:xVal>
          <c:yVal>
            <c:numRef>
              <c:f>SLC!$G$11:$G$42</c:f>
              <c:numCache>
                <c:formatCode>0.0</c:formatCode>
                <c:ptCount val="32"/>
                <c:pt idx="0">
                  <c:v>77.384204611389364</c:v>
                </c:pt>
                <c:pt idx="1">
                  <c:v>82.744786808708824</c:v>
                </c:pt>
                <c:pt idx="2">
                  <c:v>88.630782626726329</c:v>
                </c:pt>
                <c:pt idx="3">
                  <c:v>95.109622670144731</c:v>
                </c:pt>
                <c:pt idx="4">
                  <c:v>102.259551921569</c:v>
                </c:pt>
                <c:pt idx="5">
                  <c:v>110.17173079257911</c:v>
                </c:pt>
                <c:pt idx="6">
                  <c:v>118.95281988151208</c:v>
                </c:pt>
                <c:pt idx="7">
                  <c:v>128.72817825540861</c:v>
                </c:pt>
                <c:pt idx="8">
                  <c:v>139.64584518366044</c:v>
                </c:pt>
                <c:pt idx="9">
                  <c:v>151.88152948924252</c:v>
                </c:pt>
                <c:pt idx="10">
                  <c:v>165.64490467944736</c:v>
                </c:pt>
                <c:pt idx="11">
                  <c:v>181.18760992268395</c:v>
                </c:pt>
                <c:pt idx="12">
                  <c:v>198.81349868668235</c:v>
                </c:pt>
                <c:pt idx="13">
                  <c:v>218.89187613512192</c:v>
                </c:pt>
                <c:pt idx="14">
                  <c:v>241.87474974590805</c:v>
                </c:pt>
                <c:pt idx="15">
                  <c:v>268.3195254689544</c:v>
                </c:pt>
                <c:pt idx="16">
                  <c:v>298.91917647136734</c:v>
                </c:pt>
                <c:pt idx="17">
                  <c:v>334.54279097764345</c:v>
                </c:pt>
                <c:pt idx="18">
                  <c:v>376.290725997697</c:v>
                </c:pt>
                <c:pt idx="19">
                  <c:v>425.57060842486277</c:v>
                </c:pt>
                <c:pt idx="20">
                  <c:v>484.20355422088386</c:v>
                </c:pt>
                <c:pt idx="21">
                  <c:v>554.57493136684695</c:v>
                </c:pt>
                <c:pt idx="22">
                  <c:v>639.85200522654247</c:v>
                </c:pt>
                <c:pt idx="23">
                  <c:v>744.30406644959703</c:v>
                </c:pt>
                <c:pt idx="24">
                  <c:v>873.78315651972321</c:v>
                </c:pt>
                <c:pt idx="25">
                  <c:v>1036.462828391768</c:v>
                </c:pt>
                <c:pt idx="26">
                  <c:v>1244.0032584765049</c:v>
                </c:pt>
                <c:pt idx="27">
                  <c:v>1513.4433970265027</c:v>
                </c:pt>
                <c:pt idx="28">
                  <c:v>1870.3781785839178</c:v>
                </c:pt>
                <c:pt idx="29">
                  <c:v>2354.5025482063907</c:v>
                </c:pt>
                <c:pt idx="30">
                  <c:v>3029.727876606355</c:v>
                </c:pt>
                <c:pt idx="31">
                  <c:v>4003.6415268711371</c:v>
                </c:pt>
              </c:numCache>
            </c:numRef>
          </c:yVal>
          <c:smooth val="1"/>
          <c:extLst>
            <c:ext xmlns:c16="http://schemas.microsoft.com/office/drawing/2014/chart" uri="{C3380CC4-5D6E-409C-BE32-E72D297353CC}">
              <c16:uniqueId val="{00000001-AA20-48A3-9A33-76B16521F72B}"/>
            </c:ext>
          </c:extLst>
        </c:ser>
        <c:ser>
          <c:idx val="2"/>
          <c:order val="2"/>
          <c:tx>
            <c:strRef>
              <c:f>SLC!$H$10</c:f>
              <c:strCache>
                <c:ptCount val="1"/>
                <c:pt idx="0">
                  <c:v>Fall, Spring</c:v>
                </c:pt>
              </c:strCache>
            </c:strRef>
          </c:tx>
          <c:spPr>
            <a:ln w="12700" cap="rnd">
              <a:solidFill>
                <a:srgbClr val="FFC000"/>
              </a:solidFill>
              <a:round/>
            </a:ln>
            <a:effectLst/>
          </c:spPr>
          <c:marker>
            <c:symbol val="none"/>
          </c:marker>
          <c:xVal>
            <c:numRef>
              <c:f>SLC!$D$11:$D$44</c:f>
              <c:numCache>
                <c:formatCode>0.0</c:formatCode>
                <c:ptCount val="34"/>
                <c:pt idx="0">
                  <c:v>106081.49634313522</c:v>
                </c:pt>
                <c:pt idx="1">
                  <c:v>103429.45893455684</c:v>
                </c:pt>
                <c:pt idx="2">
                  <c:v>100777.42152597847</c:v>
                </c:pt>
                <c:pt idx="3">
                  <c:v>98125.384117400085</c:v>
                </c:pt>
                <c:pt idx="4">
                  <c:v>95473.3467088217</c:v>
                </c:pt>
                <c:pt idx="5">
                  <c:v>92821.309300243316</c:v>
                </c:pt>
                <c:pt idx="6">
                  <c:v>90169.271891664932</c:v>
                </c:pt>
                <c:pt idx="7">
                  <c:v>87517.234483086548</c:v>
                </c:pt>
                <c:pt idx="8">
                  <c:v>84865.197074508178</c:v>
                </c:pt>
                <c:pt idx="9">
                  <c:v>82213.159665929794</c:v>
                </c:pt>
                <c:pt idx="10">
                  <c:v>79561.12225735141</c:v>
                </c:pt>
                <c:pt idx="11">
                  <c:v>76909.084848773025</c:v>
                </c:pt>
                <c:pt idx="12">
                  <c:v>74257.047440194641</c:v>
                </c:pt>
                <c:pt idx="13">
                  <c:v>71605.010031616257</c:v>
                </c:pt>
                <c:pt idx="14">
                  <c:v>68952.972623037887</c:v>
                </c:pt>
                <c:pt idx="15">
                  <c:v>66300.935214459503</c:v>
                </c:pt>
                <c:pt idx="16">
                  <c:v>63648.897805881119</c:v>
                </c:pt>
                <c:pt idx="17">
                  <c:v>60996.860397302735</c:v>
                </c:pt>
                <c:pt idx="18">
                  <c:v>58344.822988724351</c:v>
                </c:pt>
                <c:pt idx="19">
                  <c:v>55692.785580145974</c:v>
                </c:pt>
                <c:pt idx="20">
                  <c:v>53040.748171567589</c:v>
                </c:pt>
                <c:pt idx="21">
                  <c:v>50388.710762989205</c:v>
                </c:pt>
                <c:pt idx="22">
                  <c:v>47736.673354410828</c:v>
                </c:pt>
                <c:pt idx="23">
                  <c:v>45084.635945832451</c:v>
                </c:pt>
                <c:pt idx="24">
                  <c:v>42432.598537254074</c:v>
                </c:pt>
                <c:pt idx="25">
                  <c:v>39780.56112867569</c:v>
                </c:pt>
                <c:pt idx="26">
                  <c:v>37128.523720097313</c:v>
                </c:pt>
                <c:pt idx="27">
                  <c:v>34476.486311518936</c:v>
                </c:pt>
                <c:pt idx="28">
                  <c:v>31824.448902940552</c:v>
                </c:pt>
                <c:pt idx="29">
                  <c:v>29172.411494362175</c:v>
                </c:pt>
                <c:pt idx="30">
                  <c:v>26520.374085783795</c:v>
                </c:pt>
                <c:pt idx="31">
                  <c:v>23868.336677205414</c:v>
                </c:pt>
                <c:pt idx="32">
                  <c:v>21216.299268627037</c:v>
                </c:pt>
                <c:pt idx="33">
                  <c:v>18564.261860048657</c:v>
                </c:pt>
              </c:numCache>
            </c:numRef>
          </c:xVal>
          <c:yVal>
            <c:numRef>
              <c:f>SLC!$H$11:$H$44</c:f>
              <c:numCache>
                <c:formatCode>0.0</c:formatCode>
                <c:ptCount val="34"/>
                <c:pt idx="0">
                  <c:v>115.97051066959911</c:v>
                </c:pt>
                <c:pt idx="1">
                  <c:v>122.18516088800534</c:v>
                </c:pt>
                <c:pt idx="2">
                  <c:v>128.90752802467063</c:v>
                </c:pt>
                <c:pt idx="3">
                  <c:v>136.19414257742724</c:v>
                </c:pt>
                <c:pt idx="4">
                  <c:v>144.10959940151534</c:v>
                </c:pt>
                <c:pt idx="5">
                  <c:v>152.72797525029969</c:v>
                </c:pt>
                <c:pt idx="6">
                  <c:v>162.13454523947246</c:v>
                </c:pt>
                <c:pt idx="7">
                  <c:v>172.42787240512493</c:v>
                </c:pt>
                <c:pt idx="8">
                  <c:v>183.72236586740601</c:v>
                </c:pt>
                <c:pt idx="9">
                  <c:v>196.15143149395092</c:v>
                </c:pt>
                <c:pt idx="10">
                  <c:v>209.87137702124411</c:v>
                </c:pt>
                <c:pt idx="11">
                  <c:v>225.06628509520814</c:v>
                </c:pt>
                <c:pt idx="12">
                  <c:v>241.95413804001996</c:v>
                </c:pt>
                <c:pt idx="13">
                  <c:v>260.79457522216603</c:v>
                </c:pt>
                <c:pt idx="14">
                  <c:v>281.89879922993782</c:v>
                </c:pt>
                <c:pt idx="15">
                  <c:v>305.64233802408552</c:v>
                </c:pt>
                <c:pt idx="16">
                  <c:v>332.48164288976608</c:v>
                </c:pt>
                <c:pt idx="17">
                  <c:v>362.97589660553649</c:v>
                </c:pt>
                <c:pt idx="18">
                  <c:v>397.81598543976156</c:v>
                </c:pt>
                <c:pt idx="19">
                  <c:v>437.86345195217621</c:v>
                </c:pt>
                <c:pt idx="20">
                  <c:v>484.20355422088215</c:v>
                </c:pt>
                <c:pt idx="21">
                  <c:v>538.21857707604124</c:v>
                </c:pt>
                <c:pt idx="22">
                  <c:v>601.69072141417178</c:v>
                </c:pt>
                <c:pt idx="23">
                  <c:v>676.94901586320964</c:v>
                </c:pt>
                <c:pt idx="24">
                  <c:v>767.0831319895816</c:v>
                </c:pt>
                <c:pt idx="25">
                  <c:v>876.26126759444071</c:v>
                </c:pt>
                <c:pt idx="26">
                  <c:v>1010.2141735945551</c:v>
                </c:pt>
                <c:pt idx="27">
                  <c:v>1176.9923209755805</c:v>
                </c:pt>
                <c:pt idx="28">
                  <c:v>1388.1873268548513</c:v>
                </c:pt>
                <c:pt idx="29">
                  <c:v>1660.9732333127479</c:v>
                </c:pt>
                <c:pt idx="30">
                  <c:v>2021.6612013384454</c:v>
                </c:pt>
                <c:pt idx="31">
                  <c:v>2512.1971453631068</c:v>
                </c:pt>
                <c:pt idx="32">
                  <c:v>3202.7484982836058</c:v>
                </c:pt>
                <c:pt idx="33">
                  <c:v>4217.8765149390711</c:v>
                </c:pt>
              </c:numCache>
            </c:numRef>
          </c:yVal>
          <c:smooth val="1"/>
          <c:extLst>
            <c:ext xmlns:c16="http://schemas.microsoft.com/office/drawing/2014/chart" uri="{C3380CC4-5D6E-409C-BE32-E72D297353CC}">
              <c16:uniqueId val="{00000002-AA20-48A3-9A33-76B16521F72B}"/>
            </c:ext>
          </c:extLst>
        </c:ser>
        <c:ser>
          <c:idx val="3"/>
          <c:order val="3"/>
          <c:tx>
            <c:strRef>
              <c:f>SLC!$E$10</c:f>
              <c:strCache>
                <c:ptCount val="1"/>
                <c:pt idx="0">
                  <c:v>2010 Price</c:v>
                </c:pt>
              </c:strCache>
            </c:strRef>
          </c:tx>
          <c:spPr>
            <a:ln w="19050" cap="rnd">
              <a:solidFill>
                <a:schemeClr val="tx1"/>
              </a:solidFill>
              <a:round/>
            </a:ln>
            <a:effectLst/>
          </c:spPr>
          <c:marker>
            <c:symbol val="none"/>
          </c:marker>
          <c:xVal>
            <c:numRef>
              <c:f>SLC!$B$11:$B$51</c:f>
              <c:numCache>
                <c:formatCode>0.0</c:formatCode>
                <c:ptCount val="41"/>
                <c:pt idx="0">
                  <c:v>156330.62618988348</c:v>
                </c:pt>
                <c:pt idx="1">
                  <c:v>152422.36053513639</c:v>
                </c:pt>
                <c:pt idx="2">
                  <c:v>148514.09488038931</c:v>
                </c:pt>
                <c:pt idx="3">
                  <c:v>144605.82922564223</c:v>
                </c:pt>
                <c:pt idx="4">
                  <c:v>140697.56357089514</c:v>
                </c:pt>
                <c:pt idx="5">
                  <c:v>136789.29791614803</c:v>
                </c:pt>
                <c:pt idx="6">
                  <c:v>132881.03226140095</c:v>
                </c:pt>
                <c:pt idx="7">
                  <c:v>128972.76660665387</c:v>
                </c:pt>
                <c:pt idx="8">
                  <c:v>125064.50095190678</c:v>
                </c:pt>
                <c:pt idx="9">
                  <c:v>121156.23529715968</c:v>
                </c:pt>
                <c:pt idx="10">
                  <c:v>117247.9696424126</c:v>
                </c:pt>
                <c:pt idx="11">
                  <c:v>113339.7039876655</c:v>
                </c:pt>
                <c:pt idx="12">
                  <c:v>109431.43833291842</c:v>
                </c:pt>
                <c:pt idx="13">
                  <c:v>105523.17267817134</c:v>
                </c:pt>
                <c:pt idx="14">
                  <c:v>101614.90702342424</c:v>
                </c:pt>
                <c:pt idx="15">
                  <c:v>97706.641368677156</c:v>
                </c:pt>
                <c:pt idx="16">
                  <c:v>93798.375713930072</c:v>
                </c:pt>
                <c:pt idx="17">
                  <c:v>89890.110059182975</c:v>
                </c:pt>
                <c:pt idx="18">
                  <c:v>85981.844404435891</c:v>
                </c:pt>
                <c:pt idx="19">
                  <c:v>82073.578749688793</c:v>
                </c:pt>
                <c:pt idx="20">
                  <c:v>78165.31309494171</c:v>
                </c:pt>
                <c:pt idx="21">
                  <c:v>74257.047440194627</c:v>
                </c:pt>
                <c:pt idx="22">
                  <c:v>70348.781785447543</c:v>
                </c:pt>
                <c:pt idx="23">
                  <c:v>66440.516130700446</c:v>
                </c:pt>
                <c:pt idx="24">
                  <c:v>62532.250475953369</c:v>
                </c:pt>
                <c:pt idx="25">
                  <c:v>58623.984821206279</c:v>
                </c:pt>
                <c:pt idx="26">
                  <c:v>54715.719166459196</c:v>
                </c:pt>
                <c:pt idx="27">
                  <c:v>50807.453511712112</c:v>
                </c:pt>
                <c:pt idx="28">
                  <c:v>46899.187856965022</c:v>
                </c:pt>
                <c:pt idx="29">
                  <c:v>42990.922202217946</c:v>
                </c:pt>
                <c:pt idx="30">
                  <c:v>39082.656547470855</c:v>
                </c:pt>
                <c:pt idx="31">
                  <c:v>35174.390892723772</c:v>
                </c:pt>
                <c:pt idx="32">
                  <c:v>31266.125237976685</c:v>
                </c:pt>
                <c:pt idx="33">
                  <c:v>27357.859583229598</c:v>
                </c:pt>
                <c:pt idx="34">
                  <c:v>23449.593928482511</c:v>
                </c:pt>
                <c:pt idx="35">
                  <c:v>19541.328273735428</c:v>
                </c:pt>
                <c:pt idx="36">
                  <c:v>15633.062618988342</c:v>
                </c:pt>
                <c:pt idx="37">
                  <c:v>11724.796964241255</c:v>
                </c:pt>
                <c:pt idx="38">
                  <c:v>7816.5313094941712</c:v>
                </c:pt>
                <c:pt idx="39">
                  <c:v>3908.2656547470856</c:v>
                </c:pt>
                <c:pt idx="40" formatCode="General">
                  <c:v>0</c:v>
                </c:pt>
              </c:numCache>
            </c:numRef>
          </c:xVal>
          <c:yVal>
            <c:numRef>
              <c:f>SLC!$E$11:$E$51</c:f>
              <c:numCache>
                <c:formatCode>0.0</c:formatCode>
                <c:ptCount val="41"/>
                <c:pt idx="0">
                  <c:v>484.20355422088215</c:v>
                </c:pt>
                <c:pt idx="1">
                  <c:v>484.20355422088215</c:v>
                </c:pt>
                <c:pt idx="2">
                  <c:v>484.20355422088215</c:v>
                </c:pt>
                <c:pt idx="3">
                  <c:v>484.20355422088215</c:v>
                </c:pt>
                <c:pt idx="4">
                  <c:v>484.20355422088215</c:v>
                </c:pt>
                <c:pt idx="5">
                  <c:v>484.20355422088215</c:v>
                </c:pt>
                <c:pt idx="6">
                  <c:v>484.20355422088215</c:v>
                </c:pt>
                <c:pt idx="7">
                  <c:v>484.20355422088215</c:v>
                </c:pt>
                <c:pt idx="8">
                  <c:v>484.20355422088215</c:v>
                </c:pt>
                <c:pt idx="9">
                  <c:v>484.20355422088215</c:v>
                </c:pt>
                <c:pt idx="10">
                  <c:v>484.20355422088215</c:v>
                </c:pt>
                <c:pt idx="11">
                  <c:v>484.20355422088215</c:v>
                </c:pt>
                <c:pt idx="12">
                  <c:v>484.20355422088215</c:v>
                </c:pt>
                <c:pt idx="13">
                  <c:v>484.20355422088215</c:v>
                </c:pt>
                <c:pt idx="14">
                  <c:v>484.20355422088215</c:v>
                </c:pt>
                <c:pt idx="15">
                  <c:v>484.20355422088215</c:v>
                </c:pt>
                <c:pt idx="16">
                  <c:v>484.20355422088215</c:v>
                </c:pt>
                <c:pt idx="17">
                  <c:v>484.20355422088215</c:v>
                </c:pt>
                <c:pt idx="18">
                  <c:v>484.20355422088215</c:v>
                </c:pt>
                <c:pt idx="19">
                  <c:v>484.20355422088215</c:v>
                </c:pt>
                <c:pt idx="20">
                  <c:v>484.20355422088215</c:v>
                </c:pt>
                <c:pt idx="21">
                  <c:v>484.20355422088215</c:v>
                </c:pt>
                <c:pt idx="22">
                  <c:v>484.20355422088215</c:v>
                </c:pt>
                <c:pt idx="23">
                  <c:v>484.20355422088215</c:v>
                </c:pt>
                <c:pt idx="24">
                  <c:v>484.20355422088215</c:v>
                </c:pt>
                <c:pt idx="25">
                  <c:v>484.20355422088215</c:v>
                </c:pt>
                <c:pt idx="26">
                  <c:v>484.20355422088215</c:v>
                </c:pt>
                <c:pt idx="27">
                  <c:v>484.20355422088215</c:v>
                </c:pt>
                <c:pt idx="28">
                  <c:v>484.20355422088215</c:v>
                </c:pt>
                <c:pt idx="29">
                  <c:v>484.20355422088215</c:v>
                </c:pt>
                <c:pt idx="30">
                  <c:v>484.20355422088215</c:v>
                </c:pt>
                <c:pt idx="31">
                  <c:v>484.20355422088215</c:v>
                </c:pt>
                <c:pt idx="32">
                  <c:v>484.20355422088215</c:v>
                </c:pt>
                <c:pt idx="33">
                  <c:v>484.20355422088215</c:v>
                </c:pt>
                <c:pt idx="34">
                  <c:v>484.20355422088215</c:v>
                </c:pt>
                <c:pt idx="35">
                  <c:v>484.20355422088215</c:v>
                </c:pt>
                <c:pt idx="36">
                  <c:v>484.20355422088215</c:v>
                </c:pt>
                <c:pt idx="37">
                  <c:v>484.20355422088215</c:v>
                </c:pt>
                <c:pt idx="38">
                  <c:v>484.20355422088215</c:v>
                </c:pt>
                <c:pt idx="39">
                  <c:v>484.20355422088215</c:v>
                </c:pt>
                <c:pt idx="40">
                  <c:v>484.20355422088215</c:v>
                </c:pt>
              </c:numCache>
            </c:numRef>
          </c:yVal>
          <c:smooth val="1"/>
          <c:extLst>
            <c:ext xmlns:c16="http://schemas.microsoft.com/office/drawing/2014/chart" uri="{C3380CC4-5D6E-409C-BE32-E72D297353CC}">
              <c16:uniqueId val="{00000003-AA20-48A3-9A33-76B16521F72B}"/>
            </c:ext>
          </c:extLst>
        </c:ser>
        <c:dLbls>
          <c:showLegendKey val="0"/>
          <c:showVal val="0"/>
          <c:showCatName val="0"/>
          <c:showSerName val="0"/>
          <c:showPercent val="0"/>
          <c:showBubbleSize val="0"/>
        </c:dLbls>
        <c:axId val="205400320"/>
        <c:axId val="205400896"/>
      </c:scatterChart>
      <c:valAx>
        <c:axId val="205400320"/>
        <c:scaling>
          <c:orientation val="minMax"/>
          <c:max val="100000"/>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n-US" sz="1200">
                    <a:solidFill>
                      <a:sysClr val="windowText" lastClr="000000"/>
                    </a:solidFill>
                  </a:rPr>
                  <a:t>Water Quantity, af</a:t>
                </a:r>
              </a:p>
            </c:rich>
          </c:tx>
          <c:layout>
            <c:manualLayout>
              <c:xMode val="edge"/>
              <c:yMode val="edge"/>
              <c:x val="0.38920713035870519"/>
              <c:y val="0.88388815981335667"/>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title>
        <c:numFmt formatCode="#,##0" sourceLinked="0"/>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crossAx val="205400896"/>
        <c:crosses val="autoZero"/>
        <c:crossBetween val="midCat"/>
        <c:majorUnit val="25000"/>
      </c:valAx>
      <c:valAx>
        <c:axId val="205400896"/>
        <c:scaling>
          <c:orientation val="minMax"/>
          <c:max val="3000"/>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n-US" sz="1200">
                    <a:solidFill>
                      <a:sysClr val="windowText" lastClr="000000"/>
                    </a:solidFill>
                  </a:rPr>
                  <a:t>Price, $/af</a:t>
                </a:r>
              </a:p>
            </c:rich>
          </c:tx>
          <c:layout>
            <c:manualLayout>
              <c:xMode val="edge"/>
              <c:yMode val="edge"/>
              <c:x val="1.3887795275590547E-3"/>
              <c:y val="0.25936671916010501"/>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crossAx val="205400320"/>
        <c:crosses val="autoZero"/>
        <c:crossBetween val="midCat"/>
      </c:valAx>
      <c:spPr>
        <a:noFill/>
        <a:ln>
          <a:solidFill>
            <a:schemeClr val="tx1"/>
          </a:solidFill>
        </a:ln>
        <a:effectLst/>
      </c:spPr>
    </c:plotArea>
    <c:legend>
      <c:legendPos val="b"/>
      <c:layout>
        <c:manualLayout>
          <c:xMode val="edge"/>
          <c:yMode val="edge"/>
          <c:x val="0.49820570866141733"/>
          <c:y val="4.3467086614173235E-2"/>
          <c:w val="0.39485006561679792"/>
          <c:h val="0.36621774278215224"/>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legend>
    <c:plotVisOnly val="1"/>
    <c:dispBlanksAs val="zero"/>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147244094488188"/>
          <c:y val="3.9960104986876639E-2"/>
          <c:w val="0.65752755905511817"/>
          <c:h val="0.73334173228346444"/>
        </c:manualLayout>
      </c:layout>
      <c:scatterChart>
        <c:scatterStyle val="smoothMarker"/>
        <c:varyColors val="0"/>
        <c:ser>
          <c:idx val="1"/>
          <c:order val="0"/>
          <c:tx>
            <c:strRef>
              <c:f>Provo!$F$10</c:f>
              <c:strCache>
                <c:ptCount val="1"/>
                <c:pt idx="0">
                  <c:v>Summer</c:v>
                </c:pt>
              </c:strCache>
            </c:strRef>
          </c:tx>
          <c:spPr>
            <a:ln w="12700" cap="rnd">
              <a:solidFill>
                <a:schemeClr val="accent6">
                  <a:lumMod val="50000"/>
                </a:schemeClr>
              </a:solidFill>
              <a:round/>
            </a:ln>
            <a:effectLst/>
          </c:spPr>
          <c:marker>
            <c:symbol val="none"/>
          </c:marker>
          <c:xVal>
            <c:numRef>
              <c:f>Provo!$B$12:$B$48</c:f>
              <c:numCache>
                <c:formatCode>0.0</c:formatCode>
                <c:ptCount val="37"/>
                <c:pt idx="0">
                  <c:v>75999.775465587358</c:v>
                </c:pt>
                <c:pt idx="1">
                  <c:v>74099.781078947679</c:v>
                </c:pt>
                <c:pt idx="2">
                  <c:v>72199.786692307986</c:v>
                </c:pt>
                <c:pt idx="3">
                  <c:v>70299.792305668307</c:v>
                </c:pt>
                <c:pt idx="4">
                  <c:v>68399.797919028628</c:v>
                </c:pt>
                <c:pt idx="5">
                  <c:v>66499.803532388934</c:v>
                </c:pt>
                <c:pt idx="6">
                  <c:v>64599.809145749256</c:v>
                </c:pt>
                <c:pt idx="7">
                  <c:v>62699.814759109569</c:v>
                </c:pt>
                <c:pt idx="8">
                  <c:v>60799.820372469883</c:v>
                </c:pt>
                <c:pt idx="9">
                  <c:v>58899.825985830197</c:v>
                </c:pt>
                <c:pt idx="10">
                  <c:v>56999.831599190511</c:v>
                </c:pt>
                <c:pt idx="11">
                  <c:v>55099.837212550825</c:v>
                </c:pt>
                <c:pt idx="12">
                  <c:v>53199.842825911146</c:v>
                </c:pt>
                <c:pt idx="13">
                  <c:v>51299.84843927146</c:v>
                </c:pt>
                <c:pt idx="14">
                  <c:v>49399.854052631774</c:v>
                </c:pt>
                <c:pt idx="15">
                  <c:v>47499.859665992088</c:v>
                </c:pt>
                <c:pt idx="16">
                  <c:v>45599.865279352402</c:v>
                </c:pt>
                <c:pt idx="17">
                  <c:v>43699.870892712715</c:v>
                </c:pt>
                <c:pt idx="18">
                  <c:v>41799.876506073037</c:v>
                </c:pt>
                <c:pt idx="19">
                  <c:v>39899.88211943335</c:v>
                </c:pt>
                <c:pt idx="20">
                  <c:v>37999.887732793664</c:v>
                </c:pt>
                <c:pt idx="21">
                  <c:v>36099.893346153978</c:v>
                </c:pt>
                <c:pt idx="22">
                  <c:v>34199.898959514299</c:v>
                </c:pt>
                <c:pt idx="23">
                  <c:v>32299.904572874613</c:v>
                </c:pt>
                <c:pt idx="24">
                  <c:v>30399.910186234934</c:v>
                </c:pt>
                <c:pt idx="25">
                  <c:v>28499.915799595248</c:v>
                </c:pt>
                <c:pt idx="26">
                  <c:v>26599.921412955562</c:v>
                </c:pt>
                <c:pt idx="27">
                  <c:v>24699.927026315883</c:v>
                </c:pt>
                <c:pt idx="28">
                  <c:v>22799.932639676197</c:v>
                </c:pt>
                <c:pt idx="29">
                  <c:v>20899.938253036518</c:v>
                </c:pt>
                <c:pt idx="30">
                  <c:v>18999.943866396832</c:v>
                </c:pt>
                <c:pt idx="31">
                  <c:v>17099.94947975715</c:v>
                </c:pt>
                <c:pt idx="32">
                  <c:v>15199.955093117467</c:v>
                </c:pt>
                <c:pt idx="33">
                  <c:v>13299.960706477781</c:v>
                </c:pt>
                <c:pt idx="34">
                  <c:v>11399.966319838099</c:v>
                </c:pt>
                <c:pt idx="35">
                  <c:v>9499.9719331984161</c:v>
                </c:pt>
                <c:pt idx="36">
                  <c:v>7599.9775465587336</c:v>
                </c:pt>
              </c:numCache>
            </c:numRef>
          </c:xVal>
          <c:yVal>
            <c:numRef>
              <c:f>Provo!$F$12:$F$48</c:f>
              <c:numCache>
                <c:formatCode>0.0</c:formatCode>
                <c:ptCount val="37"/>
                <c:pt idx="0">
                  <c:v>110.74144241138455</c:v>
                </c:pt>
                <c:pt idx="1">
                  <c:v>114.82008598845115</c:v>
                </c:pt>
                <c:pt idx="2">
                  <c:v>119.16085122380191</c:v>
                </c:pt>
                <c:pt idx="3">
                  <c:v>123.78816614444759</c:v>
                </c:pt>
                <c:pt idx="4">
                  <c:v>128.72948137534888</c:v>
                </c:pt>
                <c:pt idx="5">
                  <c:v>134.0157417553537</c:v>
                </c:pt>
                <c:pt idx="6">
                  <c:v>139.68194767069696</c:v>
                </c:pt>
                <c:pt idx="7">
                  <c:v>145.7678264291072</c:v>
                </c:pt>
                <c:pt idx="8">
                  <c:v>152.3186393849862</c:v>
                </c:pt>
                <c:pt idx="9">
                  <c:v>159.38615756299572</c:v>
                </c:pt>
                <c:pt idx="10">
                  <c:v>167.02984779091176</c:v>
                </c:pt>
                <c:pt idx="11">
                  <c:v>175.31832364918949</c:v>
                </c:pt>
                <c:pt idx="12">
                  <c:v>184.33113201211648</c:v>
                </c:pt>
                <c:pt idx="13">
                  <c:v>194.16096821687324</c:v>
                </c:pt>
                <c:pt idx="14">
                  <c:v>204.91644329426464</c:v>
                </c:pt>
                <c:pt idx="15">
                  <c:v>216.72556864971284</c:v>
                </c:pt>
                <c:pt idx="16">
                  <c:v>229.74018215946168</c:v>
                </c:pt>
                <c:pt idx="17">
                  <c:v>244.14162244727601</c:v>
                </c:pt>
                <c:pt idx="18">
                  <c:v>260.14807671884836</c:v>
                </c:pt>
                <c:pt idx="19">
                  <c:v>278.02419990824637</c:v>
                </c:pt>
                <c:pt idx="20">
                  <c:v>298.09385734773554</c:v>
                </c:pt>
                <c:pt idx="21">
                  <c:v>320.75722523270116</c:v>
                </c:pt>
                <c:pt idx="22">
                  <c:v>346.51406756109145</c:v>
                </c:pt>
                <c:pt idx="23">
                  <c:v>375.99592055450756</c:v>
                </c:pt>
                <c:pt idx="24">
                  <c:v>410.01137217950281</c:v>
                </c:pt>
                <c:pt idx="25">
                  <c:v>449.61100863428192</c:v>
                </c:pt>
                <c:pt idx="26">
                  <c:v>496.18261216649586</c:v>
                </c:pt>
                <c:pt idx="27">
                  <c:v>551.59416100657631</c:v>
                </c:pt>
                <c:pt idx="28">
                  <c:v>618.41471084762441</c:v>
                </c:pt>
                <c:pt idx="29">
                  <c:v>700.26669313767025</c:v>
                </c:pt>
                <c:pt idx="30">
                  <c:v>802.40916005367899</c:v>
                </c:pt>
                <c:pt idx="31">
                  <c:v>932.74670056058892</c:v>
                </c:pt>
                <c:pt idx="32">
                  <c:v>1103.6687695956994</c:v>
                </c:pt>
                <c:pt idx="33">
                  <c:v>1335.6245465914253</c:v>
                </c:pt>
                <c:pt idx="34">
                  <c:v>1664.6489569130015</c:v>
                </c:pt>
                <c:pt idx="35">
                  <c:v>2159.9252861724281</c:v>
                </c:pt>
                <c:pt idx="36">
                  <c:v>2970.8560192023356</c:v>
                </c:pt>
              </c:numCache>
            </c:numRef>
          </c:yVal>
          <c:smooth val="1"/>
          <c:extLst>
            <c:ext xmlns:c16="http://schemas.microsoft.com/office/drawing/2014/chart" uri="{C3380CC4-5D6E-409C-BE32-E72D297353CC}">
              <c16:uniqueId val="{00000000-D7B1-42FE-BA22-E88431DE7BA7}"/>
            </c:ext>
          </c:extLst>
        </c:ser>
        <c:ser>
          <c:idx val="0"/>
          <c:order val="1"/>
          <c:tx>
            <c:strRef>
              <c:f>Provo!$G$10</c:f>
              <c:strCache>
                <c:ptCount val="1"/>
                <c:pt idx="0">
                  <c:v>Winter</c:v>
                </c:pt>
              </c:strCache>
            </c:strRef>
          </c:tx>
          <c:spPr>
            <a:ln w="12700" cap="rnd">
              <a:solidFill>
                <a:schemeClr val="tx2"/>
              </a:solidFill>
              <a:round/>
            </a:ln>
            <a:effectLst/>
          </c:spPr>
          <c:marker>
            <c:symbol val="none"/>
          </c:marker>
          <c:xVal>
            <c:numRef>
              <c:f>Provo!$C$12:$C$45</c:f>
              <c:numCache>
                <c:formatCode>0.0</c:formatCode>
                <c:ptCount val="34"/>
                <c:pt idx="0">
                  <c:v>36642.748885193905</c:v>
                </c:pt>
                <c:pt idx="1">
                  <c:v>35726.680163064062</c:v>
                </c:pt>
                <c:pt idx="2">
                  <c:v>34810.611440934212</c:v>
                </c:pt>
                <c:pt idx="3">
                  <c:v>33894.542718804361</c:v>
                </c:pt>
                <c:pt idx="4">
                  <c:v>32978.473996674511</c:v>
                </c:pt>
                <c:pt idx="5">
                  <c:v>32062.405274544668</c:v>
                </c:pt>
                <c:pt idx="6">
                  <c:v>31146.336552414818</c:v>
                </c:pt>
                <c:pt idx="7">
                  <c:v>30230.267830284971</c:v>
                </c:pt>
                <c:pt idx="8">
                  <c:v>29314.19910815512</c:v>
                </c:pt>
                <c:pt idx="9">
                  <c:v>28398.130386025274</c:v>
                </c:pt>
                <c:pt idx="10">
                  <c:v>27482.061663895427</c:v>
                </c:pt>
                <c:pt idx="11">
                  <c:v>26565.992941765577</c:v>
                </c:pt>
                <c:pt idx="12">
                  <c:v>25649.92421963573</c:v>
                </c:pt>
                <c:pt idx="13">
                  <c:v>24733.855497505883</c:v>
                </c:pt>
                <c:pt idx="14">
                  <c:v>23817.786775376033</c:v>
                </c:pt>
                <c:pt idx="15">
                  <c:v>22901.718053246186</c:v>
                </c:pt>
                <c:pt idx="16">
                  <c:v>21985.649331116336</c:v>
                </c:pt>
                <c:pt idx="17">
                  <c:v>21069.580608986489</c:v>
                </c:pt>
                <c:pt idx="18">
                  <c:v>20153.511886856642</c:v>
                </c:pt>
                <c:pt idx="19">
                  <c:v>19237.443164726792</c:v>
                </c:pt>
                <c:pt idx="20">
                  <c:v>18321.374442596945</c:v>
                </c:pt>
                <c:pt idx="21">
                  <c:v>17405.305720467099</c:v>
                </c:pt>
                <c:pt idx="22">
                  <c:v>16489.236998337252</c:v>
                </c:pt>
                <c:pt idx="23">
                  <c:v>15573.168276207403</c:v>
                </c:pt>
                <c:pt idx="24">
                  <c:v>14657.099554077557</c:v>
                </c:pt>
                <c:pt idx="25">
                  <c:v>13741.030831947708</c:v>
                </c:pt>
                <c:pt idx="26">
                  <c:v>12824.962109817861</c:v>
                </c:pt>
                <c:pt idx="27">
                  <c:v>11908.893387688015</c:v>
                </c:pt>
                <c:pt idx="28">
                  <c:v>10992.824665558166</c:v>
                </c:pt>
                <c:pt idx="29">
                  <c:v>10076.755943428321</c:v>
                </c:pt>
                <c:pt idx="30">
                  <c:v>9160.6872212984727</c:v>
                </c:pt>
                <c:pt idx="31">
                  <c:v>8244.6184991686259</c:v>
                </c:pt>
                <c:pt idx="32">
                  <c:v>7328.5497770387783</c:v>
                </c:pt>
                <c:pt idx="33">
                  <c:v>6412.4810549089307</c:v>
                </c:pt>
              </c:numCache>
            </c:numRef>
          </c:xVal>
          <c:yVal>
            <c:numRef>
              <c:f>Provo!$G$12:$G$45</c:f>
              <c:numCache>
                <c:formatCode>0.0</c:formatCode>
                <c:ptCount val="34"/>
                <c:pt idx="0">
                  <c:v>47.640616945724524</c:v>
                </c:pt>
                <c:pt idx="1">
                  <c:v>50.940792276737305</c:v>
                </c:pt>
                <c:pt idx="2">
                  <c:v>54.564431926695676</c:v>
                </c:pt>
                <c:pt idx="3">
                  <c:v>58.553048703351024</c:v>
                </c:pt>
                <c:pt idx="4">
                  <c:v>62.954813150846114</c:v>
                </c:pt>
                <c:pt idx="5">
                  <c:v>67.825847035510293</c:v>
                </c:pt>
                <c:pt idx="6">
                  <c:v>73.23181461963101</c:v>
                </c:pt>
                <c:pt idx="7">
                  <c:v>79.249891643704501</c:v>
                </c:pt>
                <c:pt idx="8">
                  <c:v>85.971216630913844</c:v>
                </c:pt>
                <c:pt idx="9">
                  <c:v>93.503962518764325</c:v>
                </c:pt>
                <c:pt idx="10">
                  <c:v>101.97721217752387</c:v>
                </c:pt>
                <c:pt idx="11">
                  <c:v>111.54588411143845</c:v>
                </c:pt>
                <c:pt idx="12">
                  <c:v>122.39704190456348</c:v>
                </c:pt>
                <c:pt idx="13">
                  <c:v>134.7580436582991</c:v>
                </c:pt>
                <c:pt idx="14">
                  <c:v>148.90716211860922</c:v>
                </c:pt>
                <c:pt idx="15">
                  <c:v>165.18755728147141</c:v>
                </c:pt>
                <c:pt idx="16">
                  <c:v>184.02584940322438</c:v>
                </c:pt>
                <c:pt idx="17">
                  <c:v>205.95708177084211</c:v>
                </c:pt>
                <c:pt idx="18">
                  <c:v>231.6586754042348</c:v>
                </c:pt>
                <c:pt idx="19">
                  <c:v>261.99721818092877</c:v>
                </c:pt>
                <c:pt idx="20">
                  <c:v>298.09385734773554</c:v>
                </c:pt>
                <c:pt idx="21">
                  <c:v>341.41711484440191</c:v>
                </c:pt>
                <c:pt idx="22">
                  <c:v>393.91687794727119</c:v>
                </c:pt>
                <c:pt idx="23">
                  <c:v>458.22148200579284</c:v>
                </c:pt>
                <c:pt idx="24">
                  <c:v>537.93366310901274</c:v>
                </c:pt>
                <c:pt idx="25">
                  <c:v>638.08536682467707</c:v>
                </c:pt>
                <c:pt idx="26">
                  <c:v>765.85503480886712</c:v>
                </c:pt>
                <c:pt idx="27">
                  <c:v>931.73248350690028</c:v>
                </c:pt>
                <c:pt idx="28">
                  <c:v>1151.4749139961282</c:v>
                </c:pt>
                <c:pt idx="29">
                  <c:v>1449.5200223370057</c:v>
                </c:pt>
                <c:pt idx="30">
                  <c:v>1865.2140439257428</c:v>
                </c:pt>
                <c:pt idx="31">
                  <c:v>2464.7917921687908</c:v>
                </c:pt>
                <c:pt idx="32">
                  <c:v>3365.9245180651214</c:v>
                </c:pt>
                <c:pt idx="33">
                  <c:v>4792.0597198699334</c:v>
                </c:pt>
              </c:numCache>
            </c:numRef>
          </c:yVal>
          <c:smooth val="1"/>
          <c:extLst>
            <c:ext xmlns:c16="http://schemas.microsoft.com/office/drawing/2014/chart" uri="{C3380CC4-5D6E-409C-BE32-E72D297353CC}">
              <c16:uniqueId val="{00000001-D7B1-42FE-BA22-E88431DE7BA7}"/>
            </c:ext>
          </c:extLst>
        </c:ser>
        <c:ser>
          <c:idx val="2"/>
          <c:order val="2"/>
          <c:tx>
            <c:strRef>
              <c:f>Provo!$H$10</c:f>
              <c:strCache>
                <c:ptCount val="1"/>
                <c:pt idx="0">
                  <c:v>Fall, Spring</c:v>
                </c:pt>
              </c:strCache>
            </c:strRef>
          </c:tx>
          <c:spPr>
            <a:ln w="12700" cap="rnd">
              <a:solidFill>
                <a:srgbClr val="FFC000"/>
              </a:solidFill>
              <a:round/>
            </a:ln>
            <a:effectLst/>
          </c:spPr>
          <c:marker>
            <c:symbol val="none"/>
          </c:marker>
          <c:xVal>
            <c:numRef>
              <c:f>Provo!$D$12:$D$47</c:f>
              <c:numCache>
                <c:formatCode>0.0</c:formatCode>
                <c:ptCount val="36"/>
                <c:pt idx="0">
                  <c:v>51571.276208791423</c:v>
                </c:pt>
                <c:pt idx="1">
                  <c:v>50281.994303571635</c:v>
                </c:pt>
                <c:pt idx="2">
                  <c:v>48992.712398351854</c:v>
                </c:pt>
                <c:pt idx="3">
                  <c:v>47703.430493132066</c:v>
                </c:pt>
                <c:pt idx="4">
                  <c:v>46414.148587912277</c:v>
                </c:pt>
                <c:pt idx="5">
                  <c:v>45124.866682692496</c:v>
                </c:pt>
                <c:pt idx="6">
                  <c:v>43835.584777472708</c:v>
                </c:pt>
                <c:pt idx="7">
                  <c:v>42546.30287225292</c:v>
                </c:pt>
                <c:pt idx="8">
                  <c:v>41257.020967033131</c:v>
                </c:pt>
                <c:pt idx="9">
                  <c:v>39967.73906181335</c:v>
                </c:pt>
                <c:pt idx="10">
                  <c:v>38678.457156593562</c:v>
                </c:pt>
                <c:pt idx="11">
                  <c:v>37389.175251373774</c:v>
                </c:pt>
                <c:pt idx="12">
                  <c:v>36099.893346153993</c:v>
                </c:pt>
                <c:pt idx="13">
                  <c:v>34810.611440934204</c:v>
                </c:pt>
                <c:pt idx="14">
                  <c:v>33521.329535714416</c:v>
                </c:pt>
                <c:pt idx="15">
                  <c:v>32232.047630494631</c:v>
                </c:pt>
                <c:pt idx="16">
                  <c:v>30942.765725274847</c:v>
                </c:pt>
                <c:pt idx="17">
                  <c:v>29653.483820055058</c:v>
                </c:pt>
                <c:pt idx="18">
                  <c:v>28364.201914835274</c:v>
                </c:pt>
                <c:pt idx="19">
                  <c:v>27074.920009615485</c:v>
                </c:pt>
                <c:pt idx="20">
                  <c:v>25785.638104395701</c:v>
                </c:pt>
                <c:pt idx="21">
                  <c:v>24496.356199175916</c:v>
                </c:pt>
                <c:pt idx="22">
                  <c:v>23207.074293956131</c:v>
                </c:pt>
                <c:pt idx="23">
                  <c:v>21917.792388736347</c:v>
                </c:pt>
                <c:pt idx="24">
                  <c:v>20628.510483516562</c:v>
                </c:pt>
                <c:pt idx="25">
                  <c:v>19339.228578296774</c:v>
                </c:pt>
                <c:pt idx="26">
                  <c:v>18049.946673076989</c:v>
                </c:pt>
                <c:pt idx="27">
                  <c:v>16760.664767857204</c:v>
                </c:pt>
                <c:pt idx="28">
                  <c:v>15471.38286263742</c:v>
                </c:pt>
                <c:pt idx="29">
                  <c:v>14182.100957417637</c:v>
                </c:pt>
                <c:pt idx="30">
                  <c:v>12892.81905219785</c:v>
                </c:pt>
                <c:pt idx="31">
                  <c:v>11603.537146978066</c:v>
                </c:pt>
                <c:pt idx="32">
                  <c:v>10314.255241758281</c:v>
                </c:pt>
                <c:pt idx="33">
                  <c:v>9024.9733365384946</c:v>
                </c:pt>
                <c:pt idx="34">
                  <c:v>7735.6914313187099</c:v>
                </c:pt>
                <c:pt idx="35">
                  <c:v>6446.4095260989252</c:v>
                </c:pt>
              </c:numCache>
            </c:numRef>
          </c:xVal>
          <c:yVal>
            <c:numRef>
              <c:f>Provo!$H$12:$H$47</c:f>
              <c:numCache>
                <c:formatCode>0.0</c:formatCode>
                <c:ptCount val="36"/>
                <c:pt idx="0">
                  <c:v>71.395793283081403</c:v>
                </c:pt>
                <c:pt idx="1">
                  <c:v>75.221764900849479</c:v>
                </c:pt>
                <c:pt idx="2">
                  <c:v>79.360306084217868</c:v>
                </c:pt>
                <c:pt idx="3">
                  <c:v>83.846219126579001</c:v>
                </c:pt>
                <c:pt idx="4">
                  <c:v>88.719271042025071</c:v>
                </c:pt>
                <c:pt idx="5">
                  <c:v>94.025066256541152</c:v>
                </c:pt>
                <c:pt idx="6">
                  <c:v>99.816103327707793</c:v>
                </c:pt>
                <c:pt idx="7">
                  <c:v>106.15306135497585</c:v>
                </c:pt>
                <c:pt idx="8">
                  <c:v>113.10637488109769</c:v>
                </c:pt>
                <c:pt idx="9">
                  <c:v>120.7581735586319</c:v>
                </c:pt>
                <c:pt idx="10">
                  <c:v>129.2046862890324</c:v>
                </c:pt>
                <c:pt idx="11">
                  <c:v>138.55924124908478</c:v>
                </c:pt>
                <c:pt idx="12">
                  <c:v>148.95603652817061</c:v>
                </c:pt>
                <c:pt idx="13">
                  <c:v>160.55491585234407</c:v>
                </c:pt>
                <c:pt idx="14">
                  <c:v>173.54746719974139</c:v>
                </c:pt>
                <c:pt idx="15">
                  <c:v>188.16487965889144</c:v>
                </c:pt>
                <c:pt idx="16">
                  <c:v>204.68816175006992</c:v>
                </c:pt>
                <c:pt idx="17">
                  <c:v>223.4615673515658</c:v>
                </c:pt>
                <c:pt idx="18">
                  <c:v>244.91043194662791</c:v>
                </c:pt>
                <c:pt idx="19">
                  <c:v>269.56515342817266</c:v>
                </c:pt>
                <c:pt idx="20">
                  <c:v>298.09385734773554</c:v>
                </c:pt>
                <c:pt idx="21">
                  <c:v>331.34753005885187</c:v>
                </c:pt>
                <c:pt idx="22">
                  <c:v>370.42336123553457</c:v>
                </c:pt>
                <c:pt idx="23">
                  <c:v>416.75518819996591</c:v>
                </c:pt>
                <c:pt idx="24">
                  <c:v>472.24512857839539</c:v>
                </c:pt>
                <c:pt idx="25">
                  <c:v>539.45928117348012</c:v>
                </c:pt>
                <c:pt idx="26">
                  <c:v>621.92571105494721</c:v>
                </c:pt>
                <c:pt idx="27">
                  <c:v>724.60058991682308</c:v>
                </c:pt>
                <c:pt idx="28">
                  <c:v>854.62015174435101</c:v>
                </c:pt>
                <c:pt idx="29">
                  <c:v>1022.5573805756756</c:v>
                </c:pt>
                <c:pt idx="30">
                  <c:v>1244.6104133352146</c:v>
                </c:pt>
                <c:pt idx="31">
                  <c:v>1546.6027272026979</c:v>
                </c:pt>
                <c:pt idx="32">
                  <c:v>1971.7320239506278</c:v>
                </c:pt>
                <c:pt idx="33">
                  <c:v>2596.6828809791232</c:v>
                </c:pt>
                <c:pt idx="34">
                  <c:v>3568.2356884876763</c:v>
                </c:pt>
                <c:pt idx="35">
                  <c:v>5196.5347248851194</c:v>
                </c:pt>
              </c:numCache>
            </c:numRef>
          </c:yVal>
          <c:smooth val="1"/>
          <c:extLst>
            <c:ext xmlns:c16="http://schemas.microsoft.com/office/drawing/2014/chart" uri="{C3380CC4-5D6E-409C-BE32-E72D297353CC}">
              <c16:uniqueId val="{00000002-D7B1-42FE-BA22-E88431DE7BA7}"/>
            </c:ext>
          </c:extLst>
        </c:ser>
        <c:ser>
          <c:idx val="3"/>
          <c:order val="3"/>
          <c:tx>
            <c:strRef>
              <c:f>Provo!$E$10</c:f>
              <c:strCache>
                <c:ptCount val="1"/>
                <c:pt idx="0">
                  <c:v>2010 Price</c:v>
                </c:pt>
              </c:strCache>
            </c:strRef>
          </c:tx>
          <c:spPr>
            <a:ln w="19050" cap="rnd">
              <a:solidFill>
                <a:schemeClr val="tx1"/>
              </a:solidFill>
              <a:round/>
            </a:ln>
            <a:effectLst/>
          </c:spPr>
          <c:marker>
            <c:symbol val="none"/>
          </c:marker>
          <c:xVal>
            <c:numRef>
              <c:f>Provo!$B$11:$B$52</c:f>
              <c:numCache>
                <c:formatCode>0.0</c:formatCode>
                <c:ptCount val="42"/>
                <c:pt idx="0" formatCode="General">
                  <c:v>100000</c:v>
                </c:pt>
                <c:pt idx="1">
                  <c:v>75999.775465587358</c:v>
                </c:pt>
                <c:pt idx="2">
                  <c:v>74099.781078947679</c:v>
                </c:pt>
                <c:pt idx="3">
                  <c:v>72199.786692307986</c:v>
                </c:pt>
                <c:pt idx="4">
                  <c:v>70299.792305668307</c:v>
                </c:pt>
                <c:pt idx="5">
                  <c:v>68399.797919028628</c:v>
                </c:pt>
                <c:pt idx="6">
                  <c:v>66499.803532388934</c:v>
                </c:pt>
                <c:pt idx="7">
                  <c:v>64599.809145749256</c:v>
                </c:pt>
                <c:pt idx="8">
                  <c:v>62699.814759109569</c:v>
                </c:pt>
                <c:pt idx="9">
                  <c:v>60799.820372469883</c:v>
                </c:pt>
                <c:pt idx="10">
                  <c:v>58899.825985830197</c:v>
                </c:pt>
                <c:pt idx="11">
                  <c:v>56999.831599190511</c:v>
                </c:pt>
                <c:pt idx="12">
                  <c:v>55099.837212550825</c:v>
                </c:pt>
                <c:pt idx="13">
                  <c:v>53199.842825911146</c:v>
                </c:pt>
                <c:pt idx="14">
                  <c:v>51299.84843927146</c:v>
                </c:pt>
                <c:pt idx="15">
                  <c:v>49399.854052631774</c:v>
                </c:pt>
                <c:pt idx="16">
                  <c:v>47499.859665992088</c:v>
                </c:pt>
                <c:pt idx="17">
                  <c:v>45599.865279352402</c:v>
                </c:pt>
                <c:pt idx="18">
                  <c:v>43699.870892712715</c:v>
                </c:pt>
                <c:pt idx="19">
                  <c:v>41799.876506073037</c:v>
                </c:pt>
                <c:pt idx="20">
                  <c:v>39899.88211943335</c:v>
                </c:pt>
                <c:pt idx="21">
                  <c:v>37999.887732793664</c:v>
                </c:pt>
                <c:pt idx="22">
                  <c:v>36099.893346153978</c:v>
                </c:pt>
                <c:pt idx="23">
                  <c:v>34199.898959514299</c:v>
                </c:pt>
                <c:pt idx="24">
                  <c:v>32299.904572874613</c:v>
                </c:pt>
                <c:pt idx="25">
                  <c:v>30399.910186234934</c:v>
                </c:pt>
                <c:pt idx="26">
                  <c:v>28499.915799595248</c:v>
                </c:pt>
                <c:pt idx="27">
                  <c:v>26599.921412955562</c:v>
                </c:pt>
                <c:pt idx="28">
                  <c:v>24699.927026315883</c:v>
                </c:pt>
                <c:pt idx="29">
                  <c:v>22799.932639676197</c:v>
                </c:pt>
                <c:pt idx="30">
                  <c:v>20899.938253036518</c:v>
                </c:pt>
                <c:pt idx="31">
                  <c:v>18999.943866396832</c:v>
                </c:pt>
                <c:pt idx="32">
                  <c:v>17099.94947975715</c:v>
                </c:pt>
                <c:pt idx="33">
                  <c:v>15199.955093117467</c:v>
                </c:pt>
                <c:pt idx="34">
                  <c:v>13299.960706477781</c:v>
                </c:pt>
                <c:pt idx="35">
                  <c:v>11399.966319838099</c:v>
                </c:pt>
                <c:pt idx="36">
                  <c:v>9499.9719331984161</c:v>
                </c:pt>
                <c:pt idx="37">
                  <c:v>7599.9775465587336</c:v>
                </c:pt>
                <c:pt idx="38">
                  <c:v>5699.9831599190493</c:v>
                </c:pt>
                <c:pt idx="39">
                  <c:v>3799.9887732793668</c:v>
                </c:pt>
                <c:pt idx="40">
                  <c:v>1899.9943866396834</c:v>
                </c:pt>
                <c:pt idx="41" formatCode="General">
                  <c:v>0</c:v>
                </c:pt>
              </c:numCache>
            </c:numRef>
          </c:xVal>
          <c:yVal>
            <c:numRef>
              <c:f>Provo!$E$11:$E$52</c:f>
              <c:numCache>
                <c:formatCode>0.0</c:formatCode>
                <c:ptCount val="42"/>
                <c:pt idx="0">
                  <c:v>298.09385734773554</c:v>
                </c:pt>
                <c:pt idx="1">
                  <c:v>298.09385734773554</c:v>
                </c:pt>
                <c:pt idx="2">
                  <c:v>298.09385734773554</c:v>
                </c:pt>
                <c:pt idx="3">
                  <c:v>298.09385734773554</c:v>
                </c:pt>
                <c:pt idx="4">
                  <c:v>298.09385734773554</c:v>
                </c:pt>
                <c:pt idx="5">
                  <c:v>298.09385734773554</c:v>
                </c:pt>
                <c:pt idx="6">
                  <c:v>298.09385734773554</c:v>
                </c:pt>
                <c:pt idx="7">
                  <c:v>298.09385734773554</c:v>
                </c:pt>
                <c:pt idx="8">
                  <c:v>298.09385734773554</c:v>
                </c:pt>
                <c:pt idx="9">
                  <c:v>298.09385734773554</c:v>
                </c:pt>
                <c:pt idx="10">
                  <c:v>298.09385734773554</c:v>
                </c:pt>
                <c:pt idx="11">
                  <c:v>298.09385734773554</c:v>
                </c:pt>
                <c:pt idx="12">
                  <c:v>298.09385734773554</c:v>
                </c:pt>
                <c:pt idx="13">
                  <c:v>298.09385734773554</c:v>
                </c:pt>
                <c:pt idx="14">
                  <c:v>298.09385734773554</c:v>
                </c:pt>
                <c:pt idx="15">
                  <c:v>298.09385734773554</c:v>
                </c:pt>
                <c:pt idx="16">
                  <c:v>298.09385734773554</c:v>
                </c:pt>
                <c:pt idx="17">
                  <c:v>298.09385734773554</c:v>
                </c:pt>
                <c:pt idx="18">
                  <c:v>298.09385734773554</c:v>
                </c:pt>
                <c:pt idx="19">
                  <c:v>298.09385734773554</c:v>
                </c:pt>
                <c:pt idx="20">
                  <c:v>298.09385734773554</c:v>
                </c:pt>
                <c:pt idx="21">
                  <c:v>298.09385734773554</c:v>
                </c:pt>
                <c:pt idx="22">
                  <c:v>298.09385734773554</c:v>
                </c:pt>
                <c:pt idx="23">
                  <c:v>298.09385734773554</c:v>
                </c:pt>
                <c:pt idx="24">
                  <c:v>298.09385734773554</c:v>
                </c:pt>
                <c:pt idx="25">
                  <c:v>298.09385734773554</c:v>
                </c:pt>
                <c:pt idx="26">
                  <c:v>298.09385734773554</c:v>
                </c:pt>
                <c:pt idx="27">
                  <c:v>298.09385734773554</c:v>
                </c:pt>
                <c:pt idx="28">
                  <c:v>298.09385734773554</c:v>
                </c:pt>
                <c:pt idx="29">
                  <c:v>298.09385734773554</c:v>
                </c:pt>
                <c:pt idx="30">
                  <c:v>298.09385734773554</c:v>
                </c:pt>
                <c:pt idx="31">
                  <c:v>298.09385734773554</c:v>
                </c:pt>
                <c:pt idx="32">
                  <c:v>298.09385734773554</c:v>
                </c:pt>
                <c:pt idx="33">
                  <c:v>298.09385734773554</c:v>
                </c:pt>
                <c:pt idx="34">
                  <c:v>298.09385734773554</c:v>
                </c:pt>
                <c:pt idx="35">
                  <c:v>298.09385734773554</c:v>
                </c:pt>
                <c:pt idx="36">
                  <c:v>298.09385734773554</c:v>
                </c:pt>
                <c:pt idx="37">
                  <c:v>298.09385734773554</c:v>
                </c:pt>
                <c:pt idx="38">
                  <c:v>298.09385734773554</c:v>
                </c:pt>
                <c:pt idx="39">
                  <c:v>298.09385734773554</c:v>
                </c:pt>
                <c:pt idx="40">
                  <c:v>298.09385734773554</c:v>
                </c:pt>
                <c:pt idx="41">
                  <c:v>298.09385734773554</c:v>
                </c:pt>
              </c:numCache>
            </c:numRef>
          </c:yVal>
          <c:smooth val="1"/>
          <c:extLst>
            <c:ext xmlns:c16="http://schemas.microsoft.com/office/drawing/2014/chart" uri="{C3380CC4-5D6E-409C-BE32-E72D297353CC}">
              <c16:uniqueId val="{00000003-D7B1-42FE-BA22-E88431DE7BA7}"/>
            </c:ext>
          </c:extLst>
        </c:ser>
        <c:dLbls>
          <c:showLegendKey val="0"/>
          <c:showVal val="0"/>
          <c:showCatName val="0"/>
          <c:showSerName val="0"/>
          <c:showPercent val="0"/>
          <c:showBubbleSize val="0"/>
        </c:dLbls>
        <c:axId val="205526656"/>
        <c:axId val="205527232"/>
      </c:scatterChart>
      <c:valAx>
        <c:axId val="205526656"/>
        <c:scaling>
          <c:orientation val="minMax"/>
          <c:max val="100000"/>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n-US" sz="1200">
                    <a:solidFill>
                      <a:sysClr val="windowText" lastClr="000000"/>
                    </a:solidFill>
                  </a:rPr>
                  <a:t>Water Quantity, af</a:t>
                </a:r>
              </a:p>
            </c:rich>
          </c:tx>
          <c:layout>
            <c:manualLayout>
              <c:xMode val="edge"/>
              <c:yMode val="edge"/>
              <c:x val="0.38920713035870519"/>
              <c:y val="0.88388815981335667"/>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title>
        <c:numFmt formatCode="#,##0" sourceLinked="0"/>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crossAx val="205527232"/>
        <c:crosses val="autoZero"/>
        <c:crossBetween val="midCat"/>
        <c:majorUnit val="25000"/>
      </c:valAx>
      <c:valAx>
        <c:axId val="205527232"/>
        <c:scaling>
          <c:orientation val="minMax"/>
          <c:max val="3000"/>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n-US" sz="1200">
                    <a:solidFill>
                      <a:sysClr val="windowText" lastClr="000000"/>
                    </a:solidFill>
                  </a:rPr>
                  <a:t>Price, $/af</a:t>
                </a:r>
              </a:p>
            </c:rich>
          </c:tx>
          <c:layout>
            <c:manualLayout>
              <c:xMode val="edge"/>
              <c:yMode val="edge"/>
              <c:x val="1.3887795275590547E-3"/>
              <c:y val="0.27003338582677167"/>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crossAx val="205526656"/>
        <c:crosses val="autoZero"/>
        <c:crossBetween val="midCat"/>
      </c:valAx>
      <c:spPr>
        <a:noFill/>
        <a:ln>
          <a:solidFill>
            <a:schemeClr val="tx1"/>
          </a:solidFill>
        </a:ln>
        <a:effectLst/>
      </c:spPr>
    </c:plotArea>
    <c:legend>
      <c:legendPos val="b"/>
      <c:layout>
        <c:manualLayout>
          <c:xMode val="edge"/>
          <c:yMode val="edge"/>
          <c:x val="0.4954278215223098"/>
          <c:y val="3.8133753280839892E-2"/>
          <c:w val="0.39207217847769027"/>
          <c:h val="0.40888440944881893"/>
        </c:manualLayout>
      </c:layout>
      <c:overlay val="0"/>
      <c:spPr>
        <a:solidFill>
          <a:schemeClr val="bg1"/>
        </a:solid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legend>
    <c:plotVisOnly val="1"/>
    <c:dispBlanksAs val="zero"/>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99724409448819"/>
          <c:y val="3.9960104986876639E-2"/>
          <c:w val="0.73545472440944881"/>
          <c:h val="0.73334173228346444"/>
        </c:manualLayout>
      </c:layout>
      <c:scatterChart>
        <c:scatterStyle val="smoothMarker"/>
        <c:varyColors val="0"/>
        <c:ser>
          <c:idx val="1"/>
          <c:order val="0"/>
          <c:tx>
            <c:strRef>
              <c:f>SLC!$I$10</c:f>
              <c:strCache>
                <c:ptCount val="1"/>
                <c:pt idx="0">
                  <c:v>Summer</c:v>
                </c:pt>
              </c:strCache>
            </c:strRef>
          </c:tx>
          <c:spPr>
            <a:ln w="12700" cap="rnd">
              <a:solidFill>
                <a:schemeClr val="accent6">
                  <a:lumMod val="50000"/>
                </a:schemeClr>
              </a:solidFill>
              <a:round/>
            </a:ln>
            <a:effectLst/>
          </c:spPr>
          <c:marker>
            <c:symbol val="none"/>
          </c:marker>
          <c:xVal>
            <c:numRef>
              <c:f>SLC!$B$56:$B$73</c:f>
              <c:numCache>
                <c:formatCode>General</c:formatCode>
                <c:ptCount val="18"/>
                <c:pt idx="0">
                  <c:v>84.278626516072819</c:v>
                </c:pt>
                <c:pt idx="1">
                  <c:v>80.370360861325736</c:v>
                </c:pt>
                <c:pt idx="2">
                  <c:v>76.462095206578653</c:v>
                </c:pt>
                <c:pt idx="3">
                  <c:v>72.553829551831555</c:v>
                </c:pt>
                <c:pt idx="4">
                  <c:v>68.645563897084486</c:v>
                </c:pt>
                <c:pt idx="5">
                  <c:v>64.737298242337388</c:v>
                </c:pt>
                <c:pt idx="6">
                  <c:v>60.829032587590305</c:v>
                </c:pt>
                <c:pt idx="7">
                  <c:v>56.920766932843222</c:v>
                </c:pt>
                <c:pt idx="8">
                  <c:v>53.012501278096131</c:v>
                </c:pt>
                <c:pt idx="9">
                  <c:v>49.104235623349055</c:v>
                </c:pt>
                <c:pt idx="10">
                  <c:v>45.195969968601965</c:v>
                </c:pt>
                <c:pt idx="11">
                  <c:v>41.287704313854881</c:v>
                </c:pt>
                <c:pt idx="12">
                  <c:v>37.379438659107798</c:v>
                </c:pt>
                <c:pt idx="13">
                  <c:v>33.471173004360708</c:v>
                </c:pt>
                <c:pt idx="14">
                  <c:v>29.562907349613628</c:v>
                </c:pt>
                <c:pt idx="15">
                  <c:v>25.654641694866545</c:v>
                </c:pt>
                <c:pt idx="16">
                  <c:v>21.746376040119454</c:v>
                </c:pt>
                <c:pt idx="17">
                  <c:v>17.838110385372367</c:v>
                </c:pt>
              </c:numCache>
            </c:numRef>
          </c:xVal>
          <c:yVal>
            <c:numRef>
              <c:f>SLC!$E$56:$E$73</c:f>
              <c:numCache>
                <c:formatCode>General</c:formatCode>
                <c:ptCount val="18"/>
                <c:pt idx="0">
                  <c:v>0</c:v>
                </c:pt>
                <c:pt idx="1">
                  <c:v>1.9628399817946904</c:v>
                </c:pt>
                <c:pt idx="2">
                  <c:v>4.0790779428383068</c:v>
                </c:pt>
                <c:pt idx="3">
                  <c:v>6.3702766969567417</c:v>
                </c:pt>
                <c:pt idx="4">
                  <c:v>8.8625418782676881</c:v>
                </c:pt>
                <c:pt idx="5">
                  <c:v>11.587839366414073</c:v>
                </c:pt>
                <c:pt idx="6">
                  <c:v>14.585813971172453</c:v>
                </c:pt>
                <c:pt idx="7">
                  <c:v>17.906352318633022</c:v>
                </c:pt>
                <c:pt idx="8">
                  <c:v>21.61328008264929</c:v>
                </c:pt>
                <c:pt idx="9">
                  <c:v>25.789841132169865</c:v>
                </c:pt>
                <c:pt idx="10">
                  <c:v>30.547075194764027</c:v>
                </c:pt>
                <c:pt idx="11">
                  <c:v>36.03710698379259</c:v>
                </c:pt>
                <c:pt idx="12">
                  <c:v>42.475172015936913</c:v>
                </c:pt>
                <c:pt idx="13">
                  <c:v>50.178125028264716</c:v>
                </c:pt>
                <c:pt idx="14">
                  <c:v>59.636393021418883</c:v>
                </c:pt>
                <c:pt idx="15">
                  <c:v>71.660389583752092</c:v>
                </c:pt>
                <c:pt idx="16">
                  <c:v>87.714417393106132</c:v>
                </c:pt>
                <c:pt idx="17">
                  <c:v>110.8117080501907</c:v>
                </c:pt>
              </c:numCache>
            </c:numRef>
          </c:yVal>
          <c:smooth val="1"/>
          <c:extLst>
            <c:ext xmlns:c16="http://schemas.microsoft.com/office/drawing/2014/chart" uri="{C3380CC4-5D6E-409C-BE32-E72D297353CC}">
              <c16:uniqueId val="{00000000-3308-431B-84B6-1D819475171B}"/>
            </c:ext>
          </c:extLst>
        </c:ser>
        <c:ser>
          <c:idx val="0"/>
          <c:order val="1"/>
          <c:tx>
            <c:strRef>
              <c:f>SLC!$J$10</c:f>
              <c:strCache>
                <c:ptCount val="1"/>
                <c:pt idx="0">
                  <c:v>Winter</c:v>
                </c:pt>
              </c:strCache>
            </c:strRef>
          </c:tx>
          <c:spPr>
            <a:ln w="12700" cap="rnd">
              <a:solidFill>
                <a:schemeClr val="tx2"/>
              </a:solidFill>
              <a:round/>
            </a:ln>
            <a:effectLst/>
          </c:spPr>
          <c:marker>
            <c:symbol val="none"/>
          </c:marker>
          <c:xVal>
            <c:numRef>
              <c:f>SLC!$C$56:$C$73</c:f>
              <c:numCache>
                <c:formatCode>General</c:formatCode>
                <c:ptCount val="18"/>
                <c:pt idx="0">
                  <c:v>43.800160806192288</c:v>
                </c:pt>
                <c:pt idx="1">
                  <c:v>41.915818436939226</c:v>
                </c:pt>
                <c:pt idx="2">
                  <c:v>40.031476067686171</c:v>
                </c:pt>
                <c:pt idx="3">
                  <c:v>38.147133698433116</c:v>
                </c:pt>
                <c:pt idx="4">
                  <c:v>36.262791329180061</c:v>
                </c:pt>
                <c:pt idx="5">
                  <c:v>34.378448959926992</c:v>
                </c:pt>
                <c:pt idx="6">
                  <c:v>32.494106590673937</c:v>
                </c:pt>
                <c:pt idx="7">
                  <c:v>30.609764221420882</c:v>
                </c:pt>
                <c:pt idx="8">
                  <c:v>28.72542185216782</c:v>
                </c:pt>
                <c:pt idx="9">
                  <c:v>26.841079482914765</c:v>
                </c:pt>
                <c:pt idx="10">
                  <c:v>24.956737113661699</c:v>
                </c:pt>
                <c:pt idx="11">
                  <c:v>23.072394744408644</c:v>
                </c:pt>
                <c:pt idx="12">
                  <c:v>21.188052375155586</c:v>
                </c:pt>
                <c:pt idx="13">
                  <c:v>19.303710005902524</c:v>
                </c:pt>
                <c:pt idx="14">
                  <c:v>17.419367636649465</c:v>
                </c:pt>
                <c:pt idx="15">
                  <c:v>15.535025267396408</c:v>
                </c:pt>
                <c:pt idx="16">
                  <c:v>13.65068289814335</c:v>
                </c:pt>
                <c:pt idx="17">
                  <c:v>11.766340528890291</c:v>
                </c:pt>
              </c:numCache>
            </c:numRef>
          </c:xVal>
          <c:yVal>
            <c:numRef>
              <c:f>SLC!$F$56:$F$73</c:f>
              <c:numCache>
                <c:formatCode>General</c:formatCode>
                <c:ptCount val="18"/>
                <c:pt idx="0">
                  <c:v>0</c:v>
                </c:pt>
                <c:pt idx="1">
                  <c:v>0.97664158430172054</c:v>
                </c:pt>
                <c:pt idx="2">
                  <c:v>2.0993578717197492</c:v>
                </c:pt>
                <c:pt idx="3">
                  <c:v>3.4000536312573155</c:v>
                </c:pt>
                <c:pt idx="4">
                  <c:v>4.9200774880655977</c:v>
                </c:pt>
                <c:pt idx="5">
                  <c:v>6.7138493544114928</c:v>
                </c:pt>
                <c:pt idx="6">
                  <c:v>8.8542472129717176</c:v>
                </c:pt>
                <c:pt idx="7">
                  <c:v>11.440811909060058</c:v>
                </c:pt>
                <c:pt idx="8">
                  <c:v>14.612610192803924</c:v>
                </c:pt>
                <c:pt idx="9">
                  <c:v>18.569081394904224</c:v>
                </c:pt>
                <c:pt idx="10">
                  <c:v>23.605152326493414</c:v>
                </c:pt>
                <c:pt idx="11">
                  <c:v>30.173137021645786</c:v>
                </c:pt>
                <c:pt idx="12">
                  <c:v>38.997951275110609</c:v>
                </c:pt>
                <c:pt idx="13">
                  <c:v>51.306270351813644</c:v>
                </c:pt>
                <c:pt idx="14">
                  <c:v>69.321702799111563</c:v>
                </c:pt>
                <c:pt idx="15">
                  <c:v>97.455485943098608</c:v>
                </c:pt>
                <c:pt idx="16">
                  <c:v>145.61291030222239</c:v>
                </c:pt>
                <c:pt idx="17">
                  <c:v>240.48284105209038</c:v>
                </c:pt>
              </c:numCache>
            </c:numRef>
          </c:yVal>
          <c:smooth val="1"/>
          <c:extLst>
            <c:ext xmlns:c16="http://schemas.microsoft.com/office/drawing/2014/chart" uri="{C3380CC4-5D6E-409C-BE32-E72D297353CC}">
              <c16:uniqueId val="{00000001-3308-431B-84B6-1D819475171B}"/>
            </c:ext>
          </c:extLst>
        </c:ser>
        <c:ser>
          <c:idx val="2"/>
          <c:order val="2"/>
          <c:tx>
            <c:strRef>
              <c:f>SLC!$K$10</c:f>
              <c:strCache>
                <c:ptCount val="1"/>
                <c:pt idx="0">
                  <c:v>Fall, Spring</c:v>
                </c:pt>
              </c:strCache>
            </c:strRef>
          </c:tx>
          <c:spPr>
            <a:ln w="12700" cap="rnd">
              <a:solidFill>
                <a:srgbClr val="FFC000"/>
              </a:solidFill>
              <a:round/>
            </a:ln>
            <a:effectLst/>
          </c:spPr>
          <c:marker>
            <c:symbol val="none"/>
          </c:marker>
          <c:xVal>
            <c:numRef>
              <c:f>SLC!$D$56:$D$73</c:f>
              <c:numCache>
                <c:formatCode>General</c:formatCode>
                <c:ptCount val="18"/>
                <c:pt idx="0">
                  <c:v>59.154061592698703</c:v>
                </c:pt>
                <c:pt idx="1">
                  <c:v>56.502024184120316</c:v>
                </c:pt>
                <c:pt idx="2">
                  <c:v>53.849986775541943</c:v>
                </c:pt>
                <c:pt idx="3">
                  <c:v>51.197949366963563</c:v>
                </c:pt>
                <c:pt idx="4">
                  <c:v>48.545911958385183</c:v>
                </c:pt>
                <c:pt idx="5">
                  <c:v>45.893874549806803</c:v>
                </c:pt>
                <c:pt idx="6">
                  <c:v>43.241837141228423</c:v>
                </c:pt>
                <c:pt idx="7">
                  <c:v>40.58979973265005</c:v>
                </c:pt>
                <c:pt idx="8">
                  <c:v>37.937762324071663</c:v>
                </c:pt>
                <c:pt idx="9">
                  <c:v>35.28572491549329</c:v>
                </c:pt>
                <c:pt idx="10">
                  <c:v>32.63368750691491</c:v>
                </c:pt>
                <c:pt idx="11">
                  <c:v>29.981650098336527</c:v>
                </c:pt>
                <c:pt idx="12">
                  <c:v>27.32961268975815</c:v>
                </c:pt>
                <c:pt idx="13">
                  <c:v>24.677575281179774</c:v>
                </c:pt>
                <c:pt idx="14">
                  <c:v>22.025537872601387</c:v>
                </c:pt>
                <c:pt idx="15">
                  <c:v>19.37350046402301</c:v>
                </c:pt>
                <c:pt idx="16">
                  <c:v>16.721463055444634</c:v>
                </c:pt>
                <c:pt idx="17">
                  <c:v>14.069425646866252</c:v>
                </c:pt>
              </c:numCache>
            </c:numRef>
          </c:xVal>
          <c:yVal>
            <c:numRef>
              <c:f>SLC!$G$56:$G$73</c:f>
              <c:numCache>
                <c:formatCode>General</c:formatCode>
                <c:ptCount val="18"/>
                <c:pt idx="0">
                  <c:v>0</c:v>
                </c:pt>
                <c:pt idx="1">
                  <c:v>1.3538764870040283</c:v>
                </c:pt>
                <c:pt idx="2">
                  <c:v>2.863095928117243</c:v>
                </c:pt>
                <c:pt idx="3">
                  <c:v>4.5556861323769642</c:v>
                </c:pt>
                <c:pt idx="4">
                  <c:v>6.4668033467665165</c:v>
                </c:pt>
                <c:pt idx="5">
                  <c:v>8.6411424785562723</c:v>
                </c:pt>
                <c:pt idx="6">
                  <c:v>11.136393067739627</c:v>
                </c:pt>
                <c:pt idx="7">
                  <c:v>14.028310324154884</c:v>
                </c:pt>
                <c:pt idx="8">
                  <c:v>17.418353914518736</c:v>
                </c:pt>
                <c:pt idx="9">
                  <c:v>21.445547169232633</c:v>
                </c:pt>
                <c:pt idx="10">
                  <c:v>26.305545412109428</c:v>
                </c:pt>
                <c:pt idx="11">
                  <c:v>32.282587405221562</c:v>
                </c:pt>
                <c:pt idx="12">
                  <c:v>39.805741051812909</c:v>
                </c:pt>
                <c:pt idx="13">
                  <c:v>49.554046576181101</c:v>
                </c:pt>
                <c:pt idx="14">
                  <c:v>62.66836224110385</c:v>
                </c:pt>
                <c:pt idx="15">
                  <c:v>81.221396479415205</c:v>
                </c:pt>
                <c:pt idx="16">
                  <c:v>109.40460733913626</c:v>
                </c:pt>
                <c:pt idx="17">
                  <c:v>157.13295817049243</c:v>
                </c:pt>
              </c:numCache>
            </c:numRef>
          </c:yVal>
          <c:smooth val="1"/>
          <c:extLst>
            <c:ext xmlns:c16="http://schemas.microsoft.com/office/drawing/2014/chart" uri="{C3380CC4-5D6E-409C-BE32-E72D297353CC}">
              <c16:uniqueId val="{00000002-3308-431B-84B6-1D819475171B}"/>
            </c:ext>
          </c:extLst>
        </c:ser>
        <c:dLbls>
          <c:showLegendKey val="0"/>
          <c:showVal val="0"/>
          <c:showCatName val="0"/>
          <c:showSerName val="0"/>
          <c:showPercent val="0"/>
          <c:showBubbleSize val="0"/>
        </c:dLbls>
        <c:axId val="205403200"/>
        <c:axId val="205403776"/>
      </c:scatterChart>
      <c:valAx>
        <c:axId val="205403200"/>
        <c:scaling>
          <c:orientation val="minMax"/>
          <c:max val="90"/>
          <c:min val="0"/>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n-US" sz="1200">
                    <a:solidFill>
                      <a:sysClr val="windowText" lastClr="000000"/>
                    </a:solidFill>
                  </a:rPr>
                  <a:t>Water Delivery, taf</a:t>
                </a:r>
              </a:p>
            </c:rich>
          </c:tx>
          <c:layout>
            <c:manualLayout>
              <c:xMode val="edge"/>
              <c:yMode val="edge"/>
              <c:x val="0.27254035433070872"/>
              <c:y val="0.89455496062992124"/>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title>
        <c:numFmt formatCode="#,##0" sourceLinked="0"/>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crossAx val="205403776"/>
        <c:crosses val="autoZero"/>
        <c:crossBetween val="midCat"/>
        <c:majorUnit val="20"/>
      </c:valAx>
      <c:valAx>
        <c:axId val="205403776"/>
        <c:scaling>
          <c:orientation val="minMax"/>
          <c:max val="50"/>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n-US" sz="1200">
                    <a:solidFill>
                      <a:sysClr val="windowText" lastClr="000000"/>
                    </a:solidFill>
                  </a:rPr>
                  <a:t>Economic Losses, $M</a:t>
                </a:r>
              </a:p>
            </c:rich>
          </c:tx>
          <c:layout>
            <c:manualLayout>
              <c:xMode val="edge"/>
              <c:yMode val="edge"/>
              <c:x val="0"/>
              <c:y val="9.4033385826771634E-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crossAx val="205403200"/>
        <c:crosses val="autoZero"/>
        <c:crossBetween val="midCat"/>
      </c:valAx>
      <c:spPr>
        <a:noFill/>
        <a:ln>
          <a:solidFill>
            <a:schemeClr val="tx1"/>
          </a:solidFill>
        </a:ln>
        <a:effectLst/>
      </c:spPr>
    </c:plotArea>
    <c:legend>
      <c:legendPos val="b"/>
      <c:layout>
        <c:manualLayout>
          <c:xMode val="edge"/>
          <c:yMode val="edge"/>
          <c:x val="0.49820570866141733"/>
          <c:y val="5.4133753280839893E-2"/>
          <c:w val="0.39901673228346457"/>
          <c:h val="0.24577553805774277"/>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legend>
    <c:plotVisOnly val="1"/>
    <c:dispBlanksAs val="zero"/>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99724409448819"/>
          <c:y val="3.9960104986876639E-2"/>
          <c:w val="0.73545472440944881"/>
          <c:h val="0.73334173228346444"/>
        </c:manualLayout>
      </c:layout>
      <c:scatterChart>
        <c:scatterStyle val="smoothMarker"/>
        <c:varyColors val="0"/>
        <c:ser>
          <c:idx val="1"/>
          <c:order val="0"/>
          <c:tx>
            <c:strRef>
              <c:f>Logan!$I$10</c:f>
              <c:strCache>
                <c:ptCount val="1"/>
                <c:pt idx="0">
                  <c:v>Summer</c:v>
                </c:pt>
              </c:strCache>
            </c:strRef>
          </c:tx>
          <c:spPr>
            <a:ln w="12700" cap="rnd">
              <a:solidFill>
                <a:schemeClr val="accent6">
                  <a:lumMod val="50000"/>
                </a:schemeClr>
              </a:solidFill>
              <a:round/>
            </a:ln>
            <a:effectLst/>
          </c:spPr>
          <c:marker>
            <c:symbol val="none"/>
          </c:marker>
          <c:xVal>
            <c:numRef>
              <c:f>Logan!$B$57:$B$76</c:f>
              <c:numCache>
                <c:formatCode>General</c:formatCode>
                <c:ptCount val="20"/>
                <c:pt idx="0">
                  <c:v>9.2955634882050067</c:v>
                </c:pt>
                <c:pt idx="1">
                  <c:v>8.8717139096010076</c:v>
                </c:pt>
                <c:pt idx="2">
                  <c:v>8.4478643309970085</c:v>
                </c:pt>
                <c:pt idx="3">
                  <c:v>8.0240147523930077</c:v>
                </c:pt>
                <c:pt idx="4">
                  <c:v>7.6001651737890095</c:v>
                </c:pt>
                <c:pt idx="5">
                  <c:v>7.1763155951850095</c:v>
                </c:pt>
                <c:pt idx="6">
                  <c:v>6.7524660165810104</c:v>
                </c:pt>
                <c:pt idx="7">
                  <c:v>6.3286164379770113</c:v>
                </c:pt>
                <c:pt idx="8">
                  <c:v>5.9047668593730114</c:v>
                </c:pt>
                <c:pt idx="9">
                  <c:v>5.4809172807690132</c:v>
                </c:pt>
                <c:pt idx="10">
                  <c:v>5.0570677021650123</c:v>
                </c:pt>
                <c:pt idx="11">
                  <c:v>4.6332181235610133</c:v>
                </c:pt>
                <c:pt idx="12">
                  <c:v>4.2093685449570142</c:v>
                </c:pt>
                <c:pt idx="13">
                  <c:v>3.7855189663530138</c:v>
                </c:pt>
                <c:pt idx="14">
                  <c:v>3.3616693877490142</c:v>
                </c:pt>
                <c:pt idx="15">
                  <c:v>2.9378198091450147</c:v>
                </c:pt>
                <c:pt idx="16">
                  <c:v>2.5139702305410156</c:v>
                </c:pt>
                <c:pt idx="17">
                  <c:v>2.0901206519370161</c:v>
                </c:pt>
                <c:pt idx="18">
                  <c:v>1.6662710733330168</c:v>
                </c:pt>
                <c:pt idx="19">
                  <c:v>1.2424214947290175</c:v>
                </c:pt>
              </c:numCache>
            </c:numRef>
          </c:xVal>
          <c:yVal>
            <c:numRef>
              <c:f>Logan!$E$57:$E$76</c:f>
              <c:numCache>
                <c:formatCode>0.0</c:formatCode>
                <c:ptCount val="20"/>
                <c:pt idx="0" formatCode="General">
                  <c:v>0</c:v>
                </c:pt>
                <c:pt idx="1">
                  <c:v>0.12048241681923186</c:v>
                </c:pt>
                <c:pt idx="2" formatCode="General">
                  <c:v>0.25038065940445153</c:v>
                </c:pt>
                <c:pt idx="3" formatCode="General">
                  <c:v>0.39101828950662765</c:v>
                </c:pt>
                <c:pt idx="4" formatCode="General">
                  <c:v>0.54399771482086756</c:v>
                </c:pt>
                <c:pt idx="5" formatCode="General">
                  <c:v>0.71128105476131409</c:v>
                </c:pt>
                <c:pt idx="6" formatCode="General">
                  <c:v>0.89530177437886982</c:v>
                </c:pt>
                <c:pt idx="7" formatCode="General">
                  <c:v>1.0991219986221199</c:v>
                </c:pt>
                <c:pt idx="8" formatCode="General">
                  <c:v>1.3266594546172008</c:v>
                </c:pt>
                <c:pt idx="9" formatCode="General">
                  <c:v>1.5830237909393103</c:v>
                </c:pt>
                <c:pt idx="10" formatCode="General">
                  <c:v>1.8750308126793387</c:v>
                </c:pt>
                <c:pt idx="11" formatCode="General">
                  <c:v>2.2120181904032146</c:v>
                </c:pt>
                <c:pt idx="12" formatCode="General">
                  <c:v>2.6071974418483133</c:v>
                </c:pt>
                <c:pt idx="13" formatCode="General">
                  <c:v>3.0800176432799558</c:v>
                </c:pt>
                <c:pt idx="14" formatCode="General">
                  <c:v>3.6605820282061643</c:v>
                </c:pt>
                <c:pt idx="15" formatCode="General">
                  <c:v>4.3986351446560725</c:v>
                </c:pt>
                <c:pt idx="16" formatCode="General">
                  <c:v>5.3840583518935734</c:v>
                </c:pt>
                <c:pt idx="17" formatCode="General">
                  <c:v>6.8018088695885668</c:v>
                </c:pt>
                <c:pt idx="18" formatCode="General">
                  <c:v>9.1214359856367562</c:v>
                </c:pt>
                <c:pt idx="19" formatCode="General">
                  <c:v>14.151573262831551</c:v>
                </c:pt>
              </c:numCache>
            </c:numRef>
          </c:yVal>
          <c:smooth val="1"/>
          <c:extLst>
            <c:ext xmlns:c16="http://schemas.microsoft.com/office/drawing/2014/chart" uri="{C3380CC4-5D6E-409C-BE32-E72D297353CC}">
              <c16:uniqueId val="{00000000-E62D-438F-8098-50D471206912}"/>
            </c:ext>
          </c:extLst>
        </c:ser>
        <c:ser>
          <c:idx val="0"/>
          <c:order val="1"/>
          <c:tx>
            <c:strRef>
              <c:f>Logan!$J$10</c:f>
              <c:strCache>
                <c:ptCount val="1"/>
                <c:pt idx="0">
                  <c:v>Winter</c:v>
                </c:pt>
              </c:strCache>
            </c:strRef>
          </c:tx>
          <c:spPr>
            <a:ln w="12700" cap="rnd">
              <a:solidFill>
                <a:schemeClr val="tx2"/>
              </a:solidFill>
              <a:round/>
            </a:ln>
            <a:effectLst/>
          </c:spPr>
          <c:marker>
            <c:symbol val="none"/>
          </c:marker>
          <c:xVal>
            <c:numRef>
              <c:f>Logan!$C$57:$C$75</c:f>
              <c:numCache>
                <c:formatCode>General</c:formatCode>
                <c:ptCount val="19"/>
                <c:pt idx="0">
                  <c:v>4.9056928526635843</c:v>
                </c:pt>
                <c:pt idx="1">
                  <c:v>4.7013368058366556</c:v>
                </c:pt>
                <c:pt idx="2">
                  <c:v>4.4969807590097277</c:v>
                </c:pt>
                <c:pt idx="3">
                  <c:v>4.292624712182799</c:v>
                </c:pt>
                <c:pt idx="4">
                  <c:v>4.0882686653558711</c:v>
                </c:pt>
                <c:pt idx="5">
                  <c:v>3.8839126185289432</c:v>
                </c:pt>
                <c:pt idx="6">
                  <c:v>3.6795565717020144</c:v>
                </c:pt>
                <c:pt idx="7">
                  <c:v>3.4752005248750866</c:v>
                </c:pt>
                <c:pt idx="8">
                  <c:v>3.2708444780481578</c:v>
                </c:pt>
                <c:pt idx="9">
                  <c:v>3.0664884312212299</c:v>
                </c:pt>
                <c:pt idx="10">
                  <c:v>2.8621323843943012</c:v>
                </c:pt>
                <c:pt idx="11">
                  <c:v>2.6577763375673729</c:v>
                </c:pt>
                <c:pt idx="12">
                  <c:v>2.4534202907404445</c:v>
                </c:pt>
                <c:pt idx="13">
                  <c:v>2.2490642439135162</c:v>
                </c:pt>
                <c:pt idx="14">
                  <c:v>2.0447081970865879</c:v>
                </c:pt>
                <c:pt idx="15">
                  <c:v>1.8403521502596596</c:v>
                </c:pt>
                <c:pt idx="16">
                  <c:v>1.6359961034327311</c:v>
                </c:pt>
                <c:pt idx="17">
                  <c:v>1.4316400566058027</c:v>
                </c:pt>
                <c:pt idx="18">
                  <c:v>1.2272840097788746</c:v>
                </c:pt>
              </c:numCache>
            </c:numRef>
          </c:xVal>
          <c:yVal>
            <c:numRef>
              <c:f>Logan!$F$57:$F$75</c:f>
              <c:numCache>
                <c:formatCode>General</c:formatCode>
                <c:ptCount val="19"/>
                <c:pt idx="0">
                  <c:v>0</c:v>
                </c:pt>
                <c:pt idx="1">
                  <c:v>5.9947901782216435E-2</c:v>
                </c:pt>
                <c:pt idx="2">
                  <c:v>0.12886211433394998</c:v>
                </c:pt>
                <c:pt idx="3">
                  <c:v>0.20870100599557545</c:v>
                </c:pt>
                <c:pt idx="4">
                  <c:v>0.30200262486911661</c:v>
                </c:pt>
                <c:pt idx="5">
                  <c:v>0.41210735662727815</c:v>
                </c:pt>
                <c:pt idx="6">
                  <c:v>0.54348857432504138</c:v>
                </c:pt>
                <c:pt idx="7">
                  <c:v>0.70225626233550131</c:v>
                </c:pt>
                <c:pt idx="8">
                  <c:v>0.89694657149618373</c:v>
                </c:pt>
                <c:pt idx="9">
                  <c:v>1.139801423102007</c:v>
                </c:pt>
                <c:pt idx="10">
                  <c:v>1.4489239204724604</c:v>
                </c:pt>
                <c:pt idx="11">
                  <c:v>1.8520778591751768</c:v>
                </c:pt>
                <c:pt idx="12">
                  <c:v>2.3937597889808262</c:v>
                </c:pt>
                <c:pt idx="13">
                  <c:v>3.1492650991934084</c:v>
                </c:pt>
                <c:pt idx="14">
                  <c:v>4.2550826194323763</c:v>
                </c:pt>
                <c:pt idx="15">
                  <c:v>5.9819815102713845</c:v>
                </c:pt>
                <c:pt idx="16">
                  <c:v>8.9379651505024853</c:v>
                </c:pt>
                <c:pt idx="17">
                  <c:v>14.761240937745415</c:v>
                </c:pt>
                <c:pt idx="18">
                  <c:v>29.411959239560943</c:v>
                </c:pt>
              </c:numCache>
            </c:numRef>
          </c:yVal>
          <c:smooth val="1"/>
          <c:extLst>
            <c:ext xmlns:c16="http://schemas.microsoft.com/office/drawing/2014/chart" uri="{C3380CC4-5D6E-409C-BE32-E72D297353CC}">
              <c16:uniqueId val="{00000001-E62D-438F-8098-50D471206912}"/>
            </c:ext>
          </c:extLst>
        </c:ser>
        <c:ser>
          <c:idx val="2"/>
          <c:order val="2"/>
          <c:tx>
            <c:strRef>
              <c:f>Logan!$K$10</c:f>
              <c:strCache>
                <c:ptCount val="1"/>
                <c:pt idx="0">
                  <c:v>Fall, Spring</c:v>
                </c:pt>
              </c:strCache>
            </c:strRef>
          </c:tx>
          <c:spPr>
            <a:ln w="12700" cap="rnd">
              <a:solidFill>
                <a:srgbClr val="FFC000"/>
              </a:solidFill>
              <a:round/>
            </a:ln>
            <a:effectLst/>
          </c:spPr>
          <c:marker>
            <c:symbol val="none"/>
          </c:marker>
          <c:xVal>
            <c:numRef>
              <c:f>Logan!$D$57:$D$76</c:f>
              <c:numCache>
                <c:formatCode>General</c:formatCode>
                <c:ptCount val="20"/>
                <c:pt idx="0">
                  <c:v>6.5708161971792967</c:v>
                </c:pt>
                <c:pt idx="1">
                  <c:v>6.2832039831265831</c:v>
                </c:pt>
                <c:pt idx="2">
                  <c:v>5.9955917690738687</c:v>
                </c:pt>
                <c:pt idx="3">
                  <c:v>5.7079795550211552</c:v>
                </c:pt>
                <c:pt idx="4">
                  <c:v>5.4203673409684416</c:v>
                </c:pt>
                <c:pt idx="5">
                  <c:v>5.1327551269157272</c:v>
                </c:pt>
                <c:pt idx="6">
                  <c:v>4.8451429128630128</c:v>
                </c:pt>
                <c:pt idx="7">
                  <c:v>4.5575306988102993</c:v>
                </c:pt>
                <c:pt idx="8">
                  <c:v>4.2699184847575848</c:v>
                </c:pt>
                <c:pt idx="9">
                  <c:v>3.9823062707048713</c:v>
                </c:pt>
                <c:pt idx="10">
                  <c:v>3.6946940566521569</c:v>
                </c:pt>
                <c:pt idx="11">
                  <c:v>3.4070818425994429</c:v>
                </c:pt>
                <c:pt idx="12">
                  <c:v>3.1194696285467298</c:v>
                </c:pt>
                <c:pt idx="13">
                  <c:v>2.8318574144940154</c:v>
                </c:pt>
                <c:pt idx="14">
                  <c:v>2.5442452004413019</c:v>
                </c:pt>
                <c:pt idx="15">
                  <c:v>2.2566329863885874</c:v>
                </c:pt>
                <c:pt idx="16">
                  <c:v>1.9690207723358737</c:v>
                </c:pt>
                <c:pt idx="17">
                  <c:v>1.6814085582831597</c:v>
                </c:pt>
                <c:pt idx="18">
                  <c:v>1.3937963442304457</c:v>
                </c:pt>
                <c:pt idx="19">
                  <c:v>1.1061841301777318</c:v>
                </c:pt>
              </c:numCache>
            </c:numRef>
          </c:xVal>
          <c:yVal>
            <c:numRef>
              <c:f>Logan!$G$57:$G$76</c:f>
              <c:numCache>
                <c:formatCode>General</c:formatCode>
                <c:ptCount val="20"/>
                <c:pt idx="0">
                  <c:v>0</c:v>
                </c:pt>
                <c:pt idx="1">
                  <c:v>8.3103214088719873E-2</c:v>
                </c:pt>
                <c:pt idx="2">
                  <c:v>0.17574163976905957</c:v>
                </c:pt>
                <c:pt idx="3">
                  <c:v>0.27963567106310278</c:v>
                </c:pt>
                <c:pt idx="4">
                  <c:v>0.39694325749404691</c:v>
                </c:pt>
                <c:pt idx="5">
                  <c:v>0.53040784758413073</c:v>
                </c:pt>
                <c:pt idx="6">
                  <c:v>0.68357052225084602</c:v>
                </c:pt>
                <c:pt idx="7">
                  <c:v>0.86108126358777937</c:v>
                </c:pt>
                <c:pt idx="8">
                  <c:v>1.0691678364504982</c:v>
                </c:pt>
                <c:pt idx="9">
                  <c:v>1.3163637265008028</c:v>
                </c:pt>
                <c:pt idx="10">
                  <c:v>1.6146785863314141</c:v>
                </c:pt>
                <c:pt idx="11">
                  <c:v>1.9815594688482643</c:v>
                </c:pt>
                <c:pt idx="12">
                  <c:v>2.4433432830413127</c:v>
                </c:pt>
                <c:pt idx="13">
                  <c:v>3.0417106590687144</c:v>
                </c:pt>
                <c:pt idx="14">
                  <c:v>3.8466893944190828</c:v>
                </c:pt>
                <c:pt idx="15">
                  <c:v>4.9855058160806598</c:v>
                </c:pt>
                <c:pt idx="16">
                  <c:v>6.7154386631793788</c:v>
                </c:pt>
                <c:pt idx="17">
                  <c:v>9.645085049177796</c:v>
                </c:pt>
                <c:pt idx="18">
                  <c:v>15.633929040991077</c:v>
                </c:pt>
                <c:pt idx="19">
                  <c:v>34.252303290994242</c:v>
                </c:pt>
              </c:numCache>
            </c:numRef>
          </c:yVal>
          <c:smooth val="1"/>
          <c:extLst>
            <c:ext xmlns:c16="http://schemas.microsoft.com/office/drawing/2014/chart" uri="{C3380CC4-5D6E-409C-BE32-E72D297353CC}">
              <c16:uniqueId val="{00000002-E62D-438F-8098-50D471206912}"/>
            </c:ext>
          </c:extLst>
        </c:ser>
        <c:dLbls>
          <c:showLegendKey val="0"/>
          <c:showVal val="0"/>
          <c:showCatName val="0"/>
          <c:showSerName val="0"/>
          <c:showPercent val="0"/>
          <c:showBubbleSize val="0"/>
        </c:dLbls>
        <c:axId val="204355776"/>
        <c:axId val="204356352"/>
      </c:scatterChart>
      <c:valAx>
        <c:axId val="204355776"/>
        <c:scaling>
          <c:orientation val="minMax"/>
          <c:max val="90"/>
          <c:min val="0"/>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n-US" sz="1200">
                    <a:solidFill>
                      <a:sysClr val="windowText" lastClr="000000"/>
                    </a:solidFill>
                  </a:rPr>
                  <a:t>Water Delivery, taf</a:t>
                </a:r>
              </a:p>
            </c:rich>
          </c:tx>
          <c:layout>
            <c:manualLayout>
              <c:xMode val="edge"/>
              <c:yMode val="edge"/>
              <c:x val="0.3280961286089239"/>
              <c:y val="0.90522162729658795"/>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title>
        <c:numFmt formatCode="#,##0" sourceLinked="0"/>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crossAx val="204356352"/>
        <c:crosses val="autoZero"/>
        <c:crossBetween val="midCat"/>
        <c:majorUnit val="20"/>
      </c:valAx>
      <c:valAx>
        <c:axId val="204356352"/>
        <c:scaling>
          <c:orientation val="minMax"/>
          <c:max val="50"/>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n-US" sz="1200">
                    <a:solidFill>
                      <a:sysClr val="windowText" lastClr="000000"/>
                    </a:solidFill>
                  </a:rPr>
                  <a:t>Economic Losses, $M</a:t>
                </a:r>
              </a:p>
            </c:rich>
          </c:tx>
          <c:layout>
            <c:manualLayout>
              <c:xMode val="edge"/>
              <c:yMode val="edge"/>
              <c:x val="0"/>
              <c:y val="7.8033385826771648E-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crossAx val="204355776"/>
        <c:crosses val="autoZero"/>
        <c:crossBetween val="midCat"/>
      </c:valAx>
      <c:spPr>
        <a:noFill/>
        <a:ln>
          <a:solidFill>
            <a:schemeClr val="tx1"/>
          </a:solidFill>
        </a:ln>
        <a:effectLst/>
      </c:spPr>
    </c:plotArea>
    <c:legend>
      <c:legendPos val="b"/>
      <c:layout>
        <c:manualLayout>
          <c:xMode val="edge"/>
          <c:yMode val="edge"/>
          <c:x val="0.45237237532808405"/>
          <c:y val="5.9467086614173242E-2"/>
          <c:w val="0.4323500656167979"/>
          <c:h val="0.30444220472440947"/>
        </c:manualLayout>
      </c:layout>
      <c:overlay val="0"/>
      <c:spPr>
        <a:solidFill>
          <a:schemeClr val="bg1"/>
        </a:solid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legend>
    <c:plotVisOnly val="1"/>
    <c:dispBlanksAs val="zero"/>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90399097309098"/>
          <c:y val="3.9960104986876639E-2"/>
          <c:w val="0.72381779380381195"/>
          <c:h val="0.73334173228346444"/>
        </c:manualLayout>
      </c:layout>
      <c:scatterChart>
        <c:scatterStyle val="smoothMarker"/>
        <c:varyColors val="0"/>
        <c:ser>
          <c:idx val="1"/>
          <c:order val="0"/>
          <c:tx>
            <c:strRef>
              <c:f>Ogden!$I$10</c:f>
              <c:strCache>
                <c:ptCount val="1"/>
                <c:pt idx="0">
                  <c:v>Summer</c:v>
                </c:pt>
              </c:strCache>
            </c:strRef>
          </c:tx>
          <c:spPr>
            <a:ln w="12700" cap="rnd">
              <a:solidFill>
                <a:schemeClr val="accent6">
                  <a:lumMod val="50000"/>
                </a:schemeClr>
              </a:solidFill>
              <a:round/>
            </a:ln>
            <a:effectLst/>
          </c:spPr>
          <c:marker>
            <c:symbol val="none"/>
          </c:marker>
          <c:xVal>
            <c:numRef>
              <c:f>Ogden!$B$57:$B$75</c:f>
              <c:numCache>
                <c:formatCode>General</c:formatCode>
                <c:ptCount val="19"/>
                <c:pt idx="0">
                  <c:v>55.018953668628811</c:v>
                </c:pt>
                <c:pt idx="1">
                  <c:v>52.392010800565927</c:v>
                </c:pt>
                <c:pt idx="2">
                  <c:v>49.765067932503058</c:v>
                </c:pt>
                <c:pt idx="3">
                  <c:v>47.138125064440175</c:v>
                </c:pt>
                <c:pt idx="4">
                  <c:v>44.511182196377298</c:v>
                </c:pt>
                <c:pt idx="5">
                  <c:v>41.884239328314415</c:v>
                </c:pt>
                <c:pt idx="6">
                  <c:v>39.257296460251538</c:v>
                </c:pt>
                <c:pt idx="7">
                  <c:v>36.630353592188655</c:v>
                </c:pt>
                <c:pt idx="8">
                  <c:v>34.003410724125771</c:v>
                </c:pt>
                <c:pt idx="9">
                  <c:v>31.376467856062895</c:v>
                </c:pt>
                <c:pt idx="10">
                  <c:v>28.749524988000019</c:v>
                </c:pt>
                <c:pt idx="11">
                  <c:v>26.122582119937142</c:v>
                </c:pt>
                <c:pt idx="12">
                  <c:v>23.495639251874259</c:v>
                </c:pt>
                <c:pt idx="13">
                  <c:v>20.868696383811379</c:v>
                </c:pt>
                <c:pt idx="14">
                  <c:v>18.241753515748499</c:v>
                </c:pt>
                <c:pt idx="15">
                  <c:v>15.614810647685621</c:v>
                </c:pt>
                <c:pt idx="16">
                  <c:v>12.987867779622743</c:v>
                </c:pt>
                <c:pt idx="17">
                  <c:v>10.360924911559861</c:v>
                </c:pt>
                <c:pt idx="18">
                  <c:v>7.733982043496983</c:v>
                </c:pt>
              </c:numCache>
            </c:numRef>
          </c:xVal>
          <c:yVal>
            <c:numRef>
              <c:f>Ogden!$E$57:$E$75</c:f>
              <c:numCache>
                <c:formatCode>General</c:formatCode>
                <c:ptCount val="19"/>
                <c:pt idx="0">
                  <c:v>0</c:v>
                </c:pt>
                <c:pt idx="1">
                  <c:v>1.1037235114964545</c:v>
                </c:pt>
                <c:pt idx="2">
                  <c:v>2.2937041595314938</c:v>
                </c:pt>
                <c:pt idx="3">
                  <c:v>3.5820669185372984</c:v>
                </c:pt>
                <c:pt idx="4">
                  <c:v>4.9834912338203106</c:v>
                </c:pt>
                <c:pt idx="5">
                  <c:v>6.5159518222474562</c:v>
                </c:pt>
                <c:pt idx="6">
                  <c:v>8.2017413358254458</c:v>
                </c:pt>
                <c:pt idx="7">
                  <c:v>10.068911496872914</c:v>
                </c:pt>
                <c:pt idx="8">
                  <c:v>12.153352086279909</c:v>
                </c:pt>
                <c:pt idx="9">
                  <c:v>14.501871919945206</c:v>
                </c:pt>
                <c:pt idx="10">
                  <c:v>17.176909688320084</c:v>
                </c:pt>
                <c:pt idx="11">
                  <c:v>20.264006558475113</c:v>
                </c:pt>
                <c:pt idx="12">
                  <c:v>23.884191499900528</c:v>
                </c:pt>
                <c:pt idx="13">
                  <c:v>28.215634932128335</c:v>
                </c:pt>
                <c:pt idx="14">
                  <c:v>33.534108602373095</c:v>
                </c:pt>
                <c:pt idx="15">
                  <c:v>40.295315746658623</c:v>
                </c:pt>
                <c:pt idx="16">
                  <c:v>49.322647628904299</c:v>
                </c:pt>
                <c:pt idx="17">
                  <c:v>62.310472916008344</c:v>
                </c:pt>
                <c:pt idx="18">
                  <c:v>83.56027063320019</c:v>
                </c:pt>
              </c:numCache>
            </c:numRef>
          </c:yVal>
          <c:smooth val="1"/>
          <c:extLst>
            <c:ext xmlns:c16="http://schemas.microsoft.com/office/drawing/2014/chart" uri="{C3380CC4-5D6E-409C-BE32-E72D297353CC}">
              <c16:uniqueId val="{00000000-07FC-4FE0-9741-26F108EDF72E}"/>
            </c:ext>
          </c:extLst>
        </c:ser>
        <c:ser>
          <c:idx val="0"/>
          <c:order val="1"/>
          <c:tx>
            <c:strRef>
              <c:f>Ogden!$J$10</c:f>
              <c:strCache>
                <c:ptCount val="1"/>
                <c:pt idx="0">
                  <c:v>Winter</c:v>
                </c:pt>
              </c:strCache>
            </c:strRef>
          </c:tx>
          <c:spPr>
            <a:ln w="12700" cap="rnd">
              <a:solidFill>
                <a:schemeClr val="tx2"/>
              </a:solidFill>
              <a:round/>
            </a:ln>
            <a:effectLst/>
          </c:spPr>
          <c:marker>
            <c:symbol val="none"/>
          </c:marker>
          <c:xVal>
            <c:numRef>
              <c:f>Ogden!$C$57:$C$73</c:f>
              <c:numCache>
                <c:formatCode>General</c:formatCode>
                <c:ptCount val="17"/>
                <c:pt idx="0">
                  <c:v>27.811331106548991</c:v>
                </c:pt>
                <c:pt idx="1">
                  <c:v>26.544769366590103</c:v>
                </c:pt>
                <c:pt idx="2">
                  <c:v>25.278207626631215</c:v>
                </c:pt>
                <c:pt idx="3">
                  <c:v>24.011645886672326</c:v>
                </c:pt>
                <c:pt idx="4">
                  <c:v>22.745084146713438</c:v>
                </c:pt>
                <c:pt idx="5">
                  <c:v>21.47852240675455</c:v>
                </c:pt>
                <c:pt idx="6">
                  <c:v>20.211960666795662</c:v>
                </c:pt>
                <c:pt idx="7">
                  <c:v>18.945398926836774</c:v>
                </c:pt>
                <c:pt idx="8">
                  <c:v>17.678837186877885</c:v>
                </c:pt>
                <c:pt idx="9">
                  <c:v>16.412275446918997</c:v>
                </c:pt>
                <c:pt idx="10">
                  <c:v>15.145713706960107</c:v>
                </c:pt>
                <c:pt idx="11">
                  <c:v>13.879151967001219</c:v>
                </c:pt>
                <c:pt idx="12">
                  <c:v>12.612590227042331</c:v>
                </c:pt>
                <c:pt idx="13">
                  <c:v>11.346028487083442</c:v>
                </c:pt>
                <c:pt idx="14">
                  <c:v>10.079466747124554</c:v>
                </c:pt>
                <c:pt idx="15">
                  <c:v>8.812905007165666</c:v>
                </c:pt>
                <c:pt idx="16">
                  <c:v>7.5463432672067778</c:v>
                </c:pt>
              </c:numCache>
            </c:numRef>
          </c:xVal>
          <c:yVal>
            <c:numRef>
              <c:f>Ogden!$F$57:$F$73</c:f>
              <c:numCache>
                <c:formatCode>General</c:formatCode>
                <c:ptCount val="17"/>
                <c:pt idx="0">
                  <c:v>0</c:v>
                </c:pt>
                <c:pt idx="1">
                  <c:v>0.54917481246400535</c:v>
                </c:pt>
                <c:pt idx="2">
                  <c:v>1.1804888139396703</c:v>
                </c:pt>
                <c:pt idx="3">
                  <c:v>1.9118823582023912</c:v>
                </c:pt>
                <c:pt idx="4">
                  <c:v>2.766606168780597</c:v>
                </c:pt>
                <c:pt idx="5">
                  <c:v>3.7752610777439872</c:v>
                </c:pt>
                <c:pt idx="6">
                  <c:v>4.9788270649669792</c:v>
                </c:pt>
                <c:pt idx="7">
                  <c:v>6.4332768905045663</c:v>
                </c:pt>
                <c:pt idx="8">
                  <c:v>8.2168091050314729</c:v>
                </c:pt>
                <c:pt idx="9">
                  <c:v>10.441570333057738</c:v>
                </c:pt>
                <c:pt idx="10">
                  <c:v>13.273400713686433</c:v>
                </c:pt>
                <c:pt idx="11">
                  <c:v>16.966640712068845</c:v>
                </c:pt>
                <c:pt idx="12">
                  <c:v>21.928917345150435</c:v>
                </c:pt>
                <c:pt idx="13">
                  <c:v>28.850001732037711</c:v>
                </c:pt>
                <c:pt idx="14">
                  <c:v>38.980250018338829</c:v>
                </c:pt>
                <c:pt idx="15">
                  <c:v>54.800142730616457</c:v>
                </c:pt>
                <c:pt idx="16">
                  <c:v>81.879518538764287</c:v>
                </c:pt>
              </c:numCache>
            </c:numRef>
          </c:yVal>
          <c:smooth val="1"/>
          <c:extLst>
            <c:ext xmlns:c16="http://schemas.microsoft.com/office/drawing/2014/chart" uri="{C3380CC4-5D6E-409C-BE32-E72D297353CC}">
              <c16:uniqueId val="{00000001-07FC-4FE0-9741-26F108EDF72E}"/>
            </c:ext>
          </c:extLst>
        </c:ser>
        <c:ser>
          <c:idx val="2"/>
          <c:order val="2"/>
          <c:tx>
            <c:strRef>
              <c:f>Ogden!$K$10</c:f>
              <c:strCache>
                <c:ptCount val="1"/>
                <c:pt idx="0">
                  <c:v>Fall, Spring</c:v>
                </c:pt>
              </c:strCache>
            </c:strRef>
          </c:tx>
          <c:spPr>
            <a:ln w="12700" cap="rnd">
              <a:solidFill>
                <a:srgbClr val="FFC000"/>
              </a:solidFill>
              <a:round/>
            </a:ln>
            <a:effectLst/>
          </c:spPr>
          <c:marker>
            <c:symbol val="none"/>
          </c:marker>
          <c:xVal>
            <c:numRef>
              <c:f>Ogden!$D$57:$D$74</c:f>
              <c:numCache>
                <c:formatCode>General</c:formatCode>
                <c:ptCount val="18"/>
                <c:pt idx="0">
                  <c:v>38.131463802510304</c:v>
                </c:pt>
                <c:pt idx="1">
                  <c:v>36.348895427753348</c:v>
                </c:pt>
                <c:pt idx="2">
                  <c:v>34.5663270529964</c:v>
                </c:pt>
                <c:pt idx="3">
                  <c:v>32.783758678239444</c:v>
                </c:pt>
                <c:pt idx="4">
                  <c:v>31.001190303482485</c:v>
                </c:pt>
                <c:pt idx="5">
                  <c:v>29.218621928725536</c:v>
                </c:pt>
                <c:pt idx="6">
                  <c:v>27.436053553968581</c:v>
                </c:pt>
                <c:pt idx="7">
                  <c:v>25.653485179211625</c:v>
                </c:pt>
                <c:pt idx="8">
                  <c:v>23.870916804454669</c:v>
                </c:pt>
                <c:pt idx="9">
                  <c:v>22.088348429697717</c:v>
                </c:pt>
                <c:pt idx="10">
                  <c:v>20.305780054940762</c:v>
                </c:pt>
                <c:pt idx="11">
                  <c:v>18.523211680183813</c:v>
                </c:pt>
                <c:pt idx="12">
                  <c:v>16.740643305426858</c:v>
                </c:pt>
                <c:pt idx="13">
                  <c:v>14.958074930669902</c:v>
                </c:pt>
                <c:pt idx="14">
                  <c:v>13.175506555912946</c:v>
                </c:pt>
                <c:pt idx="15">
                  <c:v>11.392938181155994</c:v>
                </c:pt>
                <c:pt idx="16">
                  <c:v>9.6103698063990421</c:v>
                </c:pt>
                <c:pt idx="17">
                  <c:v>7.8278014316420856</c:v>
                </c:pt>
              </c:numCache>
            </c:numRef>
          </c:xVal>
          <c:yVal>
            <c:numRef>
              <c:f>Ogden!$G$57:$G$74</c:f>
              <c:numCache>
                <c:formatCode>General</c:formatCode>
                <c:ptCount val="18"/>
                <c:pt idx="0">
                  <c:v>0</c:v>
                </c:pt>
                <c:pt idx="1">
                  <c:v>0.76129757098299822</c:v>
                </c:pt>
                <c:pt idx="2">
                  <c:v>1.609945956288978</c:v>
                </c:pt>
                <c:pt idx="3">
                  <c:v>2.5617054583865322</c:v>
                </c:pt>
                <c:pt idx="4">
                  <c:v>3.6363447679132839</c:v>
                </c:pt>
                <c:pt idx="5">
                  <c:v>4.8589962545254464</c:v>
                </c:pt>
                <c:pt idx="6">
                  <c:v>6.2620992929295083</c:v>
                </c:pt>
                <c:pt idx="7">
                  <c:v>7.8882517550825639</c:v>
                </c:pt>
                <c:pt idx="8">
                  <c:v>9.7945053724870821</c:v>
                </c:pt>
                <c:pt idx="9">
                  <c:v>12.059034280494913</c:v>
                </c:pt>
                <c:pt idx="10">
                  <c:v>14.791857320705191</c:v>
                </c:pt>
                <c:pt idx="11">
                  <c:v>18.152804641009705</c:v>
                </c:pt>
                <c:pt idx="12">
                  <c:v>22.38314518703385</c:v>
                </c:pt>
                <c:pt idx="13">
                  <c:v>27.864709707977653</c:v>
                </c:pt>
                <c:pt idx="14">
                  <c:v>35.239013609881574</c:v>
                </c:pt>
                <c:pt idx="15">
                  <c:v>45.671560474807009</c:v>
                </c:pt>
                <c:pt idx="16">
                  <c:v>61.519246859763854</c:v>
                </c:pt>
                <c:pt idx="17">
                  <c:v>88.357350559563628</c:v>
                </c:pt>
              </c:numCache>
            </c:numRef>
          </c:yVal>
          <c:smooth val="1"/>
          <c:extLst>
            <c:ext xmlns:c16="http://schemas.microsoft.com/office/drawing/2014/chart" uri="{C3380CC4-5D6E-409C-BE32-E72D297353CC}">
              <c16:uniqueId val="{00000002-07FC-4FE0-9741-26F108EDF72E}"/>
            </c:ext>
          </c:extLst>
        </c:ser>
        <c:dLbls>
          <c:showLegendKey val="0"/>
          <c:showVal val="0"/>
          <c:showCatName val="0"/>
          <c:showSerName val="0"/>
          <c:showPercent val="0"/>
          <c:showBubbleSize val="0"/>
        </c:dLbls>
        <c:axId val="203753152"/>
        <c:axId val="203753728"/>
      </c:scatterChart>
      <c:valAx>
        <c:axId val="203753152"/>
        <c:scaling>
          <c:orientation val="minMax"/>
          <c:max val="90"/>
          <c:min val="0"/>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n-US" sz="1200">
                    <a:solidFill>
                      <a:sysClr val="windowText" lastClr="000000"/>
                    </a:solidFill>
                  </a:rPr>
                  <a:t>Water Delivery, taf</a:t>
                </a:r>
              </a:p>
            </c:rich>
          </c:tx>
          <c:layout>
            <c:manualLayout>
              <c:xMode val="edge"/>
              <c:yMode val="edge"/>
              <c:x val="0.3061073907817598"/>
              <c:y val="0.90522162729658795"/>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title>
        <c:numFmt formatCode="#,##0" sourceLinked="0"/>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crossAx val="203753728"/>
        <c:crosses val="autoZero"/>
        <c:crossBetween val="midCat"/>
        <c:majorUnit val="20"/>
      </c:valAx>
      <c:valAx>
        <c:axId val="203753728"/>
        <c:scaling>
          <c:orientation val="minMax"/>
          <c:max val="50"/>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n-US" sz="1200">
                    <a:solidFill>
                      <a:sysClr val="windowText" lastClr="000000"/>
                    </a:solidFill>
                  </a:rPr>
                  <a:t>Economic Losses, $M</a:t>
                </a:r>
              </a:p>
            </c:rich>
          </c:tx>
          <c:layout>
            <c:manualLayout>
              <c:xMode val="edge"/>
              <c:yMode val="edge"/>
              <c:x val="8.3073727933541015E-3"/>
              <c:y val="7.2700052493438305E-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crossAx val="203753152"/>
        <c:crosses val="autoZero"/>
        <c:crossBetween val="midCat"/>
      </c:valAx>
      <c:spPr>
        <a:noFill/>
        <a:ln>
          <a:solidFill>
            <a:schemeClr val="tx1"/>
          </a:solidFill>
        </a:ln>
        <a:effectLst/>
      </c:spPr>
    </c:plotArea>
    <c:legend>
      <c:legendPos val="b"/>
      <c:layout>
        <c:manualLayout>
          <c:xMode val="edge"/>
          <c:yMode val="edge"/>
          <c:x val="0.50701923941750271"/>
          <c:y val="5.4133753280839893E-2"/>
          <c:w val="0.37919559120530499"/>
          <c:h val="0.2777755380577428"/>
        </c:manualLayout>
      </c:layout>
      <c:overlay val="0"/>
      <c:spPr>
        <a:solidFill>
          <a:schemeClr val="bg1"/>
        </a:solid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legend>
    <c:plotVisOnly val="1"/>
    <c:dispBlanksAs val="zero"/>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775030457641394"/>
          <c:y val="3.9960104986876639E-2"/>
          <c:w val="0.72797148020048896"/>
          <c:h val="0.73334173228346444"/>
        </c:manualLayout>
      </c:layout>
      <c:scatterChart>
        <c:scatterStyle val="smoothMarker"/>
        <c:varyColors val="0"/>
        <c:ser>
          <c:idx val="1"/>
          <c:order val="0"/>
          <c:tx>
            <c:strRef>
              <c:f>Provo!$I$10</c:f>
              <c:strCache>
                <c:ptCount val="1"/>
                <c:pt idx="0">
                  <c:v>Summer</c:v>
                </c:pt>
              </c:strCache>
            </c:strRef>
          </c:tx>
          <c:spPr>
            <a:ln w="12700" cap="rnd">
              <a:solidFill>
                <a:schemeClr val="accent6">
                  <a:lumMod val="50000"/>
                </a:schemeClr>
              </a:solidFill>
              <a:round/>
            </a:ln>
            <a:effectLst/>
          </c:spPr>
          <c:marker>
            <c:symbol val="none"/>
          </c:marker>
          <c:xVal>
            <c:numRef>
              <c:f>Provo!$B$57:$B$76</c:f>
              <c:numCache>
                <c:formatCode>General</c:formatCode>
                <c:ptCount val="20"/>
                <c:pt idx="0">
                  <c:v>41.067963206014653</c:v>
                </c:pt>
                <c:pt idx="1">
                  <c:v>39.16796881937497</c:v>
                </c:pt>
                <c:pt idx="2">
                  <c:v>37.267974432735286</c:v>
                </c:pt>
                <c:pt idx="3">
                  <c:v>35.367980046095603</c:v>
                </c:pt>
                <c:pt idx="4">
                  <c:v>33.467985659455927</c:v>
                </c:pt>
                <c:pt idx="5">
                  <c:v>31.567991272816236</c:v>
                </c:pt>
                <c:pt idx="6">
                  <c:v>29.667996886176553</c:v>
                </c:pt>
                <c:pt idx="7">
                  <c:v>27.768002499536873</c:v>
                </c:pt>
                <c:pt idx="8">
                  <c:v>25.868008112897186</c:v>
                </c:pt>
                <c:pt idx="9">
                  <c:v>23.968013726257507</c:v>
                </c:pt>
                <c:pt idx="10">
                  <c:v>22.068019339617823</c:v>
                </c:pt>
                <c:pt idx="11">
                  <c:v>20.16802495297814</c:v>
                </c:pt>
                <c:pt idx="12">
                  <c:v>18.268030566338457</c:v>
                </c:pt>
                <c:pt idx="13">
                  <c:v>16.36803617969877</c:v>
                </c:pt>
                <c:pt idx="14">
                  <c:v>14.468041793059088</c:v>
                </c:pt>
                <c:pt idx="15">
                  <c:v>12.568047406419407</c:v>
                </c:pt>
                <c:pt idx="16">
                  <c:v>10.668053019779723</c:v>
                </c:pt>
                <c:pt idx="17">
                  <c:v>8.7680586331400416</c:v>
                </c:pt>
                <c:pt idx="18">
                  <c:v>6.8680642465003574</c:v>
                </c:pt>
                <c:pt idx="19">
                  <c:v>4.9680698598606741</c:v>
                </c:pt>
              </c:numCache>
            </c:numRef>
          </c:xVal>
          <c:yVal>
            <c:numRef>
              <c:f>Provo!$E$57:$E$76</c:f>
              <c:numCache>
                <c:formatCode>General</c:formatCode>
                <c:ptCount val="20"/>
                <c:pt idx="0">
                  <c:v>0</c:v>
                </c:pt>
                <c:pt idx="1">
                  <c:v>0.58745985167204384</c:v>
                </c:pt>
                <c:pt idx="2">
                  <c:v>1.2208302997106926</c:v>
                </c:pt>
                <c:pt idx="3">
                  <c:v>1.9065648948532372</c:v>
                </c:pt>
                <c:pt idx="4">
                  <c:v>2.6524768119324778</c:v>
                </c:pt>
                <c:pt idx="5">
                  <c:v>3.4681331430638718</c:v>
                </c:pt>
                <c:pt idx="6">
                  <c:v>4.365399213127076</c:v>
                </c:pt>
                <c:pt idx="7">
                  <c:v>5.3592056278950508</c:v>
                </c:pt>
                <c:pt idx="8">
                  <c:v>6.4686548212097579</c:v>
                </c:pt>
                <c:pt idx="9">
                  <c:v>7.7186609131007238</c:v>
                </c:pt>
                <c:pt idx="10">
                  <c:v>9.1424570669907297</c:v>
                </c:pt>
                <c:pt idx="11">
                  <c:v>10.785572802542729</c:v>
                </c:pt>
                <c:pt idx="12">
                  <c:v>12.712426119123514</c:v>
                </c:pt>
                <c:pt idx="13">
                  <c:v>15.017848708855599</c:v>
                </c:pt>
                <c:pt idx="14">
                  <c:v>17.848620836929157</c:v>
                </c:pt>
                <c:pt idx="15">
                  <c:v>21.44729179458658</c:v>
                </c:pt>
                <c:pt idx="16">
                  <c:v>26.252113829543642</c:v>
                </c:pt>
                <c:pt idx="17">
                  <c:v>33.164919289635556</c:v>
                </c:pt>
                <c:pt idx="18">
                  <c:v>44.475182127180041</c:v>
                </c:pt>
                <c:pt idx="19">
                  <c:v>69.001613259321431</c:v>
                </c:pt>
              </c:numCache>
            </c:numRef>
          </c:yVal>
          <c:smooth val="1"/>
          <c:extLst>
            <c:ext xmlns:c16="http://schemas.microsoft.com/office/drawing/2014/chart" uri="{C3380CC4-5D6E-409C-BE32-E72D297353CC}">
              <c16:uniqueId val="{00000000-473C-4C50-B7DA-F43B52693840}"/>
            </c:ext>
          </c:extLst>
        </c:ser>
        <c:ser>
          <c:idx val="0"/>
          <c:order val="1"/>
          <c:tx>
            <c:strRef>
              <c:f>Provo!$J$10</c:f>
              <c:strCache>
                <c:ptCount val="1"/>
                <c:pt idx="0">
                  <c:v>Winter</c:v>
                </c:pt>
              </c:strCache>
            </c:strRef>
          </c:tx>
          <c:spPr>
            <a:ln w="12700" cap="rnd">
              <a:solidFill>
                <a:schemeClr val="tx2"/>
              </a:solidFill>
              <a:round/>
            </a:ln>
            <a:effectLst/>
          </c:spPr>
          <c:marker>
            <c:symbol val="none"/>
          </c:marker>
          <c:xVal>
            <c:numRef>
              <c:f>Provo!$C$57:$C$74</c:f>
              <c:numCache>
                <c:formatCode>General</c:formatCode>
                <c:ptCount val="18"/>
                <c:pt idx="0">
                  <c:v>21.389449915817934</c:v>
                </c:pt>
                <c:pt idx="1">
                  <c:v>20.473381193688088</c:v>
                </c:pt>
                <c:pt idx="2">
                  <c:v>19.557312471558241</c:v>
                </c:pt>
                <c:pt idx="3">
                  <c:v>18.641243749428394</c:v>
                </c:pt>
                <c:pt idx="4">
                  <c:v>17.725175027298548</c:v>
                </c:pt>
                <c:pt idx="5">
                  <c:v>16.809106305168697</c:v>
                </c:pt>
                <c:pt idx="6">
                  <c:v>15.893037583038851</c:v>
                </c:pt>
                <c:pt idx="7">
                  <c:v>14.976968860909004</c:v>
                </c:pt>
                <c:pt idx="8">
                  <c:v>14.060900138779157</c:v>
                </c:pt>
                <c:pt idx="9">
                  <c:v>13.144831416649311</c:v>
                </c:pt>
                <c:pt idx="10">
                  <c:v>12.228762694519464</c:v>
                </c:pt>
                <c:pt idx="11">
                  <c:v>11.312693972389617</c:v>
                </c:pt>
                <c:pt idx="12">
                  <c:v>10.396625250259769</c:v>
                </c:pt>
                <c:pt idx="13">
                  <c:v>9.4805565281299202</c:v>
                </c:pt>
                <c:pt idx="14">
                  <c:v>8.5644878060000735</c:v>
                </c:pt>
                <c:pt idx="15">
                  <c:v>7.6484190838702268</c:v>
                </c:pt>
                <c:pt idx="16">
                  <c:v>6.7323503617403802</c:v>
                </c:pt>
                <c:pt idx="17">
                  <c:v>5.8162816396105317</c:v>
                </c:pt>
              </c:numCache>
            </c:numRef>
          </c:xVal>
          <c:yVal>
            <c:numRef>
              <c:f>Provo!$F$57:$F$74</c:f>
              <c:numCache>
                <c:formatCode>General</c:formatCode>
                <c:ptCount val="18"/>
                <c:pt idx="0">
                  <c:v>0</c:v>
                </c:pt>
                <c:pt idx="1">
                  <c:v>0.29229979293882485</c:v>
                </c:pt>
                <c:pt idx="2">
                  <c:v>0.62831839343284579</c:v>
                </c:pt>
                <c:pt idx="3">
                  <c:v>1.0176046037482527</c:v>
                </c:pt>
                <c:pt idx="4">
                  <c:v>1.4725336849472697</c:v>
                </c:pt>
                <c:pt idx="5">
                  <c:v>2.0093930134257545</c:v>
                </c:pt>
                <c:pt idx="6">
                  <c:v>2.6499942953291495</c:v>
                </c:pt>
                <c:pt idx="7">
                  <c:v>3.4241291849776276</c:v>
                </c:pt>
                <c:pt idx="8">
                  <c:v>4.3734190744153389</c:v>
                </c:pt>
                <c:pt idx="9">
                  <c:v>5.557554310648567</c:v>
                </c:pt>
                <c:pt idx="10">
                  <c:v>7.0648037603852876</c:v>
                </c:pt>
                <c:pt idx="11">
                  <c:v>9.0305408304395183</c:v>
                </c:pt>
                <c:pt idx="12">
                  <c:v>11.67172611322226</c:v>
                </c:pt>
                <c:pt idx="13">
                  <c:v>15.355492169648782</c:v>
                </c:pt>
                <c:pt idx="14">
                  <c:v>20.74734447113936</c:v>
                </c:pt>
                <c:pt idx="15">
                  <c:v>29.167525548574027</c:v>
                </c:pt>
                <c:pt idx="16">
                  <c:v>43.580597237205083</c:v>
                </c:pt>
                <c:pt idx="17">
                  <c:v>71.974290030998858</c:v>
                </c:pt>
              </c:numCache>
            </c:numRef>
          </c:yVal>
          <c:smooth val="1"/>
          <c:extLst>
            <c:ext xmlns:c16="http://schemas.microsoft.com/office/drawing/2014/chart" uri="{C3380CC4-5D6E-409C-BE32-E72D297353CC}">
              <c16:uniqueId val="{00000001-473C-4C50-B7DA-F43B52693840}"/>
            </c:ext>
          </c:extLst>
        </c:ser>
        <c:ser>
          <c:idx val="2"/>
          <c:order val="2"/>
          <c:tx>
            <c:strRef>
              <c:f>Provo!$K$10</c:f>
              <c:strCache>
                <c:ptCount val="1"/>
                <c:pt idx="0">
                  <c:v>Fall, Spring</c:v>
                </c:pt>
              </c:strCache>
            </c:strRef>
          </c:tx>
          <c:spPr>
            <a:ln w="12700" cap="rnd">
              <a:solidFill>
                <a:srgbClr val="FFC000"/>
              </a:solidFill>
              <a:round/>
            </a:ln>
            <a:effectLst/>
          </c:spPr>
          <c:marker>
            <c:symbol val="none"/>
          </c:marker>
          <c:xVal>
            <c:numRef>
              <c:f>Provo!$D$57:$D$75</c:f>
              <c:numCache>
                <c:formatCode>General</c:formatCode>
                <c:ptCount val="19"/>
                <c:pt idx="0">
                  <c:v>28.853713577616691</c:v>
                </c:pt>
                <c:pt idx="1">
                  <c:v>27.564431672396907</c:v>
                </c:pt>
                <c:pt idx="2">
                  <c:v>26.275149767177123</c:v>
                </c:pt>
                <c:pt idx="3">
                  <c:v>24.985867861957338</c:v>
                </c:pt>
                <c:pt idx="4">
                  <c:v>23.69658595673755</c:v>
                </c:pt>
                <c:pt idx="5">
                  <c:v>22.407304051517762</c:v>
                </c:pt>
                <c:pt idx="6">
                  <c:v>21.118022146297978</c:v>
                </c:pt>
                <c:pt idx="7">
                  <c:v>19.828740241078194</c:v>
                </c:pt>
                <c:pt idx="8">
                  <c:v>18.539458335858409</c:v>
                </c:pt>
                <c:pt idx="9">
                  <c:v>17.250176430638628</c:v>
                </c:pt>
                <c:pt idx="10">
                  <c:v>15.960894525418841</c:v>
                </c:pt>
                <c:pt idx="11">
                  <c:v>14.671612620199056</c:v>
                </c:pt>
                <c:pt idx="12">
                  <c:v>13.38233071497927</c:v>
                </c:pt>
                <c:pt idx="13">
                  <c:v>12.093048809759486</c:v>
                </c:pt>
                <c:pt idx="14">
                  <c:v>10.803766904539701</c:v>
                </c:pt>
                <c:pt idx="15">
                  <c:v>9.514484999319917</c:v>
                </c:pt>
                <c:pt idx="16">
                  <c:v>8.2252030941001326</c:v>
                </c:pt>
                <c:pt idx="17">
                  <c:v>6.9359211888803456</c:v>
                </c:pt>
                <c:pt idx="18">
                  <c:v>5.6466392836605612</c:v>
                </c:pt>
              </c:numCache>
            </c:numRef>
          </c:xVal>
          <c:yVal>
            <c:numRef>
              <c:f>Provo!$G$57:$G$75</c:f>
              <c:numCache>
                <c:formatCode>General</c:formatCode>
                <c:ptCount val="19"/>
                <c:pt idx="0">
                  <c:v>0</c:v>
                </c:pt>
                <c:pt idx="1">
                  <c:v>0.4052027101620696</c:v>
                </c:pt>
                <c:pt idx="2">
                  <c:v>0.85689812967671697</c:v>
                </c:pt>
                <c:pt idx="3">
                  <c:v>1.3634747225515043</c:v>
                </c:pt>
                <c:pt idx="4">
                  <c:v>1.9354544283381536</c:v>
                </c:pt>
                <c:pt idx="5">
                  <c:v>2.586214019386412</c:v>
                </c:pt>
                <c:pt idx="6">
                  <c:v>3.333019441429006</c:v>
                </c:pt>
                <c:pt idx="7">
                  <c:v>4.1985435280884662</c:v>
                </c:pt>
                <c:pt idx="8">
                  <c:v>5.2131522191830868</c:v>
                </c:pt>
                <c:pt idx="9">
                  <c:v>6.4184539116347175</c:v>
                </c:pt>
                <c:pt idx="10">
                  <c:v>7.873006434187424</c:v>
                </c:pt>
                <c:pt idx="11">
                  <c:v>9.6618798193223014</c:v>
                </c:pt>
                <c:pt idx="12">
                  <c:v>11.913490121906268</c:v>
                </c:pt>
                <c:pt idx="13">
                  <c:v>14.831067800430448</c:v>
                </c:pt>
                <c:pt idx="14">
                  <c:v>18.756061180813788</c:v>
                </c:pt>
                <c:pt idx="15">
                  <c:v>24.308812725918919</c:v>
                </c:pt>
                <c:pt idx="16">
                  <c:v>32.743787061501486</c:v>
                </c:pt>
                <c:pt idx="17">
                  <c:v>47.028441011897911</c:v>
                </c:pt>
                <c:pt idx="18">
                  <c:v>76.229427313460761</c:v>
                </c:pt>
              </c:numCache>
            </c:numRef>
          </c:yVal>
          <c:smooth val="1"/>
          <c:extLst>
            <c:ext xmlns:c16="http://schemas.microsoft.com/office/drawing/2014/chart" uri="{C3380CC4-5D6E-409C-BE32-E72D297353CC}">
              <c16:uniqueId val="{00000002-473C-4C50-B7DA-F43B52693840}"/>
            </c:ext>
          </c:extLst>
        </c:ser>
        <c:dLbls>
          <c:showLegendKey val="0"/>
          <c:showVal val="0"/>
          <c:showCatName val="0"/>
          <c:showSerName val="0"/>
          <c:showPercent val="0"/>
          <c:showBubbleSize val="0"/>
        </c:dLbls>
        <c:axId val="205275712"/>
        <c:axId val="205276288"/>
      </c:scatterChart>
      <c:valAx>
        <c:axId val="205275712"/>
        <c:scaling>
          <c:orientation val="minMax"/>
          <c:max val="90"/>
          <c:min val="0"/>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n-US" sz="1200">
                    <a:solidFill>
                      <a:sysClr val="windowText" lastClr="000000"/>
                    </a:solidFill>
                  </a:rPr>
                  <a:t>Water Delivery, taf</a:t>
                </a:r>
              </a:p>
            </c:rich>
          </c:tx>
          <c:layout>
            <c:manualLayout>
              <c:xMode val="edge"/>
              <c:yMode val="edge"/>
              <c:x val="0.31171486741727378"/>
              <c:y val="0.90522162729658795"/>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title>
        <c:numFmt formatCode="#,##0" sourceLinked="0"/>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crossAx val="205276288"/>
        <c:crosses val="autoZero"/>
        <c:crossBetween val="midCat"/>
        <c:majorUnit val="20"/>
      </c:valAx>
      <c:valAx>
        <c:axId val="205276288"/>
        <c:scaling>
          <c:orientation val="minMax"/>
          <c:max val="50"/>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n-US" sz="1200">
                    <a:solidFill>
                      <a:sysClr val="windowText" lastClr="000000"/>
                    </a:solidFill>
                  </a:rPr>
                  <a:t>Economic</a:t>
                </a:r>
                <a:r>
                  <a:rPr lang="en-US" sz="1200" baseline="0">
                    <a:solidFill>
                      <a:sysClr val="windowText" lastClr="000000"/>
                    </a:solidFill>
                  </a:rPr>
                  <a:t> </a:t>
                </a:r>
                <a:r>
                  <a:rPr lang="en-US" sz="1200">
                    <a:solidFill>
                      <a:sysClr val="windowText" lastClr="000000"/>
                    </a:solidFill>
                  </a:rPr>
                  <a:t>Losses, $M</a:t>
                </a:r>
              </a:p>
            </c:rich>
          </c:tx>
          <c:layout>
            <c:manualLayout>
              <c:xMode val="edge"/>
              <c:yMode val="edge"/>
              <c:x val="0"/>
              <c:y val="9.9366719160104977E-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crossAx val="205275712"/>
        <c:crosses val="autoZero"/>
        <c:crossBetween val="midCat"/>
      </c:valAx>
      <c:spPr>
        <a:noFill/>
        <a:ln>
          <a:solidFill>
            <a:schemeClr val="tx1"/>
          </a:solidFill>
        </a:ln>
        <a:effectLst/>
      </c:spPr>
    </c:plotArea>
    <c:legend>
      <c:legendPos val="b"/>
      <c:layout>
        <c:manualLayout>
          <c:xMode val="edge"/>
          <c:yMode val="edge"/>
          <c:x val="0.46117300757966001"/>
          <c:y val="6.4800419947506543E-2"/>
          <c:w val="0.42223824825635115"/>
          <c:h val="0.26177553805774278"/>
        </c:manualLayout>
      </c:layout>
      <c:overlay val="0"/>
      <c:spPr>
        <a:solidFill>
          <a:schemeClr val="bg1"/>
        </a:solid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legend>
    <c:plotVisOnly val="1"/>
    <c:dispBlanksAs val="zero"/>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203937007874015"/>
          <c:y val="3.9960104986876639E-2"/>
          <c:w val="0.76907174103237097"/>
          <c:h val="0.73334173228346444"/>
        </c:manualLayout>
      </c:layout>
      <c:scatterChart>
        <c:scatterStyle val="smoothMarker"/>
        <c:varyColors val="0"/>
        <c:ser>
          <c:idx val="1"/>
          <c:order val="0"/>
          <c:tx>
            <c:strRef>
              <c:f>Logan!$F$10</c:f>
              <c:strCache>
                <c:ptCount val="1"/>
                <c:pt idx="0">
                  <c:v>Summer</c:v>
                </c:pt>
              </c:strCache>
            </c:strRef>
          </c:tx>
          <c:spPr>
            <a:ln w="12700" cap="rnd">
              <a:solidFill>
                <a:schemeClr val="accent2"/>
              </a:solidFill>
              <a:round/>
            </a:ln>
            <a:effectLst/>
          </c:spPr>
          <c:marker>
            <c:symbol val="none"/>
          </c:marker>
          <c:xVal>
            <c:numRef>
              <c:f>Logan!$B$12:$B$48</c:f>
              <c:numCache>
                <c:formatCode>0.0</c:formatCode>
                <c:ptCount val="37"/>
                <c:pt idx="0">
                  <c:v>21987.132974413733</c:v>
                </c:pt>
                <c:pt idx="1">
                  <c:v>20987.717839213106</c:v>
                </c:pt>
                <c:pt idx="2">
                  <c:v>19988.302704012483</c:v>
                </c:pt>
                <c:pt idx="3">
                  <c:v>19079.74349019373</c:v>
                </c:pt>
                <c:pt idx="4">
                  <c:v>18171.184276374985</c:v>
                </c:pt>
                <c:pt idx="5">
                  <c:v>17345.221354721572</c:v>
                </c:pt>
                <c:pt idx="6">
                  <c:v>16519.258433068168</c:v>
                </c:pt>
                <c:pt idx="7">
                  <c:v>15768.383049746884</c:v>
                </c:pt>
                <c:pt idx="8">
                  <c:v>15017.507666425605</c:v>
                </c:pt>
                <c:pt idx="9">
                  <c:v>14334.893681588075</c:v>
                </c:pt>
                <c:pt idx="10">
                  <c:v>13652.279696750549</c:v>
                </c:pt>
                <c:pt idx="11">
                  <c:v>13031.721528716431</c:v>
                </c:pt>
                <c:pt idx="12">
                  <c:v>12411.163360682316</c:v>
                </c:pt>
                <c:pt idx="13">
                  <c:v>11847.019571560391</c:v>
                </c:pt>
                <c:pt idx="14">
                  <c:v>11282.875782438468</c:v>
                </c:pt>
                <c:pt idx="15">
                  <c:v>10770.017792327628</c:v>
                </c:pt>
                <c:pt idx="16">
                  <c:v>10257.159802216789</c:v>
                </c:pt>
                <c:pt idx="17">
                  <c:v>9790.9252657523884</c:v>
                </c:pt>
                <c:pt idx="18">
                  <c:v>9324.6907292879896</c:v>
                </c:pt>
                <c:pt idx="19">
                  <c:v>8900.8411506839893</c:v>
                </c:pt>
                <c:pt idx="20">
                  <c:v>8476.9915720799891</c:v>
                </c:pt>
                <c:pt idx="21">
                  <c:v>8053.1419934759888</c:v>
                </c:pt>
                <c:pt idx="22">
                  <c:v>7629.2924148719903</c:v>
                </c:pt>
                <c:pt idx="23">
                  <c:v>7205.4428362679901</c:v>
                </c:pt>
                <c:pt idx="24">
                  <c:v>6781.5932576639916</c:v>
                </c:pt>
                <c:pt idx="25">
                  <c:v>6357.7436790599913</c:v>
                </c:pt>
                <c:pt idx="26">
                  <c:v>5933.894100455992</c:v>
                </c:pt>
                <c:pt idx="27">
                  <c:v>5510.0445218519935</c:v>
                </c:pt>
                <c:pt idx="28">
                  <c:v>5086.1949432479933</c:v>
                </c:pt>
                <c:pt idx="29">
                  <c:v>4662.3453646439948</c:v>
                </c:pt>
                <c:pt idx="30">
                  <c:v>4238.4957860399945</c:v>
                </c:pt>
                <c:pt idx="31">
                  <c:v>3814.6462074359952</c:v>
                </c:pt>
                <c:pt idx="32">
                  <c:v>3390.7966288319958</c:v>
                </c:pt>
                <c:pt idx="33">
                  <c:v>2966.947050227996</c:v>
                </c:pt>
                <c:pt idx="34">
                  <c:v>2543.0974716239966</c:v>
                </c:pt>
                <c:pt idx="35">
                  <c:v>2119.2478930199973</c:v>
                </c:pt>
                <c:pt idx="36">
                  <c:v>1695.3983144159979</c:v>
                </c:pt>
              </c:numCache>
            </c:numRef>
          </c:xVal>
          <c:yVal>
            <c:numRef>
              <c:f>Logan!$F$12:$F$48</c:f>
              <c:numCache>
                <c:formatCode>0.0</c:formatCode>
                <c:ptCount val="37"/>
                <c:pt idx="0">
                  <c:v>70.228759093034839</c:v>
                </c:pt>
                <c:pt idx="1">
                  <c:v>75.054541258406573</c:v>
                </c:pt>
                <c:pt idx="2">
                  <c:v>80.472483052075418</c:v>
                </c:pt>
                <c:pt idx="3">
                  <c:v>86.002164603211085</c:v>
                </c:pt>
                <c:pt idx="4">
                  <c:v>92.210379511160227</c:v>
                </c:pt>
                <c:pt idx="5">
                  <c:v>98.546632787651248</c:v>
                </c:pt>
                <c:pt idx="6">
                  <c:v>105.66039181480052</c:v>
                </c:pt>
                <c:pt idx="7">
                  <c:v>112.92086517345109</c:v>
                </c:pt>
                <c:pt idx="8">
                  <c:v>121.07225301145162</c:v>
                </c:pt>
                <c:pt idx="9">
                  <c:v>129.39175526166321</c:v>
                </c:pt>
                <c:pt idx="10">
                  <c:v>138.73212277086856</c:v>
                </c:pt>
                <c:pt idx="11">
                  <c:v>148.26512623665579</c:v>
                </c:pt>
                <c:pt idx="12">
                  <c:v>158.96790065260348</c:v>
                </c:pt>
                <c:pt idx="13">
                  <c:v>169.8914093368403</c:v>
                </c:pt>
                <c:pt idx="14">
                  <c:v>182.1553143797386</c:v>
                </c:pt>
                <c:pt idx="15">
                  <c:v>194.67215048525659</c:v>
                </c:pt>
                <c:pt idx="16">
                  <c:v>208.72489616184581</c:v>
                </c:pt>
                <c:pt idx="17">
                  <c:v>223.06746599185806</c:v>
                </c:pt>
                <c:pt idx="18">
                  <c:v>239.16997660003156</c:v>
                </c:pt>
                <c:pt idx="19">
                  <c:v>255.60458576121411</c:v>
                </c:pt>
                <c:pt idx="20">
                  <c:v>274.05584460085134</c:v>
                </c:pt>
                <c:pt idx="21">
                  <c:v>294.89165947632767</c:v>
                </c:pt>
                <c:pt idx="22">
                  <c:v>318.57149387936761</c:v>
                </c:pt>
                <c:pt idx="23">
                  <c:v>345.67595753520061</c:v>
                </c:pt>
                <c:pt idx="24">
                  <c:v>376.94843462516997</c:v>
                </c:pt>
                <c:pt idx="25">
                  <c:v>413.35479304885723</c:v>
                </c:pt>
                <c:pt idx="26">
                  <c:v>456.17090557796644</c:v>
                </c:pt>
                <c:pt idx="27">
                  <c:v>507.11411840739021</c:v>
                </c:pt>
                <c:pt idx="28">
                  <c:v>568.54632095700379</c:v>
                </c:pt>
                <c:pt idx="29">
                  <c:v>643.79783515571739</c:v>
                </c:pt>
                <c:pt idx="30">
                  <c:v>737.70362808061543</c:v>
                </c:pt>
                <c:pt idx="31">
                  <c:v>857.530869958837</c:v>
                </c:pt>
                <c:pt idx="32">
                  <c:v>1014.6699415489632</c:v>
                </c:pt>
                <c:pt idx="33">
                  <c:v>1227.9210193813233</c:v>
                </c:pt>
                <c:pt idx="34">
                  <c:v>1530.4132057928955</c:v>
                </c:pt>
                <c:pt idx="35">
                  <c:v>1985.7509102785809</c:v>
                </c:pt>
                <c:pt idx="36">
                  <c:v>2731.288939578023</c:v>
                </c:pt>
              </c:numCache>
            </c:numRef>
          </c:yVal>
          <c:smooth val="1"/>
          <c:extLst>
            <c:ext xmlns:c16="http://schemas.microsoft.com/office/drawing/2014/chart" uri="{C3380CC4-5D6E-409C-BE32-E72D297353CC}">
              <c16:uniqueId val="{00000000-2A27-4C22-BD0A-548FD62CC0CE}"/>
            </c:ext>
          </c:extLst>
        </c:ser>
        <c:ser>
          <c:idx val="0"/>
          <c:order val="1"/>
          <c:tx>
            <c:strRef>
              <c:f>Logan!$G$10</c:f>
              <c:strCache>
                <c:ptCount val="1"/>
                <c:pt idx="0">
                  <c:v>Winter</c:v>
                </c:pt>
              </c:strCache>
            </c:strRef>
          </c:tx>
          <c:spPr>
            <a:ln w="12700" cap="rnd">
              <a:solidFill>
                <a:schemeClr val="accent1"/>
              </a:solidFill>
              <a:round/>
            </a:ln>
            <a:effectLst/>
          </c:spPr>
          <c:marker>
            <c:symbol val="none"/>
          </c:marker>
          <c:xVal>
            <c:numRef>
              <c:f>Logan!$C$12:$C$45</c:f>
              <c:numCache>
                <c:formatCode>0.0</c:formatCode>
                <c:ptCount val="34"/>
                <c:pt idx="0">
                  <c:v>8174.2418730771369</c:v>
                </c:pt>
                <c:pt idx="1">
                  <c:v>7969.8858262502081</c:v>
                </c:pt>
                <c:pt idx="2">
                  <c:v>7765.5297794232802</c:v>
                </c:pt>
                <c:pt idx="3">
                  <c:v>7561.1737325963513</c:v>
                </c:pt>
                <c:pt idx="4">
                  <c:v>7356.8176857694225</c:v>
                </c:pt>
                <c:pt idx="5">
                  <c:v>7152.4616389424946</c:v>
                </c:pt>
                <c:pt idx="6">
                  <c:v>6948.1055921155657</c:v>
                </c:pt>
                <c:pt idx="7">
                  <c:v>6743.7495452886369</c:v>
                </c:pt>
                <c:pt idx="8">
                  <c:v>6539.393498461709</c:v>
                </c:pt>
                <c:pt idx="9">
                  <c:v>6335.0374516347802</c:v>
                </c:pt>
                <c:pt idx="10">
                  <c:v>6130.6814048078513</c:v>
                </c:pt>
                <c:pt idx="11">
                  <c:v>5926.3253579809234</c:v>
                </c:pt>
                <c:pt idx="12">
                  <c:v>5721.9693111539946</c:v>
                </c:pt>
                <c:pt idx="13">
                  <c:v>5517.6132643270666</c:v>
                </c:pt>
                <c:pt idx="14">
                  <c:v>5313.2572175001378</c:v>
                </c:pt>
                <c:pt idx="15">
                  <c:v>5108.901170673209</c:v>
                </c:pt>
                <c:pt idx="16">
                  <c:v>4904.5451238462811</c:v>
                </c:pt>
                <c:pt idx="17">
                  <c:v>4700.1890770193522</c:v>
                </c:pt>
                <c:pt idx="18">
                  <c:v>4495.8330301924234</c:v>
                </c:pt>
                <c:pt idx="19">
                  <c:v>4291.4769833654955</c:v>
                </c:pt>
                <c:pt idx="20">
                  <c:v>4087.1209365385666</c:v>
                </c:pt>
                <c:pt idx="21">
                  <c:v>3882.7648897116383</c:v>
                </c:pt>
                <c:pt idx="22">
                  <c:v>3678.4088428847099</c:v>
                </c:pt>
                <c:pt idx="23">
                  <c:v>3474.0527960577815</c:v>
                </c:pt>
                <c:pt idx="24">
                  <c:v>3269.6967492308536</c:v>
                </c:pt>
                <c:pt idx="25">
                  <c:v>3065.3407024039252</c:v>
                </c:pt>
                <c:pt idx="26">
                  <c:v>2860.9846555769964</c:v>
                </c:pt>
                <c:pt idx="27">
                  <c:v>2656.6286087500685</c:v>
                </c:pt>
                <c:pt idx="28">
                  <c:v>2452.2725619231401</c:v>
                </c:pt>
                <c:pt idx="29">
                  <c:v>2247.9165150962117</c:v>
                </c:pt>
                <c:pt idx="30">
                  <c:v>2043.5604682692833</c:v>
                </c:pt>
                <c:pt idx="31">
                  <c:v>1839.2044214423549</c:v>
                </c:pt>
                <c:pt idx="32">
                  <c:v>1634.8483746154268</c:v>
                </c:pt>
                <c:pt idx="33">
                  <c:v>1430.4923277884982</c:v>
                </c:pt>
              </c:numCache>
            </c:numRef>
          </c:xVal>
          <c:yVal>
            <c:numRef>
              <c:f>Logan!$G$12:$G$45</c:f>
              <c:numCache>
                <c:formatCode>0.0</c:formatCode>
                <c:ptCount val="34"/>
                <c:pt idx="0">
                  <c:v>43.798921690411575</c:v>
                </c:pt>
                <c:pt idx="1">
                  <c:v>46.832973937307102</c:v>
                </c:pt>
                <c:pt idx="2">
                  <c:v>50.164406639860147</c:v>
                </c:pt>
                <c:pt idx="3">
                  <c:v>53.831385051428917</c:v>
                </c:pt>
                <c:pt idx="4">
                  <c:v>57.87819528806245</c:v>
                </c:pt>
                <c:pt idx="5">
                  <c:v>62.356433508797444</c:v>
                </c:pt>
                <c:pt idx="6">
                  <c:v>67.326468870588798</c:v>
                </c:pt>
                <c:pt idx="7">
                  <c:v>72.859253733651002</c:v>
                </c:pt>
                <c:pt idx="8">
                  <c:v>79.038577295014619</c:v>
                </c:pt>
                <c:pt idx="9">
                  <c:v>85.963889526625636</c:v>
                </c:pt>
                <c:pt idx="10">
                  <c:v>93.753864175571138</c:v>
                </c:pt>
                <c:pt idx="11">
                  <c:v>102.55092726130421</c:v>
                </c:pt>
                <c:pt idx="12">
                  <c:v>112.52705773360361</c:v>
                </c:pt>
                <c:pt idx="13">
                  <c:v>123.8912797470101</c:v>
                </c:pt>
                <c:pt idx="14">
                  <c:v>136.89942639081832</c:v>
                </c:pt>
                <c:pt idx="15">
                  <c:v>151.86698555655192</c:v>
                </c:pt>
                <c:pt idx="16">
                  <c:v>169.18617523794788</c:v>
                </c:pt>
                <c:pt idx="17">
                  <c:v>189.34889332654612</c:v>
                </c:pt>
                <c:pt idx="18">
                  <c:v>212.97793423821747</c:v>
                </c:pt>
                <c:pt idx="19">
                  <c:v>240.87000500613811</c:v>
                </c:pt>
                <c:pt idx="20">
                  <c:v>274.0558446008518</c:v>
                </c:pt>
                <c:pt idx="21">
                  <c:v>313.88555471211794</c:v>
                </c:pt>
                <c:pt idx="22">
                  <c:v>362.15178551109085</c:v>
                </c:pt>
                <c:pt idx="23">
                  <c:v>421.27092581737003</c:v>
                </c:pt>
                <c:pt idx="24">
                  <c:v>494.55519041640861</c:v>
                </c:pt>
                <c:pt idx="25">
                  <c:v>586.63075344283095</c:v>
                </c:pt>
                <c:pt idx="26">
                  <c:v>704.09719366179593</c:v>
                </c:pt>
                <c:pt idx="27">
                  <c:v>856.59843842962221</c:v>
                </c:pt>
                <c:pt idx="28">
                  <c:v>1058.6210427133462</c:v>
                </c:pt>
                <c:pt idx="29">
                  <c:v>1332.6320693821328</c:v>
                </c:pt>
                <c:pt idx="30">
                  <c:v>1714.8049098279178</c:v>
                </c:pt>
                <c:pt idx="31">
                  <c:v>2266.0332634096762</c:v>
                </c:pt>
                <c:pt idx="32">
                  <c:v>3094.499480359932</c:v>
                </c:pt>
                <c:pt idx="33">
                  <c:v>4405.6324594930711</c:v>
                </c:pt>
              </c:numCache>
            </c:numRef>
          </c:yVal>
          <c:smooth val="1"/>
          <c:extLst>
            <c:ext xmlns:c16="http://schemas.microsoft.com/office/drawing/2014/chart" uri="{C3380CC4-5D6E-409C-BE32-E72D297353CC}">
              <c16:uniqueId val="{00000001-2A27-4C22-BD0A-548FD62CC0CE}"/>
            </c:ext>
          </c:extLst>
        </c:ser>
        <c:ser>
          <c:idx val="2"/>
          <c:order val="2"/>
          <c:tx>
            <c:strRef>
              <c:f>Logan!$H$10</c:f>
              <c:strCache>
                <c:ptCount val="1"/>
                <c:pt idx="0">
                  <c:v>Fall, Spring</c:v>
                </c:pt>
              </c:strCache>
            </c:strRef>
          </c:tx>
          <c:spPr>
            <a:ln w="12700" cap="rnd">
              <a:solidFill>
                <a:schemeClr val="accent3"/>
              </a:solidFill>
              <a:round/>
            </a:ln>
            <a:effectLst/>
          </c:spPr>
          <c:marker>
            <c:symbol val="none"/>
          </c:marker>
          <c:xVal>
            <c:numRef>
              <c:f>Logan!$D$12:$D$47</c:f>
              <c:numCache>
                <c:formatCode>0.0</c:formatCode>
                <c:ptCount val="36"/>
                <c:pt idx="0">
                  <c:v>11504.488562108563</c:v>
                </c:pt>
                <c:pt idx="1">
                  <c:v>11216.876348055848</c:v>
                </c:pt>
                <c:pt idx="2">
                  <c:v>10929.264134003135</c:v>
                </c:pt>
                <c:pt idx="3">
                  <c:v>10641.65191995042</c:v>
                </c:pt>
                <c:pt idx="4">
                  <c:v>10354.039705897707</c:v>
                </c:pt>
                <c:pt idx="5">
                  <c:v>10066.427491844992</c:v>
                </c:pt>
                <c:pt idx="6">
                  <c:v>9778.8152777922769</c:v>
                </c:pt>
                <c:pt idx="7">
                  <c:v>9491.2030637395637</c:v>
                </c:pt>
                <c:pt idx="8">
                  <c:v>9203.5908496868487</c:v>
                </c:pt>
                <c:pt idx="9">
                  <c:v>8915.9786356341356</c:v>
                </c:pt>
                <c:pt idx="10">
                  <c:v>8628.3664215814206</c:v>
                </c:pt>
                <c:pt idx="11">
                  <c:v>8340.7542075287074</c:v>
                </c:pt>
                <c:pt idx="12">
                  <c:v>8053.1419934759924</c:v>
                </c:pt>
                <c:pt idx="13">
                  <c:v>7765.5297794232783</c:v>
                </c:pt>
                <c:pt idx="14">
                  <c:v>7477.9175653705643</c:v>
                </c:pt>
                <c:pt idx="15">
                  <c:v>7190.3053513178502</c:v>
                </c:pt>
                <c:pt idx="16">
                  <c:v>6902.6931372651361</c:v>
                </c:pt>
                <c:pt idx="17">
                  <c:v>6615.0809232124211</c:v>
                </c:pt>
                <c:pt idx="18">
                  <c:v>6327.468709159707</c:v>
                </c:pt>
                <c:pt idx="19">
                  <c:v>6039.856495106993</c:v>
                </c:pt>
                <c:pt idx="20">
                  <c:v>5752.2442810542789</c:v>
                </c:pt>
                <c:pt idx="21">
                  <c:v>5464.6320670015648</c:v>
                </c:pt>
                <c:pt idx="22">
                  <c:v>5177.0198529488507</c:v>
                </c:pt>
                <c:pt idx="23">
                  <c:v>4889.4076388961366</c:v>
                </c:pt>
                <c:pt idx="24">
                  <c:v>4601.7954248434235</c:v>
                </c:pt>
                <c:pt idx="25">
                  <c:v>4314.1832107907094</c:v>
                </c:pt>
                <c:pt idx="26">
                  <c:v>4026.5709967379948</c:v>
                </c:pt>
                <c:pt idx="27">
                  <c:v>3738.9587826852812</c:v>
                </c:pt>
                <c:pt idx="28">
                  <c:v>3451.3465686325671</c:v>
                </c:pt>
                <c:pt idx="29">
                  <c:v>3163.7343545798535</c:v>
                </c:pt>
                <c:pt idx="30">
                  <c:v>2876.1221405271394</c:v>
                </c:pt>
                <c:pt idx="31">
                  <c:v>2588.5099264744254</c:v>
                </c:pt>
                <c:pt idx="32">
                  <c:v>2300.8977124217117</c:v>
                </c:pt>
                <c:pt idx="33">
                  <c:v>2013.2854983689974</c:v>
                </c:pt>
                <c:pt idx="34">
                  <c:v>1725.6732843162836</c:v>
                </c:pt>
                <c:pt idx="35">
                  <c:v>1438.0610702635697</c:v>
                </c:pt>
              </c:numCache>
            </c:numRef>
          </c:xVal>
          <c:yVal>
            <c:numRef>
              <c:f>Logan!$H$12:$H$47</c:f>
              <c:numCache>
                <c:formatCode>0.0</c:formatCode>
                <c:ptCount val="36"/>
                <c:pt idx="0">
                  <c:v>65.638502595234385</c:v>
                </c:pt>
                <c:pt idx="1">
                  <c:v>69.155951402987753</c:v>
                </c:pt>
                <c:pt idx="2">
                  <c:v>72.960764455878731</c:v>
                </c:pt>
                <c:pt idx="3">
                  <c:v>77.084937622574671</c:v>
                </c:pt>
                <c:pt idx="4">
                  <c:v>81.565031141957377</c:v>
                </c:pt>
                <c:pt idx="5">
                  <c:v>86.442971941311214</c:v>
                </c:pt>
                <c:pt idx="6">
                  <c:v>91.767025143125963</c:v>
                </c:pt>
                <c:pt idx="7">
                  <c:v>97.592976740434835</c:v>
                </c:pt>
                <c:pt idx="8">
                  <c:v>103.98558149965679</c:v>
                </c:pt>
                <c:pt idx="9">
                  <c:v>111.0203462141842</c:v>
                </c:pt>
                <c:pt idx="10">
                  <c:v>118.78573997592636</c:v>
                </c:pt>
                <c:pt idx="11">
                  <c:v>127.38595228238724</c:v>
                </c:pt>
                <c:pt idx="12">
                  <c:v>136.94435961323083</c:v>
                </c:pt>
                <c:pt idx="13">
                  <c:v>147.60791604439029</c:v>
                </c:pt>
                <c:pt idx="14">
                  <c:v>159.55276007677594</c:v>
                </c:pt>
                <c:pt idx="15">
                  <c:v>172.99143792480174</c:v>
                </c:pt>
                <c:pt idx="16">
                  <c:v>188.18229784176233</c:v>
                </c:pt>
                <c:pt idx="17">
                  <c:v>205.44183339183698</c:v>
                </c:pt>
                <c:pt idx="18">
                  <c:v>225.16108139858957</c:v>
                </c:pt>
                <c:pt idx="19">
                  <c:v>247.82766895977275</c:v>
                </c:pt>
                <c:pt idx="20">
                  <c:v>274.0558446008518</c:v>
                </c:pt>
                <c:pt idx="21">
                  <c:v>304.62797192346977</c:v>
                </c:pt>
                <c:pt idx="22">
                  <c:v>340.55276424186519</c:v>
                </c:pt>
                <c:pt idx="23">
                  <c:v>383.14843556368589</c:v>
                </c:pt>
                <c:pt idx="24">
                  <c:v>434.16371851036274</c:v>
                </c:pt>
                <c:pt idx="25">
                  <c:v>495.9577840522403</c:v>
                </c:pt>
                <c:pt idx="26">
                  <c:v>571.77419735732383</c:v>
                </c:pt>
                <c:pt idx="27">
                  <c:v>666.16946902156496</c:v>
                </c:pt>
                <c:pt idx="28">
                  <c:v>785.70437372679214</c:v>
                </c:pt>
                <c:pt idx="29">
                  <c:v>940.09929986446343</c:v>
                </c:pt>
                <c:pt idx="30">
                  <c:v>1144.246181590061</c:v>
                </c:pt>
                <c:pt idx="31">
                  <c:v>1421.8861147852415</c:v>
                </c:pt>
                <c:pt idx="32">
                  <c:v>1812.7333785344874</c:v>
                </c:pt>
                <c:pt idx="33">
                  <c:v>2387.2887768940645</c:v>
                </c:pt>
                <c:pt idx="34">
                  <c:v>3280.4964652547346</c:v>
                </c:pt>
                <c:pt idx="35">
                  <c:v>4777.4909744777069</c:v>
                </c:pt>
              </c:numCache>
            </c:numRef>
          </c:yVal>
          <c:smooth val="1"/>
          <c:extLst>
            <c:ext xmlns:c16="http://schemas.microsoft.com/office/drawing/2014/chart" uri="{C3380CC4-5D6E-409C-BE32-E72D297353CC}">
              <c16:uniqueId val="{00000002-2A27-4C22-BD0A-548FD62CC0CE}"/>
            </c:ext>
          </c:extLst>
        </c:ser>
        <c:ser>
          <c:idx val="3"/>
          <c:order val="3"/>
          <c:tx>
            <c:strRef>
              <c:f>Logan!$E$10</c:f>
              <c:strCache>
                <c:ptCount val="1"/>
                <c:pt idx="0">
                  <c:v>2010 Price</c:v>
                </c:pt>
              </c:strCache>
            </c:strRef>
          </c:tx>
          <c:spPr>
            <a:ln w="19050" cap="rnd">
              <a:solidFill>
                <a:schemeClr val="tx1"/>
              </a:solidFill>
              <a:round/>
            </a:ln>
            <a:effectLst/>
          </c:spPr>
          <c:marker>
            <c:symbol val="none"/>
          </c:marker>
          <c:xVal>
            <c:numRef>
              <c:f>Logan!$B$11:$B$52</c:f>
              <c:numCache>
                <c:formatCode>0.0</c:formatCode>
                <c:ptCount val="42"/>
                <c:pt idx="0" formatCode="General">
                  <c:v>100000</c:v>
                </c:pt>
                <c:pt idx="1">
                  <c:v>21987.132974413733</c:v>
                </c:pt>
                <c:pt idx="2">
                  <c:v>20987.717839213106</c:v>
                </c:pt>
                <c:pt idx="3">
                  <c:v>19988.302704012483</c:v>
                </c:pt>
                <c:pt idx="4">
                  <c:v>19079.74349019373</c:v>
                </c:pt>
                <c:pt idx="5">
                  <c:v>18171.184276374985</c:v>
                </c:pt>
                <c:pt idx="6">
                  <c:v>17345.221354721572</c:v>
                </c:pt>
                <c:pt idx="7">
                  <c:v>16519.258433068168</c:v>
                </c:pt>
                <c:pt idx="8">
                  <c:v>15768.383049746884</c:v>
                </c:pt>
                <c:pt idx="9">
                  <c:v>15017.507666425605</c:v>
                </c:pt>
                <c:pt idx="10">
                  <c:v>14334.893681588075</c:v>
                </c:pt>
                <c:pt idx="11">
                  <c:v>13652.279696750549</c:v>
                </c:pt>
                <c:pt idx="12">
                  <c:v>13031.721528716431</c:v>
                </c:pt>
                <c:pt idx="13">
                  <c:v>12411.163360682316</c:v>
                </c:pt>
                <c:pt idx="14">
                  <c:v>11847.019571560391</c:v>
                </c:pt>
                <c:pt idx="15">
                  <c:v>11282.875782438468</c:v>
                </c:pt>
                <c:pt idx="16">
                  <c:v>10770.017792327628</c:v>
                </c:pt>
                <c:pt idx="17">
                  <c:v>10257.159802216789</c:v>
                </c:pt>
                <c:pt idx="18">
                  <c:v>9790.9252657523884</c:v>
                </c:pt>
                <c:pt idx="19">
                  <c:v>9324.6907292879896</c:v>
                </c:pt>
                <c:pt idx="20">
                  <c:v>8900.8411506839893</c:v>
                </c:pt>
                <c:pt idx="21">
                  <c:v>8476.9915720799891</c:v>
                </c:pt>
                <c:pt idx="22">
                  <c:v>8053.1419934759888</c:v>
                </c:pt>
                <c:pt idx="23">
                  <c:v>7629.2924148719903</c:v>
                </c:pt>
                <c:pt idx="24">
                  <c:v>7205.4428362679901</c:v>
                </c:pt>
                <c:pt idx="25">
                  <c:v>6781.5932576639916</c:v>
                </c:pt>
                <c:pt idx="26">
                  <c:v>6357.7436790599913</c:v>
                </c:pt>
                <c:pt idx="27">
                  <c:v>5933.894100455992</c:v>
                </c:pt>
                <c:pt idx="28">
                  <c:v>5510.0445218519935</c:v>
                </c:pt>
                <c:pt idx="29">
                  <c:v>5086.1949432479933</c:v>
                </c:pt>
                <c:pt idx="30">
                  <c:v>4662.3453646439948</c:v>
                </c:pt>
                <c:pt idx="31">
                  <c:v>4238.4957860399945</c:v>
                </c:pt>
                <c:pt idx="32">
                  <c:v>3814.6462074359952</c:v>
                </c:pt>
                <c:pt idx="33">
                  <c:v>3390.7966288319958</c:v>
                </c:pt>
                <c:pt idx="34">
                  <c:v>2966.947050227996</c:v>
                </c:pt>
                <c:pt idx="35">
                  <c:v>2543.0974716239966</c:v>
                </c:pt>
                <c:pt idx="36">
                  <c:v>2119.2478930199973</c:v>
                </c:pt>
                <c:pt idx="37">
                  <c:v>1695.3983144159979</c:v>
                </c:pt>
                <c:pt idx="38">
                  <c:v>1271.5487358119983</c:v>
                </c:pt>
                <c:pt idx="39">
                  <c:v>847.69915720799895</c:v>
                </c:pt>
                <c:pt idx="40">
                  <c:v>423.84957860399948</c:v>
                </c:pt>
                <c:pt idx="41" formatCode="General">
                  <c:v>0</c:v>
                </c:pt>
              </c:numCache>
            </c:numRef>
          </c:xVal>
          <c:yVal>
            <c:numRef>
              <c:f>Logan!$E$11:$E$52</c:f>
              <c:numCache>
                <c:formatCode>0.0</c:formatCode>
                <c:ptCount val="42"/>
                <c:pt idx="0">
                  <c:v>274.05584460085134</c:v>
                </c:pt>
                <c:pt idx="1">
                  <c:v>274.05584460085134</c:v>
                </c:pt>
                <c:pt idx="2">
                  <c:v>274.05584460085134</c:v>
                </c:pt>
                <c:pt idx="3">
                  <c:v>274.05584460085134</c:v>
                </c:pt>
                <c:pt idx="4">
                  <c:v>274.05584460085134</c:v>
                </c:pt>
                <c:pt idx="5">
                  <c:v>274.05584460085134</c:v>
                </c:pt>
                <c:pt idx="6">
                  <c:v>274.05584460085134</c:v>
                </c:pt>
                <c:pt idx="7">
                  <c:v>274.05584460085134</c:v>
                </c:pt>
                <c:pt idx="8">
                  <c:v>274.05584460085134</c:v>
                </c:pt>
                <c:pt idx="9">
                  <c:v>274.05584460085134</c:v>
                </c:pt>
                <c:pt idx="10">
                  <c:v>274.05584460085134</c:v>
                </c:pt>
                <c:pt idx="11">
                  <c:v>274.05584460085134</c:v>
                </c:pt>
                <c:pt idx="12">
                  <c:v>274.05584460085134</c:v>
                </c:pt>
                <c:pt idx="13">
                  <c:v>274.05584460085134</c:v>
                </c:pt>
                <c:pt idx="14">
                  <c:v>274.05584460085134</c:v>
                </c:pt>
                <c:pt idx="15">
                  <c:v>274.05584460085134</c:v>
                </c:pt>
                <c:pt idx="16">
                  <c:v>274.05584460085134</c:v>
                </c:pt>
                <c:pt idx="17">
                  <c:v>274.05584460085134</c:v>
                </c:pt>
                <c:pt idx="18">
                  <c:v>274.05584460085134</c:v>
                </c:pt>
                <c:pt idx="19">
                  <c:v>274.05584460085134</c:v>
                </c:pt>
                <c:pt idx="20">
                  <c:v>274.05584460085134</c:v>
                </c:pt>
                <c:pt idx="21">
                  <c:v>274.05584460085134</c:v>
                </c:pt>
                <c:pt idx="22">
                  <c:v>274.05584460085134</c:v>
                </c:pt>
                <c:pt idx="23">
                  <c:v>274.05584460085134</c:v>
                </c:pt>
                <c:pt idx="24">
                  <c:v>274.05584460085134</c:v>
                </c:pt>
                <c:pt idx="25">
                  <c:v>274.05584460085134</c:v>
                </c:pt>
                <c:pt idx="26">
                  <c:v>274.05584460085134</c:v>
                </c:pt>
                <c:pt idx="27">
                  <c:v>274.05584460085134</c:v>
                </c:pt>
                <c:pt idx="28">
                  <c:v>274.05584460085134</c:v>
                </c:pt>
                <c:pt idx="29">
                  <c:v>274.05584460085134</c:v>
                </c:pt>
                <c:pt idx="30">
                  <c:v>274.05584460085134</c:v>
                </c:pt>
                <c:pt idx="31">
                  <c:v>274.05584460085134</c:v>
                </c:pt>
                <c:pt idx="32">
                  <c:v>274.05584460085134</c:v>
                </c:pt>
                <c:pt idx="33">
                  <c:v>274.05584460085134</c:v>
                </c:pt>
                <c:pt idx="34">
                  <c:v>274.05584460085134</c:v>
                </c:pt>
                <c:pt idx="35">
                  <c:v>274.05584460085134</c:v>
                </c:pt>
                <c:pt idx="36">
                  <c:v>274.05584460085134</c:v>
                </c:pt>
                <c:pt idx="37">
                  <c:v>274.05584460085134</c:v>
                </c:pt>
                <c:pt idx="38">
                  <c:v>274.05584460085134</c:v>
                </c:pt>
                <c:pt idx="39">
                  <c:v>274.05584460085134</c:v>
                </c:pt>
                <c:pt idx="40">
                  <c:v>274.05584460085134</c:v>
                </c:pt>
                <c:pt idx="41">
                  <c:v>274.05584460085134</c:v>
                </c:pt>
              </c:numCache>
            </c:numRef>
          </c:yVal>
          <c:smooth val="1"/>
          <c:extLst>
            <c:ext xmlns:c16="http://schemas.microsoft.com/office/drawing/2014/chart" uri="{C3380CC4-5D6E-409C-BE32-E72D297353CC}">
              <c16:uniqueId val="{00000003-2A27-4C22-BD0A-548FD62CC0CE}"/>
            </c:ext>
          </c:extLst>
        </c:ser>
        <c:dLbls>
          <c:showLegendKey val="0"/>
          <c:showVal val="0"/>
          <c:showCatName val="0"/>
          <c:showSerName val="0"/>
          <c:showPercent val="0"/>
          <c:showBubbleSize val="0"/>
        </c:dLbls>
        <c:axId val="204352896"/>
        <c:axId val="204353472"/>
      </c:scatterChart>
      <c:valAx>
        <c:axId val="204352896"/>
        <c:scaling>
          <c:orientation val="minMax"/>
          <c:max val="100000"/>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n-US" sz="1200">
                    <a:solidFill>
                      <a:sysClr val="windowText" lastClr="000000"/>
                    </a:solidFill>
                  </a:rPr>
                  <a:t>Water Quantity, af</a:t>
                </a:r>
              </a:p>
            </c:rich>
          </c:tx>
          <c:layout>
            <c:manualLayout>
              <c:xMode val="edge"/>
              <c:yMode val="edge"/>
              <c:x val="0.38920713035870519"/>
              <c:y val="0.88388815981335667"/>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title>
        <c:numFmt formatCode="0"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crossAx val="204353472"/>
        <c:crosses val="autoZero"/>
        <c:crossBetween val="midCat"/>
      </c:valAx>
      <c:valAx>
        <c:axId val="204353472"/>
        <c:scaling>
          <c:orientation val="minMax"/>
          <c:max val="4000"/>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n-US" sz="1200">
                    <a:solidFill>
                      <a:sysClr val="windowText" lastClr="000000"/>
                    </a:solidFill>
                  </a:rPr>
                  <a:t>Price, $/af</a:t>
                </a:r>
              </a:p>
            </c:rich>
          </c:tx>
          <c:layout>
            <c:manualLayout>
              <c:xMode val="edge"/>
              <c:yMode val="edge"/>
              <c:x val="8.3333333333333332E-3"/>
              <c:y val="0.25936671916010501"/>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crossAx val="204352896"/>
        <c:crosses val="autoZero"/>
        <c:crossBetween val="midCat"/>
      </c:valAx>
      <c:spPr>
        <a:noFill/>
        <a:ln>
          <a:solidFill>
            <a:schemeClr val="tx1"/>
          </a:solidFill>
        </a:ln>
        <a:effectLst/>
      </c:spPr>
    </c:plotArea>
    <c:legend>
      <c:legendPos val="b"/>
      <c:layout>
        <c:manualLayout>
          <c:xMode val="edge"/>
          <c:yMode val="edge"/>
          <c:x val="0.56348337707786511"/>
          <c:y val="8.0800419947506544E-2"/>
          <c:w val="0.3448499562554681"/>
          <c:h val="0.37155107611548555"/>
        </c:manualLayout>
      </c:layout>
      <c:overlay val="0"/>
      <c:spPr>
        <a:solidFill>
          <a:schemeClr val="bg1"/>
        </a:solid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CL"/>
        </a:p>
      </c:txPr>
    </c:legend>
    <c:plotVisOnly val="1"/>
    <c:dispBlanksAs val="zero"/>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0</xdr:colOff>
      <xdr:row>25</xdr:row>
      <xdr:rowOff>0</xdr:rowOff>
    </xdr:to>
    <xdr:grpSp>
      <xdr:nvGrpSpPr>
        <xdr:cNvPr id="7" name="Group 6"/>
        <xdr:cNvGrpSpPr/>
      </xdr:nvGrpSpPr>
      <xdr:grpSpPr>
        <a:xfrm>
          <a:off x="0" y="0"/>
          <a:ext cx="6096000" cy="4762500"/>
          <a:chOff x="0" y="0"/>
          <a:chExt cx="6096000" cy="4762500"/>
        </a:xfrm>
      </xdr:grpSpPr>
      <xdr:graphicFrame macro="">
        <xdr:nvGraphicFramePr>
          <xdr:cNvPr id="2" name="Chart 1"/>
          <xdr:cNvGraphicFramePr>
            <a:graphicFrameLocks/>
          </xdr:cNvGraphicFramePr>
        </xdr:nvGraphicFramePr>
        <xdr:xfrm>
          <a:off x="0" y="0"/>
          <a:ext cx="3048000" cy="238125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xdr:cNvGraphicFramePr>
            <a:graphicFrameLocks/>
          </xdr:cNvGraphicFramePr>
        </xdr:nvGraphicFramePr>
        <xdr:xfrm>
          <a:off x="3048000" y="0"/>
          <a:ext cx="3048000" cy="238125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xdr:cNvGraphicFramePr>
            <a:graphicFrameLocks/>
          </xdr:cNvGraphicFramePr>
        </xdr:nvGraphicFramePr>
        <xdr:xfrm>
          <a:off x="0" y="2381250"/>
          <a:ext cx="3048000" cy="238125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 name="Chart 4"/>
          <xdr:cNvGraphicFramePr>
            <a:graphicFrameLocks/>
          </xdr:cNvGraphicFramePr>
        </xdr:nvGraphicFramePr>
        <xdr:xfrm>
          <a:off x="3048000" y="2381250"/>
          <a:ext cx="3048000" cy="2381250"/>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6" name="TextBox 5"/>
          <xdr:cNvSpPr txBox="1"/>
        </xdr:nvSpPr>
        <xdr:spPr>
          <a:xfrm>
            <a:off x="0" y="28575"/>
            <a:ext cx="29822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a)</a:t>
            </a:r>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12</xdr:col>
      <xdr:colOff>19050</xdr:colOff>
      <xdr:row>2</xdr:row>
      <xdr:rowOff>19050</xdr:rowOff>
    </xdr:from>
    <xdr:to>
      <xdr:col>19</xdr:col>
      <xdr:colOff>323850</xdr:colOff>
      <xdr:row>14</xdr:row>
      <xdr:rowOff>114300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56</xdr:row>
      <xdr:rowOff>0</xdr:rowOff>
    </xdr:from>
    <xdr:to>
      <xdr:col>14</xdr:col>
      <xdr:colOff>104775</xdr:colOff>
      <xdr:row>68</xdr:row>
      <xdr:rowOff>95250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11</xdr:col>
      <xdr:colOff>190500</xdr:colOff>
      <xdr:row>13</xdr:row>
      <xdr:rowOff>28575</xdr:rowOff>
    </xdr:from>
    <xdr:to>
      <xdr:col>19</xdr:col>
      <xdr:colOff>276225</xdr:colOff>
      <xdr:row>25</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55</xdr:row>
      <xdr:rowOff>0</xdr:rowOff>
    </xdr:from>
    <xdr:to>
      <xdr:col>14</xdr:col>
      <xdr:colOff>104775</xdr:colOff>
      <xdr:row>67</xdr:row>
      <xdr:rowOff>95250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12</xdr:col>
      <xdr:colOff>19050</xdr:colOff>
      <xdr:row>9</xdr:row>
      <xdr:rowOff>38100</xdr:rowOff>
    </xdr:from>
    <xdr:to>
      <xdr:col>18</xdr:col>
      <xdr:colOff>219074</xdr:colOff>
      <xdr:row>21</xdr:row>
      <xdr:rowOff>133350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56</xdr:row>
      <xdr:rowOff>0</xdr:rowOff>
    </xdr:from>
    <xdr:to>
      <xdr:col>14</xdr:col>
      <xdr:colOff>104775</xdr:colOff>
      <xdr:row>68</xdr:row>
      <xdr:rowOff>95250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12</xdr:col>
      <xdr:colOff>9525</xdr:colOff>
      <xdr:row>6</xdr:row>
      <xdr:rowOff>9525</xdr:rowOff>
    </xdr:from>
    <xdr:to>
      <xdr:col>19</xdr:col>
      <xdr:colOff>314325</xdr:colOff>
      <xdr:row>18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57</xdr:row>
      <xdr:rowOff>0</xdr:rowOff>
    </xdr:from>
    <xdr:to>
      <xdr:col>14</xdr:col>
      <xdr:colOff>104775</xdr:colOff>
      <xdr:row>69</xdr:row>
      <xdr:rowOff>95250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0.01667</cdr:x>
      <cdr:y>0.02133</cdr:y>
    </cdr:from>
    <cdr:to>
      <cdr:x>0.1156</cdr:x>
      <cdr:y>0.13243</cdr:y>
    </cdr:to>
    <cdr:sp macro="" textlink="">
      <cdr:nvSpPr>
        <cdr:cNvPr id="2" name="TextBox 5"/>
        <cdr:cNvSpPr txBox="1"/>
      </cdr:nvSpPr>
      <cdr:spPr>
        <a:xfrm xmlns:a="http://schemas.openxmlformats.org/drawingml/2006/main">
          <a:off x="50800" y="50800"/>
          <a:ext cx="301557" cy="26456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100" b="1"/>
            <a:t>b)</a:t>
          </a:r>
        </a:p>
      </cdr:txBody>
    </cdr:sp>
  </cdr:relSizeAnchor>
</c:userShapes>
</file>

<file path=xl/drawings/drawing3.xml><?xml version="1.0" encoding="utf-8"?>
<c:userShapes xmlns:c="http://schemas.openxmlformats.org/drawingml/2006/chart">
  <cdr:relSizeAnchor xmlns:cdr="http://schemas.openxmlformats.org/drawingml/2006/chartDrawing">
    <cdr:from>
      <cdr:x>0.01667</cdr:x>
      <cdr:y>0.02133</cdr:y>
    </cdr:from>
    <cdr:to>
      <cdr:x>0.11085</cdr:x>
      <cdr:y>0.13243</cdr:y>
    </cdr:to>
    <cdr:sp macro="" textlink="">
      <cdr:nvSpPr>
        <cdr:cNvPr id="2" name="TextBox 5"/>
        <cdr:cNvSpPr txBox="1"/>
      </cdr:nvSpPr>
      <cdr:spPr>
        <a:xfrm xmlns:a="http://schemas.openxmlformats.org/drawingml/2006/main">
          <a:off x="50800" y="50800"/>
          <a:ext cx="287066" cy="26456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100" b="1"/>
            <a:t>c)</a:t>
          </a:r>
        </a:p>
      </cdr:txBody>
    </cdr:sp>
  </cdr:relSizeAnchor>
</c:userShapes>
</file>

<file path=xl/drawings/drawing4.xml><?xml version="1.0" encoding="utf-8"?>
<c:userShapes xmlns:c="http://schemas.openxmlformats.org/drawingml/2006/chart">
  <cdr:relSizeAnchor xmlns:cdr="http://schemas.openxmlformats.org/drawingml/2006/chartDrawing">
    <cdr:from>
      <cdr:x>0.01667</cdr:x>
      <cdr:y>0.02133</cdr:y>
    </cdr:from>
    <cdr:to>
      <cdr:x>0.1156</cdr:x>
      <cdr:y>0.13243</cdr:y>
    </cdr:to>
    <cdr:sp macro="" textlink="">
      <cdr:nvSpPr>
        <cdr:cNvPr id="2" name="TextBox 5"/>
        <cdr:cNvSpPr txBox="1"/>
      </cdr:nvSpPr>
      <cdr:spPr>
        <a:xfrm xmlns:a="http://schemas.openxmlformats.org/drawingml/2006/main">
          <a:off x="50810" y="50792"/>
          <a:ext cx="301539" cy="264557"/>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100" b="1"/>
            <a:t>d)</a:t>
          </a:r>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0</xdr:colOff>
      <xdr:row>13</xdr:row>
      <xdr:rowOff>152400</xdr:rowOff>
    </xdr:from>
    <xdr:to>
      <xdr:col>5</xdr:col>
      <xdr:colOff>0</xdr:colOff>
      <xdr:row>26</xdr:row>
      <xdr:rowOff>57150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0</xdr:rowOff>
    </xdr:from>
    <xdr:to>
      <xdr:col>5</xdr:col>
      <xdr:colOff>0</xdr:colOff>
      <xdr:row>13</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1</xdr:row>
      <xdr:rowOff>0</xdr:rowOff>
    </xdr:from>
    <xdr:to>
      <xdr:col>10</xdr:col>
      <xdr:colOff>9525</xdr:colOff>
      <xdr:row>13</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13</xdr:row>
      <xdr:rowOff>114300</xdr:rowOff>
    </xdr:from>
    <xdr:to>
      <xdr:col>10</xdr:col>
      <xdr:colOff>9525</xdr:colOff>
      <xdr:row>26</xdr:row>
      <xdr:rowOff>19050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0.15417</cdr:x>
      <cdr:y>0.01733</cdr:y>
    </cdr:from>
    <cdr:to>
      <cdr:x>0.25201</cdr:x>
      <cdr:y>0.12843</cdr:y>
    </cdr:to>
    <cdr:sp macro="" textlink="">
      <cdr:nvSpPr>
        <cdr:cNvPr id="2" name="TextBox 5"/>
        <cdr:cNvSpPr txBox="1"/>
      </cdr:nvSpPr>
      <cdr:spPr>
        <a:xfrm xmlns:a="http://schemas.openxmlformats.org/drawingml/2006/main">
          <a:off x="469900" y="41275"/>
          <a:ext cx="298223" cy="26456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100" b="1"/>
            <a:t>c)</a:t>
          </a:r>
        </a:p>
      </cdr:txBody>
    </cdr:sp>
  </cdr:relSizeAnchor>
</c:userShapes>
</file>

<file path=xl/drawings/drawing7.xml><?xml version="1.0" encoding="utf-8"?>
<c:userShapes xmlns:c="http://schemas.openxmlformats.org/drawingml/2006/chart">
  <cdr:relSizeAnchor xmlns:cdr="http://schemas.openxmlformats.org/drawingml/2006/chartDrawing">
    <cdr:from>
      <cdr:x>0.15729</cdr:x>
      <cdr:y>0.01733</cdr:y>
    </cdr:from>
    <cdr:to>
      <cdr:x>0.25513</cdr:x>
      <cdr:y>0.12843</cdr:y>
    </cdr:to>
    <cdr:sp macro="" textlink="">
      <cdr:nvSpPr>
        <cdr:cNvPr id="2" name="TextBox 5"/>
        <cdr:cNvSpPr txBox="1"/>
      </cdr:nvSpPr>
      <cdr:spPr>
        <a:xfrm xmlns:a="http://schemas.openxmlformats.org/drawingml/2006/main">
          <a:off x="479425" y="41275"/>
          <a:ext cx="298223" cy="26456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100" b="1"/>
            <a:t>a)</a:t>
          </a:r>
        </a:p>
      </cdr:txBody>
    </cdr:sp>
  </cdr:relSizeAnchor>
</c:userShapes>
</file>

<file path=xl/drawings/drawing8.xml><?xml version="1.0" encoding="utf-8"?>
<c:userShapes xmlns:c="http://schemas.openxmlformats.org/drawingml/2006/chart">
  <cdr:relSizeAnchor xmlns:cdr="http://schemas.openxmlformats.org/drawingml/2006/chartDrawing">
    <cdr:from>
      <cdr:x>0.16926</cdr:x>
      <cdr:y>0.02133</cdr:y>
    </cdr:from>
    <cdr:to>
      <cdr:x>0.2668</cdr:x>
      <cdr:y>0.13243</cdr:y>
    </cdr:to>
    <cdr:sp macro="" textlink="">
      <cdr:nvSpPr>
        <cdr:cNvPr id="2" name="TextBox 5"/>
        <cdr:cNvSpPr txBox="1"/>
      </cdr:nvSpPr>
      <cdr:spPr>
        <a:xfrm xmlns:a="http://schemas.openxmlformats.org/drawingml/2006/main">
          <a:off x="517525" y="50800"/>
          <a:ext cx="298223" cy="26456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100" b="1"/>
            <a:t>b)</a:t>
          </a:r>
        </a:p>
      </cdr:txBody>
    </cdr:sp>
  </cdr:relSizeAnchor>
</c:userShapes>
</file>

<file path=xl/drawings/drawing9.xml><?xml version="1.0" encoding="utf-8"?>
<c:userShapes xmlns:c="http://schemas.openxmlformats.org/drawingml/2006/chart">
  <cdr:relSizeAnchor xmlns:cdr="http://schemas.openxmlformats.org/drawingml/2006/chartDrawing">
    <cdr:from>
      <cdr:x>0.1568</cdr:x>
      <cdr:y>0.02133</cdr:y>
    </cdr:from>
    <cdr:to>
      <cdr:x>0.25434</cdr:x>
      <cdr:y>0.13243</cdr:y>
    </cdr:to>
    <cdr:sp macro="" textlink="">
      <cdr:nvSpPr>
        <cdr:cNvPr id="2" name="TextBox 5"/>
        <cdr:cNvSpPr txBox="1"/>
      </cdr:nvSpPr>
      <cdr:spPr>
        <a:xfrm xmlns:a="http://schemas.openxmlformats.org/drawingml/2006/main">
          <a:off x="479425" y="50800"/>
          <a:ext cx="298223" cy="26456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100" b="1"/>
            <a:t>d)</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6"/>
  <sheetViews>
    <sheetView tabSelected="1" workbookViewId="0">
      <selection activeCell="L21" sqref="L21"/>
    </sheetView>
  </sheetViews>
  <sheetFormatPr defaultRowHeight="15"/>
  <sheetData>
    <row r="26" spans="1:1">
      <c r="A26" t="s">
        <v>192</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
  <sheetViews>
    <sheetView topLeftCell="A73" zoomScale="85" zoomScaleNormal="85" workbookViewId="0">
      <selection activeCell="I64" sqref="I64"/>
    </sheetView>
  </sheetViews>
  <sheetFormatPr defaultRowHeight="15"/>
  <cols>
    <col min="1" max="1" width="19.42578125" bestFit="1" customWidth="1"/>
    <col min="2" max="2" width="11.7109375" customWidth="1"/>
    <col min="3" max="3" width="11.42578125" bestFit="1" customWidth="1"/>
    <col min="8" max="8" width="11.140625" customWidth="1"/>
    <col min="9" max="9" width="11.42578125" bestFit="1" customWidth="1"/>
    <col min="12" max="12" width="11.42578125" bestFit="1" customWidth="1"/>
  </cols>
  <sheetData>
    <row r="1" spans="1:20">
      <c r="D1" s="6"/>
      <c r="S1">
        <v>325851</v>
      </c>
      <c r="T1">
        <v>1</v>
      </c>
    </row>
    <row r="2" spans="1:20">
      <c r="D2" t="s">
        <v>147</v>
      </c>
      <c r="S2" t="s">
        <v>133</v>
      </c>
      <c r="T2" t="s">
        <v>134</v>
      </c>
    </row>
    <row r="3" spans="1:20">
      <c r="A3" s="66"/>
      <c r="B3" s="66"/>
      <c r="C3" s="66"/>
      <c r="D3" s="66" t="s">
        <v>146</v>
      </c>
      <c r="E3" s="72"/>
      <c r="F3" s="72"/>
      <c r="G3" s="72"/>
      <c r="H3" s="72"/>
      <c r="I3" s="72"/>
      <c r="J3" s="23"/>
      <c r="K3" s="23"/>
      <c r="L3" s="23"/>
      <c r="M3" s="23"/>
      <c r="N3" s="23"/>
      <c r="O3" s="23"/>
      <c r="P3" s="23"/>
      <c r="Q3" s="23"/>
      <c r="R3" s="23"/>
      <c r="S3" s="23"/>
    </row>
    <row r="4" spans="1:20">
      <c r="A4" s="66"/>
      <c r="B4" s="66" t="s">
        <v>63</v>
      </c>
      <c r="C4" s="73" t="s">
        <v>160</v>
      </c>
      <c r="D4" s="74" t="s">
        <v>161</v>
      </c>
      <c r="E4" s="74" t="s">
        <v>162</v>
      </c>
      <c r="F4" s="74" t="s">
        <v>163</v>
      </c>
      <c r="G4" s="74" t="s">
        <v>164</v>
      </c>
      <c r="H4" s="74" t="s">
        <v>165</v>
      </c>
      <c r="I4" s="75"/>
      <c r="J4" s="24"/>
      <c r="K4" s="24"/>
      <c r="L4" s="24"/>
      <c r="M4" s="24"/>
      <c r="N4" s="24"/>
      <c r="O4" s="24"/>
      <c r="P4" s="24"/>
      <c r="Q4" s="24"/>
      <c r="R4" s="24"/>
      <c r="S4" s="23"/>
    </row>
    <row r="5" spans="1:20">
      <c r="A5" s="66" t="s">
        <v>86</v>
      </c>
      <c r="B5" s="66">
        <v>9555</v>
      </c>
      <c r="C5" s="76">
        <v>9560</v>
      </c>
      <c r="D5" s="77">
        <v>257.73770619981656</v>
      </c>
      <c r="E5" s="78">
        <v>0.85507245837141821</v>
      </c>
      <c r="F5" s="78">
        <v>0.11460144927536231</v>
      </c>
      <c r="G5" s="78">
        <v>7.246376811594203E-3</v>
      </c>
      <c r="H5" s="78">
        <v>2.3079710144927535E-2</v>
      </c>
      <c r="I5" s="72"/>
      <c r="J5" s="23"/>
      <c r="K5" s="23"/>
      <c r="L5" s="23"/>
      <c r="M5" s="23"/>
      <c r="N5" s="23"/>
      <c r="O5" s="23"/>
      <c r="P5" s="23"/>
      <c r="Q5" s="23"/>
      <c r="R5" s="23"/>
      <c r="S5" s="23"/>
    </row>
    <row r="6" spans="1:20">
      <c r="A6" s="66" t="s">
        <v>87</v>
      </c>
      <c r="B6" s="66">
        <v>26263</v>
      </c>
      <c r="C6" s="76">
        <v>26270</v>
      </c>
      <c r="D6" s="77">
        <v>146.42762980047277</v>
      </c>
      <c r="E6" s="78">
        <v>0.68392591847941808</v>
      </c>
      <c r="F6" s="78">
        <v>3.5624767916821384E-2</v>
      </c>
      <c r="G6" s="78">
        <v>0</v>
      </c>
      <c r="H6" s="78">
        <v>0.28044931303379134</v>
      </c>
      <c r="I6" s="64"/>
      <c r="J6" s="25"/>
      <c r="K6" s="26"/>
      <c r="L6" s="26"/>
      <c r="M6" s="25"/>
      <c r="N6" s="26"/>
      <c r="O6" s="26"/>
      <c r="P6" s="25"/>
      <c r="Q6" s="26"/>
      <c r="R6" s="26"/>
      <c r="S6" s="23"/>
    </row>
    <row r="7" spans="1:20">
      <c r="A7" s="66" t="s">
        <v>66</v>
      </c>
      <c r="B7" s="66">
        <v>7598</v>
      </c>
      <c r="C7" s="76">
        <v>8290</v>
      </c>
      <c r="D7" s="77">
        <v>194.55134816685143</v>
      </c>
      <c r="E7" s="78">
        <v>0.78954942864137001</v>
      </c>
      <c r="F7" s="78">
        <v>0.11291929591497843</v>
      </c>
      <c r="G7" s="78">
        <v>0</v>
      </c>
      <c r="H7" s="78">
        <v>9.7531274216760777E-2</v>
      </c>
      <c r="I7" s="65"/>
      <c r="J7" s="25"/>
      <c r="K7" s="27"/>
      <c r="L7" s="27"/>
      <c r="M7" s="25"/>
      <c r="N7" s="27"/>
      <c r="O7" s="27"/>
      <c r="P7" s="25"/>
      <c r="Q7" s="27"/>
      <c r="R7" s="27"/>
      <c r="S7" s="23"/>
    </row>
    <row r="8" spans="1:20">
      <c r="A8" s="66" t="s">
        <v>31</v>
      </c>
      <c r="B8" s="66">
        <v>42552</v>
      </c>
      <c r="C8" s="76">
        <v>38500</v>
      </c>
      <c r="D8" s="77">
        <v>233.89883604087123</v>
      </c>
      <c r="E8" s="78">
        <v>0.85347476533027489</v>
      </c>
      <c r="F8" s="78">
        <v>0.10151680380688015</v>
      </c>
      <c r="G8" s="78">
        <v>8.5258253197184487E-3</v>
      </c>
      <c r="H8" s="78">
        <v>3.6482601368097556E-2</v>
      </c>
      <c r="I8" s="64"/>
      <c r="J8" s="25"/>
      <c r="K8" s="26"/>
      <c r="L8" s="26"/>
      <c r="M8" s="25"/>
      <c r="N8" s="26"/>
      <c r="O8" s="26"/>
      <c r="P8" s="25"/>
      <c r="Q8" s="26"/>
      <c r="R8" s="26"/>
      <c r="S8" s="23"/>
    </row>
    <row r="9" spans="1:20">
      <c r="A9" s="66" t="s">
        <v>32</v>
      </c>
      <c r="B9" s="66">
        <v>17899</v>
      </c>
      <c r="C9" s="76">
        <v>17900</v>
      </c>
      <c r="D9" s="77">
        <v>295.418349507632</v>
      </c>
      <c r="E9" s="78">
        <v>0.71718467731051949</v>
      </c>
      <c r="F9" s="78">
        <v>0.17937636115003461</v>
      </c>
      <c r="G9" s="78">
        <v>1.4772170918238145E-2</v>
      </c>
      <c r="H9" s="78">
        <v>8.8666790471527701E-2</v>
      </c>
      <c r="I9" s="72"/>
      <c r="J9" s="23"/>
      <c r="K9" s="23"/>
      <c r="L9" s="23"/>
      <c r="M9" s="23" t="s">
        <v>149</v>
      </c>
      <c r="N9" s="23"/>
      <c r="O9" s="23"/>
      <c r="P9" s="23"/>
      <c r="Q9" s="23"/>
      <c r="R9" s="23"/>
      <c r="S9" s="23"/>
    </row>
    <row r="10" spans="1:20">
      <c r="A10" s="66" t="s">
        <v>88</v>
      </c>
      <c r="B10" s="66">
        <v>9796</v>
      </c>
      <c r="C10" s="76">
        <v>9800</v>
      </c>
      <c r="D10" s="77">
        <v>209.35749532214138</v>
      </c>
      <c r="E10" s="78">
        <v>0.73187711661908972</v>
      </c>
      <c r="F10" s="78">
        <v>4.5687929684100598E-2</v>
      </c>
      <c r="G10" s="78">
        <v>0</v>
      </c>
      <c r="H10" s="78">
        <v>0.22243494909059267</v>
      </c>
      <c r="I10" s="64"/>
      <c r="J10" s="25"/>
      <c r="K10" s="26"/>
      <c r="L10" s="26"/>
      <c r="M10" s="25"/>
      <c r="N10" s="26"/>
      <c r="O10" s="26"/>
      <c r="P10" s="25"/>
      <c r="Q10" s="26"/>
      <c r="R10" s="26"/>
      <c r="S10" s="23"/>
    </row>
    <row r="11" spans="1:20">
      <c r="A11" s="66" t="s">
        <v>33</v>
      </c>
      <c r="B11" s="66">
        <v>15335</v>
      </c>
      <c r="C11" s="76">
        <v>16700</v>
      </c>
      <c r="D11" s="77">
        <v>188.88744966558815</v>
      </c>
      <c r="E11" s="78">
        <v>0.86036112024338962</v>
      </c>
      <c r="F11" s="78">
        <v>5.8046074602366E-2</v>
      </c>
      <c r="G11" s="78">
        <v>7.0753382011660157E-4</v>
      </c>
      <c r="H11" s="78">
        <v>8.0885266315729898E-2</v>
      </c>
      <c r="I11" s="65"/>
      <c r="J11" s="25"/>
      <c r="K11" s="27"/>
      <c r="L11" s="27"/>
      <c r="M11" s="25"/>
      <c r="N11" s="27"/>
      <c r="O11" s="26"/>
      <c r="P11" s="25"/>
      <c r="Q11" s="26"/>
      <c r="R11" s="26"/>
      <c r="S11" s="23"/>
    </row>
    <row r="12" spans="1:20">
      <c r="A12" s="66" t="s">
        <v>34</v>
      </c>
      <c r="B12" s="66">
        <v>30112</v>
      </c>
      <c r="C12" s="76">
        <v>27180</v>
      </c>
      <c r="D12" s="77">
        <v>266.18081425992688</v>
      </c>
      <c r="E12" s="78">
        <v>0.75777393852214936</v>
      </c>
      <c r="F12" s="78">
        <v>8.7240868706811442E-2</v>
      </c>
      <c r="G12" s="78">
        <v>6.7744323790720609E-2</v>
      </c>
      <c r="H12" s="78">
        <v>8.7240868706811442E-2</v>
      </c>
      <c r="I12" s="72"/>
      <c r="J12" s="23"/>
      <c r="K12" s="23"/>
      <c r="L12" s="23"/>
      <c r="M12" s="23"/>
      <c r="N12" s="23"/>
      <c r="O12" s="23"/>
      <c r="P12" s="23"/>
      <c r="Q12" s="23"/>
      <c r="R12" s="23"/>
      <c r="S12" s="23"/>
    </row>
    <row r="13" spans="1:20">
      <c r="A13" s="66" t="s">
        <v>35</v>
      </c>
      <c r="B13" s="66">
        <v>20426</v>
      </c>
      <c r="C13" s="76">
        <v>20420</v>
      </c>
      <c r="D13" s="77">
        <v>212.21242273747279</v>
      </c>
      <c r="E13" s="78">
        <v>0.86382364530049205</v>
      </c>
      <c r="F13" s="78">
        <v>0.10939431396786156</v>
      </c>
      <c r="G13" s="78">
        <v>0</v>
      </c>
      <c r="H13" s="78">
        <v>2.6782035434693041E-2</v>
      </c>
      <c r="I13" s="64"/>
      <c r="J13" s="25"/>
      <c r="K13" s="26"/>
      <c r="L13" s="26"/>
      <c r="M13" s="25"/>
      <c r="N13" s="26"/>
      <c r="O13" s="26"/>
      <c r="P13" s="25"/>
      <c r="Q13" s="26"/>
      <c r="R13" s="26"/>
      <c r="S13" s="23"/>
    </row>
    <row r="14" spans="1:20">
      <c r="A14" s="66" t="s">
        <v>67</v>
      </c>
      <c r="B14" s="66">
        <v>33433</v>
      </c>
      <c r="C14" s="76"/>
      <c r="D14" s="77"/>
      <c r="E14" s="66"/>
      <c r="F14" s="72"/>
      <c r="G14" s="72"/>
      <c r="H14" s="67"/>
      <c r="I14" s="68" t="s">
        <v>172</v>
      </c>
      <c r="J14" s="23"/>
      <c r="K14" s="23"/>
      <c r="L14" s="23"/>
      <c r="M14" s="23"/>
      <c r="N14" s="23"/>
      <c r="O14" s="23"/>
      <c r="P14" s="23"/>
      <c r="Q14" s="23"/>
      <c r="R14" s="23"/>
      <c r="S14" s="23"/>
    </row>
    <row r="15" spans="1:20">
      <c r="A15" s="66" t="s">
        <v>68</v>
      </c>
      <c r="B15" s="66">
        <v>42274</v>
      </c>
      <c r="C15" s="76">
        <f>SUM(C16:C18)</f>
        <v>42290</v>
      </c>
      <c r="D15" s="77">
        <f>(($C$16/$C$15)*D16)+(($C$17/$C$15)*D17)+(($C$18/$C$15)*D18)</f>
        <v>276.97429763178735</v>
      </c>
      <c r="E15" s="78">
        <f t="shared" ref="E15:H15" si="0">(($C$16/$C$15)*E16)+(($C$17/$C$15)*E17)+(($C$18/$C$15)*E18)</f>
        <v>0.76118160670012291</v>
      </c>
      <c r="F15" s="78">
        <f>(($C$16/$C$15)*F16)+(($C$17/$C$15)*F17)+(($C$18/$C$15)*F18)</f>
        <v>7.834876087116166E-2</v>
      </c>
      <c r="G15" s="78">
        <f t="shared" si="0"/>
        <v>2.5261478466911177E-4</v>
      </c>
      <c r="H15" s="78">
        <f t="shared" si="0"/>
        <v>0.16021701543642433</v>
      </c>
      <c r="I15" s="64"/>
      <c r="J15" s="25"/>
      <c r="K15" s="26"/>
      <c r="L15" s="26"/>
      <c r="M15" s="25"/>
      <c r="N15" s="26"/>
      <c r="O15" s="26"/>
      <c r="P15" s="25"/>
      <c r="Q15" s="26"/>
      <c r="R15" s="26"/>
      <c r="S15" s="23"/>
    </row>
    <row r="16" spans="1:20">
      <c r="A16" s="66" t="s">
        <v>166</v>
      </c>
      <c r="B16" s="66"/>
      <c r="C16" s="76">
        <v>12210</v>
      </c>
      <c r="D16" s="77">
        <v>246.32705598017364</v>
      </c>
      <c r="E16" s="78">
        <v>0.65568417717637195</v>
      </c>
      <c r="F16" s="78">
        <v>7.687741169486495E-2</v>
      </c>
      <c r="G16" s="78">
        <v>0</v>
      </c>
      <c r="H16" s="78">
        <v>0.26743840902344918</v>
      </c>
      <c r="I16" s="64"/>
      <c r="J16" s="25"/>
      <c r="K16" s="26"/>
      <c r="L16" s="26"/>
      <c r="M16" s="25"/>
      <c r="N16" s="26"/>
      <c r="O16" s="26"/>
      <c r="P16" s="25"/>
      <c r="Q16" s="26"/>
      <c r="R16" s="26"/>
      <c r="S16" s="23"/>
    </row>
    <row r="17" spans="1:19">
      <c r="A17" s="66" t="s">
        <v>167</v>
      </c>
      <c r="B17" s="66"/>
      <c r="C17" s="76">
        <v>1750</v>
      </c>
      <c r="D17" s="77">
        <v>239.76543716294327</v>
      </c>
      <c r="E17" s="78">
        <v>1</v>
      </c>
      <c r="F17" s="78">
        <v>0</v>
      </c>
      <c r="G17" s="78">
        <v>0</v>
      </c>
      <c r="H17" s="78">
        <v>0</v>
      </c>
      <c r="I17" s="64"/>
      <c r="J17" s="25"/>
      <c r="K17" s="26"/>
      <c r="L17" s="26"/>
      <c r="M17" s="25"/>
      <c r="N17" s="26"/>
      <c r="O17" s="26"/>
      <c r="P17" s="25"/>
      <c r="Q17" s="26"/>
      <c r="R17" s="26"/>
      <c r="S17" s="23"/>
    </row>
    <row r="18" spans="1:19">
      <c r="A18" s="66" t="s">
        <v>168</v>
      </c>
      <c r="B18" s="66"/>
      <c r="C18" s="76">
        <v>28330</v>
      </c>
      <c r="D18" s="77">
        <v>292.48147470156073</v>
      </c>
      <c r="E18" s="78">
        <v>0.79189785894898335</v>
      </c>
      <c r="F18" s="78">
        <v>8.3822657975542739E-2</v>
      </c>
      <c r="G18" s="78">
        <v>3.7709421968431823E-4</v>
      </c>
      <c r="H18" s="78">
        <v>0.12390238646770457</v>
      </c>
      <c r="I18" s="64"/>
      <c r="J18" s="25"/>
      <c r="K18" s="26"/>
      <c r="L18" s="26"/>
      <c r="M18" s="25"/>
      <c r="N18" s="26"/>
      <c r="O18" s="26"/>
      <c r="P18" s="25"/>
      <c r="Q18" s="26"/>
      <c r="R18" s="26"/>
      <c r="S18" s="23"/>
    </row>
    <row r="19" spans="1:19">
      <c r="A19" s="66" t="s">
        <v>89</v>
      </c>
      <c r="B19" s="66">
        <v>21415</v>
      </c>
      <c r="C19" s="76">
        <v>21420</v>
      </c>
      <c r="D19" s="77">
        <v>180.36589241175659</v>
      </c>
      <c r="E19" s="78">
        <v>0.81051853221184955</v>
      </c>
      <c r="F19" s="78">
        <v>7.9466678990664563E-2</v>
      </c>
      <c r="G19" s="78">
        <v>0</v>
      </c>
      <c r="H19" s="78">
        <v>0.11001478879748591</v>
      </c>
      <c r="I19" s="64"/>
      <c r="J19" s="25"/>
      <c r="K19" s="26"/>
      <c r="L19" s="26"/>
      <c r="M19" s="25"/>
      <c r="N19" s="26"/>
      <c r="O19" s="26"/>
      <c r="P19" s="25"/>
      <c r="Q19" s="26"/>
      <c r="R19" s="26"/>
      <c r="S19" s="23"/>
    </row>
    <row r="20" spans="1:19">
      <c r="A20" s="66" t="s">
        <v>90</v>
      </c>
      <c r="B20" s="66">
        <v>2436</v>
      </c>
      <c r="C20" s="76">
        <v>2440</v>
      </c>
      <c r="D20" s="77">
        <v>177.6706212949679</v>
      </c>
      <c r="E20" s="78">
        <v>1</v>
      </c>
      <c r="F20" s="78">
        <v>0</v>
      </c>
      <c r="G20" s="78">
        <v>0</v>
      </c>
      <c r="H20" s="78">
        <v>0</v>
      </c>
      <c r="I20" s="65"/>
      <c r="J20" s="25"/>
      <c r="K20" s="27"/>
      <c r="L20" s="27"/>
      <c r="M20" s="25"/>
      <c r="N20" s="27"/>
      <c r="O20" s="27"/>
      <c r="P20" s="25"/>
      <c r="Q20" s="27"/>
      <c r="R20" s="26"/>
      <c r="S20" s="23"/>
    </row>
    <row r="21" spans="1:19">
      <c r="A21" s="66" t="s">
        <v>36</v>
      </c>
      <c r="B21" s="66">
        <v>18275</v>
      </c>
      <c r="C21" s="76">
        <v>18280</v>
      </c>
      <c r="D21" s="77">
        <v>205.48731824827738</v>
      </c>
      <c r="E21" s="78">
        <v>0.81155527586310294</v>
      </c>
      <c r="F21" s="78">
        <v>5.7396140317520689E-2</v>
      </c>
      <c r="G21" s="78">
        <v>0</v>
      </c>
      <c r="H21" s="78">
        <v>0.13104857876223977</v>
      </c>
      <c r="I21" s="69"/>
      <c r="J21" s="28"/>
      <c r="K21" s="29"/>
      <c r="L21" s="29"/>
      <c r="M21" s="28"/>
      <c r="N21" s="29"/>
      <c r="O21" s="30"/>
      <c r="P21" s="25"/>
      <c r="Q21" s="26"/>
      <c r="R21" s="26"/>
      <c r="S21" s="23"/>
    </row>
    <row r="22" spans="1:19">
      <c r="A22" s="66" t="s">
        <v>37</v>
      </c>
      <c r="B22" s="66">
        <v>5928</v>
      </c>
      <c r="C22" s="66"/>
      <c r="D22" s="72"/>
      <c r="E22" s="72"/>
      <c r="F22" s="72"/>
      <c r="G22" s="72"/>
      <c r="H22" s="67"/>
      <c r="I22" s="72"/>
      <c r="J22" s="23"/>
      <c r="K22" s="23"/>
      <c r="L22" s="23"/>
      <c r="M22" s="23"/>
      <c r="N22" s="23"/>
      <c r="O22" s="23"/>
      <c r="P22" s="23"/>
      <c r="Q22" s="23"/>
      <c r="R22" s="23"/>
      <c r="S22" s="23"/>
    </row>
    <row r="23" spans="1:19">
      <c r="A23" s="66" t="s">
        <v>38</v>
      </c>
      <c r="B23" s="66">
        <v>4987</v>
      </c>
      <c r="C23" s="76">
        <v>5000</v>
      </c>
      <c r="D23" s="77">
        <v>375.14873618738517</v>
      </c>
      <c r="E23" s="78">
        <v>0.66684117421064981</v>
      </c>
      <c r="F23" s="78">
        <v>0.31888058635952599</v>
      </c>
      <c r="G23" s="78">
        <v>0</v>
      </c>
      <c r="H23" s="78">
        <v>1.4278235210128028E-2</v>
      </c>
      <c r="I23" s="64"/>
      <c r="J23" s="25"/>
      <c r="K23" s="26"/>
      <c r="L23" s="26"/>
      <c r="M23" s="25"/>
      <c r="N23" s="26"/>
      <c r="O23" s="26"/>
      <c r="P23" s="25"/>
      <c r="Q23" s="26"/>
      <c r="R23" s="26"/>
      <c r="S23" s="23"/>
    </row>
    <row r="24" spans="1:19">
      <c r="A24" s="66" t="s">
        <v>69</v>
      </c>
      <c r="B24" s="66">
        <v>1932</v>
      </c>
      <c r="C24" s="66"/>
      <c r="D24" s="72"/>
      <c r="E24" s="72"/>
      <c r="F24" s="72"/>
      <c r="G24" s="72"/>
      <c r="H24" s="67"/>
      <c r="I24" s="72"/>
      <c r="J24" s="23"/>
      <c r="K24" s="23"/>
      <c r="L24" s="23"/>
      <c r="M24" s="23"/>
      <c r="N24" s="23"/>
      <c r="O24" s="23"/>
      <c r="P24" s="23"/>
      <c r="Q24" s="23"/>
      <c r="R24" s="23"/>
      <c r="S24" s="23"/>
    </row>
    <row r="25" spans="1:19">
      <c r="A25" s="66" t="s">
        <v>39</v>
      </c>
      <c r="B25" s="66">
        <v>5567</v>
      </c>
      <c r="C25" s="66"/>
      <c r="D25" s="72"/>
      <c r="E25" s="72"/>
      <c r="F25" s="72"/>
      <c r="G25" s="72"/>
      <c r="H25" s="67"/>
      <c r="I25" s="72"/>
      <c r="J25" s="23"/>
      <c r="K25" s="23"/>
      <c r="L25" s="23"/>
      <c r="M25" s="23"/>
      <c r="N25" s="23"/>
      <c r="O25" s="23"/>
      <c r="P25" s="23"/>
      <c r="Q25" s="23"/>
      <c r="R25" s="23"/>
      <c r="S25" s="23"/>
    </row>
    <row r="26" spans="1:19">
      <c r="A26" s="66" t="s">
        <v>70</v>
      </c>
      <c r="B26" s="66">
        <v>21785</v>
      </c>
      <c r="C26" s="76">
        <v>21790</v>
      </c>
      <c r="D26" s="77">
        <v>207.28942139380203</v>
      </c>
      <c r="E26" s="78">
        <v>0.96363276973866574</v>
      </c>
      <c r="F26" s="78">
        <v>6.7200316236782302E-3</v>
      </c>
      <c r="G26" s="78">
        <v>0</v>
      </c>
      <c r="H26" s="78">
        <v>2.9647198339756896E-2</v>
      </c>
      <c r="I26" s="72"/>
      <c r="J26" s="23"/>
      <c r="K26" s="23"/>
      <c r="L26" s="23"/>
      <c r="M26" s="23"/>
      <c r="N26" s="23"/>
      <c r="O26" s="23"/>
      <c r="P26" s="23"/>
      <c r="Q26" s="23"/>
      <c r="R26" s="23"/>
      <c r="S26" s="23"/>
    </row>
    <row r="27" spans="1:19">
      <c r="A27" s="66" t="s">
        <v>91</v>
      </c>
      <c r="B27" s="66">
        <v>15523</v>
      </c>
      <c r="C27" s="76">
        <v>15520</v>
      </c>
      <c r="D27" s="77">
        <v>428.01650888696162</v>
      </c>
      <c r="E27" s="78">
        <v>0.87743417479565378</v>
      </c>
      <c r="F27" s="78">
        <v>6.9884019406254619E-2</v>
      </c>
      <c r="G27" s="78">
        <v>2.9566315902646188E-3</v>
      </c>
      <c r="H27" s="78">
        <v>4.9725167654450397E-2</v>
      </c>
      <c r="I27" s="64"/>
      <c r="J27" s="25"/>
      <c r="K27" s="26"/>
      <c r="L27" s="26"/>
      <c r="M27" s="25"/>
      <c r="N27" s="26"/>
      <c r="O27" s="26"/>
      <c r="P27" s="25"/>
      <c r="Q27" s="26"/>
      <c r="R27" s="26"/>
      <c r="S27" s="23"/>
    </row>
    <row r="28" spans="1:19">
      <c r="A28" s="66" t="s">
        <v>71</v>
      </c>
      <c r="B28" s="66">
        <v>26472</v>
      </c>
      <c r="C28" s="76">
        <v>15000</v>
      </c>
      <c r="D28" s="77">
        <v>249.89085060682092</v>
      </c>
      <c r="E28" s="78">
        <v>0.84616667024550196</v>
      </c>
      <c r="F28" s="78">
        <v>4.1679567485173971E-2</v>
      </c>
      <c r="G28" s="78">
        <v>0</v>
      </c>
      <c r="H28" s="78">
        <v>0.11215376187867671</v>
      </c>
      <c r="I28" s="66" t="s">
        <v>169</v>
      </c>
      <c r="J28" s="25"/>
      <c r="K28" s="26"/>
      <c r="L28" s="26"/>
      <c r="M28" s="25"/>
      <c r="N28" s="26"/>
      <c r="O28" s="26"/>
      <c r="P28" s="25"/>
      <c r="Q28" s="26"/>
      <c r="R28" s="26"/>
      <c r="S28" s="23"/>
    </row>
    <row r="29" spans="1:19">
      <c r="A29" s="66" t="s">
        <v>40</v>
      </c>
      <c r="B29" s="66">
        <v>7218</v>
      </c>
      <c r="C29" s="76">
        <v>16180</v>
      </c>
      <c r="D29" s="77">
        <v>209.05540245597172</v>
      </c>
      <c r="E29" s="78">
        <v>0.97268335894892743</v>
      </c>
      <c r="F29" s="78">
        <v>1.7260946448837394E-2</v>
      </c>
      <c r="G29" s="78">
        <v>0</v>
      </c>
      <c r="H29" s="78">
        <v>1.0055688986249308E-2</v>
      </c>
      <c r="I29" s="64"/>
      <c r="J29" s="25"/>
      <c r="K29" s="26"/>
      <c r="L29" s="26"/>
      <c r="M29" s="25"/>
      <c r="N29" s="26"/>
      <c r="O29" s="26"/>
      <c r="P29" s="25"/>
      <c r="Q29" s="26"/>
      <c r="R29" s="26"/>
      <c r="S29" s="23"/>
    </row>
    <row r="30" spans="1:19">
      <c r="A30" s="66" t="s">
        <v>21</v>
      </c>
      <c r="B30" s="66">
        <v>3833</v>
      </c>
      <c r="C30" s="76">
        <v>3830</v>
      </c>
      <c r="D30" s="77">
        <v>245.09659188904004</v>
      </c>
      <c r="E30" s="78">
        <v>0.92524964083708872</v>
      </c>
      <c r="F30" s="78">
        <v>4.5839277223014743E-2</v>
      </c>
      <c r="G30" s="78">
        <v>1.6167379933428433E-3</v>
      </c>
      <c r="H30" s="78">
        <v>2.7294341417023298E-2</v>
      </c>
      <c r="I30" s="64"/>
      <c r="J30" s="25"/>
      <c r="K30" s="26"/>
      <c r="L30" s="26"/>
      <c r="M30" s="25"/>
      <c r="N30" s="26"/>
      <c r="O30" s="26"/>
      <c r="P30" s="25"/>
      <c r="Q30" s="26"/>
      <c r="R30" s="26"/>
      <c r="S30" s="23"/>
    </row>
    <row r="31" spans="1:19">
      <c r="A31" s="66" t="s">
        <v>22</v>
      </c>
      <c r="B31" s="66">
        <v>7609</v>
      </c>
      <c r="C31" s="76">
        <v>7550</v>
      </c>
      <c r="D31" s="77">
        <v>671.40234615220209</v>
      </c>
      <c r="E31" s="78">
        <v>0.3013155790424254</v>
      </c>
      <c r="F31" s="78">
        <v>6.3401489935013475E-2</v>
      </c>
      <c r="G31" s="78">
        <v>0.41501558619960899</v>
      </c>
      <c r="H31" s="78">
        <v>0.22026734294922595</v>
      </c>
      <c r="I31" s="72"/>
      <c r="J31" s="23"/>
      <c r="K31" s="23"/>
      <c r="L31" s="23"/>
      <c r="M31" s="23"/>
      <c r="N31" s="23"/>
      <c r="O31" s="23"/>
      <c r="P31" s="23"/>
      <c r="Q31" s="23"/>
      <c r="R31" s="23"/>
      <c r="S31" s="23"/>
    </row>
    <row r="32" spans="1:19">
      <c r="A32" s="66" t="s">
        <v>41</v>
      </c>
      <c r="B32" s="66">
        <v>27300</v>
      </c>
      <c r="C32" s="76">
        <v>27300</v>
      </c>
      <c r="D32" s="77">
        <v>222.79349746196567</v>
      </c>
      <c r="E32" s="78">
        <v>0.87333039243349264</v>
      </c>
      <c r="F32" s="78">
        <v>7.9700572435050646E-2</v>
      </c>
      <c r="G32" s="78">
        <v>5.8711287244972848E-3</v>
      </c>
      <c r="H32" s="78">
        <v>4.1097901071480994E-2</v>
      </c>
      <c r="I32" s="64"/>
      <c r="J32" s="25"/>
      <c r="K32" s="26"/>
      <c r="L32" s="26"/>
      <c r="M32" s="25"/>
      <c r="N32" s="26"/>
      <c r="O32" s="26"/>
      <c r="P32" s="25"/>
      <c r="Q32" s="26"/>
      <c r="R32" s="26"/>
      <c r="S32" s="23"/>
    </row>
    <row r="33" spans="1:19">
      <c r="A33" s="66" t="s">
        <v>72</v>
      </c>
      <c r="B33" s="66">
        <v>35731</v>
      </c>
      <c r="C33" s="76">
        <v>47000</v>
      </c>
      <c r="D33" s="77">
        <v>127.85988508409297</v>
      </c>
      <c r="E33" s="78">
        <v>0.81892325519208475</v>
      </c>
      <c r="F33" s="78">
        <v>1.8183438809163028E-2</v>
      </c>
      <c r="G33" s="78">
        <v>0</v>
      </c>
      <c r="H33" s="78">
        <v>0.1628933059987521</v>
      </c>
      <c r="I33" s="69"/>
      <c r="J33" s="28"/>
      <c r="K33" s="29"/>
      <c r="L33" s="29"/>
      <c r="M33" s="28"/>
      <c r="N33" s="29"/>
      <c r="O33" s="29"/>
      <c r="P33" s="28"/>
      <c r="Q33" s="29"/>
      <c r="R33" s="29"/>
      <c r="S33" s="23"/>
    </row>
    <row r="34" spans="1:19">
      <c r="A34" s="66" t="s">
        <v>42</v>
      </c>
      <c r="B34" s="66">
        <v>67311</v>
      </c>
      <c r="C34" s="76">
        <v>67310</v>
      </c>
      <c r="D34" s="77">
        <v>191.45378953310342</v>
      </c>
      <c r="E34" s="78">
        <v>0.73754069815275303</v>
      </c>
      <c r="F34" s="78">
        <v>4.8299272601316251E-2</v>
      </c>
      <c r="G34" s="78">
        <v>0</v>
      </c>
      <c r="H34" s="78">
        <v>0.21416002771042603</v>
      </c>
      <c r="I34" s="64"/>
      <c r="J34" s="25"/>
      <c r="K34" s="26"/>
      <c r="L34" s="26"/>
      <c r="M34" s="25"/>
      <c r="N34" s="26"/>
      <c r="O34" s="26"/>
      <c r="P34" s="25"/>
      <c r="Q34" s="26"/>
      <c r="R34" s="26"/>
      <c r="S34" s="23"/>
    </row>
    <row r="35" spans="1:19">
      <c r="A35" s="66" t="s">
        <v>92</v>
      </c>
      <c r="B35" s="66">
        <v>47407</v>
      </c>
      <c r="C35" s="76">
        <v>47700</v>
      </c>
      <c r="D35" s="77">
        <v>257.90746398534208</v>
      </c>
      <c r="E35" s="78">
        <v>0.70961959473306446</v>
      </c>
      <c r="F35" s="78">
        <v>0.1822179649061697</v>
      </c>
      <c r="G35" s="78">
        <v>3.120419152116805E-3</v>
      </c>
      <c r="H35" s="78">
        <v>0.10504201680672269</v>
      </c>
      <c r="I35" s="72"/>
      <c r="J35" s="23"/>
      <c r="K35" s="23"/>
      <c r="L35" s="23"/>
      <c r="M35" s="23"/>
      <c r="N35" s="23"/>
      <c r="O35" s="23"/>
      <c r="P35" s="23"/>
      <c r="Q35" s="23"/>
      <c r="R35" s="23"/>
      <c r="S35" s="23"/>
    </row>
    <row r="36" spans="1:19">
      <c r="A36" s="66" t="s">
        <v>93</v>
      </c>
      <c r="B36" s="66">
        <v>10070</v>
      </c>
      <c r="C36" s="76">
        <v>10070</v>
      </c>
      <c r="D36" s="77">
        <v>422.0540903521819</v>
      </c>
      <c r="E36" s="78">
        <v>0.70777406192049164</v>
      </c>
      <c r="F36" s="78">
        <v>0.130001890478291</v>
      </c>
      <c r="G36" s="78">
        <v>2.646669607410675E-2</v>
      </c>
      <c r="H36" s="78">
        <v>0.13575734660869199</v>
      </c>
      <c r="I36" s="72"/>
      <c r="J36" s="23"/>
      <c r="K36" s="23"/>
      <c r="L36" s="23"/>
      <c r="M36" s="23"/>
      <c r="N36" s="23"/>
      <c r="O36" s="23"/>
      <c r="P36" s="23"/>
      <c r="Q36" s="23"/>
      <c r="R36" s="23"/>
      <c r="S36" s="23"/>
    </row>
    <row r="37" spans="1:19">
      <c r="A37" s="66" t="s">
        <v>1</v>
      </c>
      <c r="B37" s="66">
        <v>48174</v>
      </c>
      <c r="C37" s="76">
        <v>48000</v>
      </c>
      <c r="D37" s="77">
        <v>200.44326779418557</v>
      </c>
      <c r="E37" s="78">
        <v>0.58106001521826611</v>
      </c>
      <c r="F37" s="78">
        <v>0.12990387113535984</v>
      </c>
      <c r="G37" s="78">
        <v>1.456779126303678E-2</v>
      </c>
      <c r="H37" s="78">
        <v>0.27446832201313887</v>
      </c>
      <c r="I37" s="64"/>
      <c r="J37" s="25"/>
      <c r="K37" s="26"/>
      <c r="L37" s="26"/>
      <c r="M37" s="25"/>
      <c r="N37" s="26"/>
      <c r="O37" s="26"/>
      <c r="P37" s="25"/>
      <c r="Q37" s="26"/>
      <c r="R37" s="26"/>
      <c r="S37" s="23"/>
    </row>
    <row r="38" spans="1:19">
      <c r="A38" s="66" t="s">
        <v>73</v>
      </c>
      <c r="B38" s="66">
        <v>26505</v>
      </c>
      <c r="C38" s="76">
        <v>27000</v>
      </c>
      <c r="D38" s="77">
        <v>131.88138216463375</v>
      </c>
      <c r="E38" s="78">
        <v>0.86017650303364579</v>
      </c>
      <c r="F38" s="78">
        <v>6.2678634107205531E-4</v>
      </c>
      <c r="G38" s="78">
        <v>0</v>
      </c>
      <c r="H38" s="78">
        <v>0.13919671062528205</v>
      </c>
      <c r="I38" s="64"/>
      <c r="J38" s="25"/>
      <c r="K38" s="26"/>
      <c r="L38" s="26"/>
      <c r="M38" s="25"/>
      <c r="N38" s="26"/>
      <c r="O38" s="26"/>
      <c r="P38" s="25"/>
      <c r="Q38" s="26"/>
      <c r="R38" s="26"/>
      <c r="S38" s="23"/>
    </row>
    <row r="39" spans="1:19">
      <c r="A39" s="66" t="s">
        <v>94</v>
      </c>
      <c r="B39" s="66">
        <v>7979</v>
      </c>
      <c r="C39" s="76">
        <v>8160</v>
      </c>
      <c r="D39" s="77">
        <v>268.41388094160379</v>
      </c>
      <c r="E39" s="78">
        <v>0.9647428030110039</v>
      </c>
      <c r="F39" s="78">
        <v>3.158881552131735E-2</v>
      </c>
      <c r="G39" s="78">
        <v>1.8341892883345558E-3</v>
      </c>
      <c r="H39" s="78">
        <v>1.8341892883345558E-3</v>
      </c>
      <c r="I39" s="72"/>
      <c r="J39" s="23"/>
      <c r="K39" s="23"/>
      <c r="L39" s="23"/>
      <c r="M39" s="23"/>
      <c r="N39" s="23"/>
      <c r="O39" s="23"/>
      <c r="P39" s="23"/>
      <c r="Q39" s="23"/>
      <c r="R39" s="23"/>
      <c r="S39" s="23"/>
    </row>
    <row r="40" spans="1:19">
      <c r="A40" s="66" t="s">
        <v>43</v>
      </c>
      <c r="B40" s="66">
        <v>1701</v>
      </c>
      <c r="C40" s="66"/>
      <c r="D40" s="72"/>
      <c r="E40" s="72"/>
      <c r="F40" s="72"/>
      <c r="G40" s="72"/>
      <c r="H40" s="67"/>
      <c r="I40" s="72"/>
      <c r="J40" s="23"/>
      <c r="K40" s="23"/>
      <c r="L40" s="23"/>
      <c r="M40" s="23"/>
      <c r="N40" s="23"/>
      <c r="O40" s="23"/>
      <c r="P40" s="23"/>
      <c r="Q40" s="23"/>
      <c r="R40" s="23"/>
      <c r="S40" s="23"/>
    </row>
    <row r="41" spans="1:19">
      <c r="A41" s="66" t="s">
        <v>74</v>
      </c>
      <c r="B41" s="66">
        <v>27964</v>
      </c>
      <c r="C41" s="76">
        <v>15000</v>
      </c>
      <c r="D41" s="77">
        <v>264.81752441828411</v>
      </c>
      <c r="E41" s="78">
        <v>0.53698168333520635</v>
      </c>
      <c r="F41" s="78">
        <v>5.0455107315428703E-2</v>
      </c>
      <c r="G41" s="78">
        <v>0</v>
      </c>
      <c r="H41" s="78">
        <v>0.41256320934936513</v>
      </c>
      <c r="I41" s="64"/>
      <c r="J41" s="25"/>
      <c r="K41" s="26"/>
      <c r="L41" s="26"/>
      <c r="M41" s="25"/>
      <c r="N41" s="26"/>
      <c r="O41" s="26"/>
      <c r="P41" s="25"/>
      <c r="Q41" s="26"/>
      <c r="R41" s="26"/>
      <c r="S41" s="23"/>
    </row>
    <row r="42" spans="1:19">
      <c r="A42" s="66" t="s">
        <v>75</v>
      </c>
      <c r="B42" s="66">
        <v>62139</v>
      </c>
      <c r="C42" s="66"/>
      <c r="D42" s="66"/>
      <c r="E42" s="72"/>
      <c r="F42" s="72"/>
      <c r="G42" s="72"/>
      <c r="H42" s="67"/>
      <c r="I42" s="68" t="s">
        <v>173</v>
      </c>
      <c r="J42" s="23"/>
      <c r="K42" s="23"/>
      <c r="L42" s="23"/>
      <c r="M42" s="23"/>
      <c r="N42" s="23"/>
      <c r="O42" s="23"/>
      <c r="P42" s="23"/>
      <c r="Q42" s="23"/>
      <c r="R42" s="23"/>
      <c r="S42" s="23"/>
    </row>
    <row r="43" spans="1:19">
      <c r="A43" s="66" t="s">
        <v>23</v>
      </c>
      <c r="B43" s="66">
        <v>1829</v>
      </c>
      <c r="C43" s="76">
        <v>1900</v>
      </c>
      <c r="D43" s="77">
        <v>233.75787651734316</v>
      </c>
      <c r="E43" s="78">
        <v>0.91999999910894448</v>
      </c>
      <c r="F43" s="78">
        <v>6.1507537688442228E-2</v>
      </c>
      <c r="G43" s="78">
        <v>1.7889447236180907E-2</v>
      </c>
      <c r="H43" s="78">
        <v>6.0301507537688446E-4</v>
      </c>
      <c r="I43" s="69"/>
      <c r="J43" s="28"/>
      <c r="K43" s="29"/>
      <c r="L43" s="29"/>
      <c r="M43" s="25"/>
      <c r="N43" s="26"/>
      <c r="O43" s="26"/>
      <c r="P43" s="25"/>
      <c r="Q43" s="26"/>
      <c r="R43" s="26"/>
      <c r="S43" s="23"/>
    </row>
    <row r="44" spans="1:19">
      <c r="A44" s="66" t="s">
        <v>76</v>
      </c>
      <c r="B44" s="66">
        <v>46746</v>
      </c>
      <c r="C44" s="76">
        <v>32000</v>
      </c>
      <c r="D44" s="77">
        <v>253.91582254603881</v>
      </c>
      <c r="E44" s="78">
        <v>0.67043893863648862</v>
      </c>
      <c r="F44" s="78">
        <v>0.16480799868153603</v>
      </c>
      <c r="G44" s="78">
        <v>1.6480799868153602E-2</v>
      </c>
      <c r="H44" s="78">
        <v>0.14827226281382191</v>
      </c>
      <c r="I44" s="64"/>
      <c r="J44" s="25"/>
      <c r="K44" s="26"/>
      <c r="L44" s="26"/>
      <c r="M44" s="25"/>
      <c r="N44" s="26"/>
      <c r="O44" s="26"/>
      <c r="P44" s="25"/>
      <c r="Q44" s="26"/>
      <c r="R44" s="26"/>
      <c r="S44" s="23"/>
    </row>
    <row r="45" spans="1:19">
      <c r="A45" s="66" t="s">
        <v>24</v>
      </c>
      <c r="B45" s="66">
        <v>5438</v>
      </c>
      <c r="C45" s="76">
        <v>5400</v>
      </c>
      <c r="D45" s="77">
        <v>187.74068292904539</v>
      </c>
      <c r="E45" s="78">
        <v>0.83929200188464137</v>
      </c>
      <c r="F45" s="78">
        <v>0.11650228953856991</v>
      </c>
      <c r="G45" s="78">
        <v>2.069390630503698E-2</v>
      </c>
      <c r="H45" s="78">
        <v>2.351179992955265E-2</v>
      </c>
      <c r="I45" s="72"/>
      <c r="J45" s="23"/>
      <c r="K45" s="23"/>
      <c r="L45" s="23"/>
      <c r="M45" s="23"/>
      <c r="N45" s="23"/>
      <c r="O45" s="23"/>
      <c r="P45" s="23"/>
      <c r="Q45" s="23"/>
      <c r="R45" s="23"/>
      <c r="S45" s="23"/>
    </row>
    <row r="46" spans="1:19">
      <c r="A46" s="66" t="s">
        <v>25</v>
      </c>
      <c r="B46" s="66">
        <v>8269</v>
      </c>
      <c r="C46" s="76">
        <v>8250</v>
      </c>
      <c r="D46" s="77">
        <v>180.69131455981812</v>
      </c>
      <c r="E46" s="78">
        <v>0.68014133354818507</v>
      </c>
      <c r="F46" s="78">
        <v>0.13738172236195947</v>
      </c>
      <c r="G46" s="78">
        <v>8.4441250449155559E-3</v>
      </c>
      <c r="H46" s="78">
        <v>0.17403281830159301</v>
      </c>
      <c r="I46" s="64"/>
      <c r="J46" s="25"/>
      <c r="K46" s="26"/>
      <c r="L46" s="26"/>
      <c r="M46" s="25"/>
      <c r="N46" s="26"/>
      <c r="O46" s="26"/>
      <c r="P46" s="25"/>
      <c r="Q46" s="26"/>
      <c r="R46" s="26"/>
      <c r="S46" s="23"/>
    </row>
    <row r="47" spans="1:19">
      <c r="A47" s="66" t="s">
        <v>44</v>
      </c>
      <c r="B47" s="66">
        <v>17357</v>
      </c>
      <c r="C47" s="76">
        <v>17360</v>
      </c>
      <c r="D47" s="77">
        <v>207.95887340065761</v>
      </c>
      <c r="E47" s="78">
        <v>0.92133830632517899</v>
      </c>
      <c r="F47" s="78">
        <v>5.4724399713148214E-2</v>
      </c>
      <c r="G47" s="78">
        <v>0</v>
      </c>
      <c r="H47" s="78">
        <v>2.3937288261331884E-2</v>
      </c>
      <c r="I47" s="64"/>
      <c r="J47" s="25"/>
      <c r="K47" s="26"/>
      <c r="L47" s="26"/>
      <c r="M47" s="25"/>
      <c r="N47" s="26"/>
      <c r="O47" s="26"/>
      <c r="P47" s="25"/>
      <c r="Q47" s="26"/>
      <c r="R47" s="26"/>
      <c r="S47" s="23"/>
    </row>
    <row r="48" spans="1:19">
      <c r="A48" s="66" t="s">
        <v>45</v>
      </c>
      <c r="B48" s="66">
        <v>16322</v>
      </c>
      <c r="C48" s="76">
        <v>16000</v>
      </c>
      <c r="D48" s="77">
        <v>255.50881199474276</v>
      </c>
      <c r="E48" s="78">
        <v>0.50584150353466273</v>
      </c>
      <c r="F48" s="78">
        <v>0.103683969165593</v>
      </c>
      <c r="G48" s="78">
        <v>0.19544471862511736</v>
      </c>
      <c r="H48" s="78">
        <v>0.19502980804926517</v>
      </c>
      <c r="I48" s="64"/>
      <c r="J48" s="25"/>
      <c r="K48" s="26"/>
      <c r="L48" s="26"/>
      <c r="M48" s="25"/>
      <c r="N48" s="26"/>
      <c r="O48" s="26"/>
      <c r="P48" s="25"/>
      <c r="Q48" s="26"/>
      <c r="R48" s="26"/>
      <c r="S48" s="23"/>
    </row>
    <row r="49" spans="1:19">
      <c r="A49" s="66" t="s">
        <v>46</v>
      </c>
      <c r="B49" s="66">
        <v>82825</v>
      </c>
      <c r="C49" s="76">
        <v>82830</v>
      </c>
      <c r="D49" s="77">
        <v>285.02913069605717</v>
      </c>
      <c r="E49" s="78">
        <v>0.7239444273566058</v>
      </c>
      <c r="F49" s="78">
        <v>0.19137543769426818</v>
      </c>
      <c r="G49" s="78">
        <v>2.3989049135199312E-2</v>
      </c>
      <c r="H49" s="78">
        <v>6.0691084271744793E-2</v>
      </c>
      <c r="I49" s="64"/>
      <c r="J49" s="25"/>
      <c r="K49" s="26"/>
      <c r="L49" s="26"/>
      <c r="M49" s="25"/>
      <c r="N49" s="26"/>
      <c r="O49" s="26"/>
      <c r="P49" s="25"/>
      <c r="Q49" s="26"/>
      <c r="R49" s="26"/>
      <c r="S49" s="23"/>
    </row>
    <row r="50" spans="1:19">
      <c r="A50" s="66" t="s">
        <v>95</v>
      </c>
      <c r="B50" s="66">
        <v>88328</v>
      </c>
      <c r="C50" s="76">
        <v>88390</v>
      </c>
      <c r="D50" s="77">
        <v>205.51082020873952</v>
      </c>
      <c r="E50" s="78">
        <v>0.68620223607200148</v>
      </c>
      <c r="F50" s="78">
        <v>6.0105664086497118E-2</v>
      </c>
      <c r="G50" s="78">
        <v>0</v>
      </c>
      <c r="H50" s="78">
        <v>0.2536920997665561</v>
      </c>
      <c r="I50" s="72"/>
      <c r="J50" s="23"/>
      <c r="K50" s="23"/>
      <c r="L50" s="23"/>
      <c r="M50" s="23"/>
      <c r="N50" s="23"/>
      <c r="O50" s="23"/>
      <c r="P50" s="23"/>
      <c r="Q50" s="23"/>
      <c r="R50" s="23"/>
      <c r="S50" s="23"/>
    </row>
    <row r="51" spans="1:19">
      <c r="A51" s="66" t="s">
        <v>96</v>
      </c>
      <c r="B51" s="66">
        <v>491</v>
      </c>
      <c r="C51" s="66"/>
      <c r="D51" s="72"/>
      <c r="E51" s="72"/>
      <c r="F51" s="72"/>
      <c r="G51" s="72"/>
      <c r="H51" s="67"/>
      <c r="I51" s="72"/>
      <c r="J51" s="23"/>
      <c r="K51" s="23"/>
      <c r="L51" s="23"/>
      <c r="M51" s="23"/>
      <c r="N51" s="23"/>
      <c r="O51" s="23"/>
      <c r="P51" s="23"/>
      <c r="Q51" s="23"/>
      <c r="R51" s="23"/>
      <c r="S51" s="23"/>
    </row>
    <row r="52" spans="1:19">
      <c r="A52" s="66" t="s">
        <v>97</v>
      </c>
      <c r="B52" s="66">
        <v>18294</v>
      </c>
      <c r="C52" s="76">
        <v>18300</v>
      </c>
      <c r="D52" s="77">
        <v>251.30489800628709</v>
      </c>
      <c r="E52" s="78">
        <v>0.65846177385267934</v>
      </c>
      <c r="F52" s="78">
        <v>8.7354893815273518E-2</v>
      </c>
      <c r="G52" s="78">
        <v>4.8491672166789603E-2</v>
      </c>
      <c r="H52" s="78">
        <v>0.20569165663703068</v>
      </c>
      <c r="I52" s="65"/>
      <c r="J52" s="25"/>
      <c r="K52" s="26"/>
      <c r="L52" s="26"/>
      <c r="M52" s="25"/>
      <c r="N52" s="26"/>
      <c r="O52" s="26"/>
      <c r="P52" s="25"/>
      <c r="Q52" s="26"/>
      <c r="R52" s="26"/>
      <c r="S52" s="23"/>
    </row>
    <row r="53" spans="1:19">
      <c r="A53" s="66" t="s">
        <v>47</v>
      </c>
      <c r="B53" s="66">
        <v>4512</v>
      </c>
      <c r="C53" s="76">
        <v>4520</v>
      </c>
      <c r="D53" s="77">
        <v>211.49334056657852</v>
      </c>
      <c r="E53" s="78">
        <v>0.9305192338958328</v>
      </c>
      <c r="F53" s="78">
        <v>1.7930519237952931E-2</v>
      </c>
      <c r="G53" s="78">
        <v>0</v>
      </c>
      <c r="H53" s="78">
        <v>5.1550242809114681E-2</v>
      </c>
      <c r="I53" s="64"/>
      <c r="J53" s="25"/>
      <c r="K53" s="26"/>
      <c r="L53" s="26"/>
      <c r="M53" s="25"/>
      <c r="N53" s="26"/>
      <c r="O53" s="26"/>
      <c r="P53" s="25"/>
      <c r="Q53" s="26"/>
      <c r="R53" s="26"/>
      <c r="S53" s="23"/>
    </row>
    <row r="54" spans="1:19">
      <c r="A54" s="66" t="s">
        <v>48</v>
      </c>
      <c r="B54" s="66">
        <v>5476</v>
      </c>
      <c r="C54" s="66"/>
      <c r="D54" s="72"/>
      <c r="E54" s="72"/>
      <c r="F54" s="72"/>
      <c r="G54" s="72"/>
      <c r="H54" s="67"/>
      <c r="I54" s="72"/>
      <c r="J54" s="23"/>
      <c r="K54" s="23"/>
      <c r="L54" s="23"/>
      <c r="M54" s="23"/>
      <c r="N54" s="23"/>
      <c r="O54" s="23"/>
      <c r="P54" s="23"/>
      <c r="Q54" s="23"/>
      <c r="R54" s="23"/>
      <c r="S54" s="23"/>
    </row>
    <row r="55" spans="1:19">
      <c r="A55" s="66" t="s">
        <v>98</v>
      </c>
      <c r="B55" s="66">
        <v>33509</v>
      </c>
      <c r="C55" s="76">
        <v>33510</v>
      </c>
      <c r="D55" s="77">
        <v>146.74723491038694</v>
      </c>
      <c r="E55" s="78">
        <v>0.74487591114888285</v>
      </c>
      <c r="F55" s="78">
        <v>0.14178603198809064</v>
      </c>
      <c r="G55" s="78">
        <v>9.0772107546793004E-3</v>
      </c>
      <c r="H55" s="78">
        <v>0.10426084272824641</v>
      </c>
      <c r="I55" s="64"/>
      <c r="J55" s="25"/>
      <c r="K55" s="26"/>
      <c r="L55" s="26"/>
      <c r="M55" s="25"/>
      <c r="N55" s="26"/>
      <c r="O55" s="26"/>
      <c r="P55" s="25"/>
      <c r="Q55" s="26"/>
      <c r="R55" s="26"/>
      <c r="S55" s="23"/>
    </row>
    <row r="56" spans="1:19">
      <c r="A56" s="66" t="s">
        <v>49</v>
      </c>
      <c r="B56" s="66">
        <v>7979</v>
      </c>
      <c r="C56" s="76">
        <v>7920</v>
      </c>
      <c r="D56" s="77">
        <v>230.2760101722838</v>
      </c>
      <c r="E56" s="78">
        <v>0.7576973874918973</v>
      </c>
      <c r="F56" s="78">
        <v>1.2237505506877482E-2</v>
      </c>
      <c r="G56" s="78">
        <v>0</v>
      </c>
      <c r="H56" s="78">
        <v>0.23006510352929663</v>
      </c>
      <c r="I56" s="64"/>
      <c r="J56" s="25"/>
      <c r="K56" s="26"/>
      <c r="L56" s="26"/>
      <c r="M56" s="25"/>
      <c r="N56" s="26"/>
      <c r="O56" s="26"/>
      <c r="P56" s="25"/>
      <c r="Q56" s="26"/>
      <c r="R56" s="26"/>
      <c r="S56" s="23"/>
    </row>
    <row r="57" spans="1:19">
      <c r="A57" s="66" t="s">
        <v>26</v>
      </c>
      <c r="B57" s="66">
        <v>7075</v>
      </c>
      <c r="C57" s="76">
        <v>7000</v>
      </c>
      <c r="D57" s="77">
        <v>276.64850334779601</v>
      </c>
      <c r="E57" s="78">
        <v>0.84869998115129974</v>
      </c>
      <c r="F57" s="78">
        <v>0.10653697215563342</v>
      </c>
      <c r="G57" s="78">
        <v>4.1489950212059747E-4</v>
      </c>
      <c r="H57" s="78">
        <v>4.4348146782223867E-2</v>
      </c>
      <c r="I57" s="64"/>
      <c r="J57" s="25"/>
      <c r="K57" s="26"/>
      <c r="L57" s="26"/>
      <c r="M57" s="25"/>
      <c r="N57" s="26"/>
      <c r="O57" s="26"/>
      <c r="P57" s="25"/>
      <c r="Q57" s="26"/>
      <c r="R57" s="26"/>
      <c r="S57" s="23"/>
    </row>
    <row r="58" spans="1:19">
      <c r="A58" s="66" t="s">
        <v>99</v>
      </c>
      <c r="B58" s="66">
        <v>112488</v>
      </c>
      <c r="C58" s="76">
        <v>112490</v>
      </c>
      <c r="D58" s="77">
        <v>200.63677428549963</v>
      </c>
      <c r="E58" s="78">
        <v>0.54829280248670165</v>
      </c>
      <c r="F58" s="78">
        <v>5.6496527063588764E-2</v>
      </c>
      <c r="G58" s="78">
        <v>4.129550812461435E-3</v>
      </c>
      <c r="H58" s="78">
        <v>0.39108111956710923</v>
      </c>
      <c r="I58" s="64"/>
      <c r="J58" s="25"/>
      <c r="K58" s="26"/>
      <c r="L58" s="26"/>
      <c r="M58" s="25"/>
      <c r="N58" s="26"/>
      <c r="O58" s="26"/>
      <c r="P58" s="25"/>
      <c r="Q58" s="26"/>
      <c r="R58" s="26"/>
      <c r="S58" s="23"/>
    </row>
    <row r="59" spans="1:19">
      <c r="A59" s="66" t="s">
        <v>27</v>
      </c>
      <c r="B59" s="66">
        <v>1734</v>
      </c>
      <c r="C59" s="76">
        <v>1930</v>
      </c>
      <c r="D59" s="77">
        <v>254.4550680419319</v>
      </c>
      <c r="E59" s="78">
        <v>0.95346300624253755</v>
      </c>
      <c r="F59" s="78">
        <v>4.6536993273950181E-2</v>
      </c>
      <c r="G59" s="78">
        <v>0</v>
      </c>
      <c r="H59" s="78">
        <v>0</v>
      </c>
      <c r="I59" s="64"/>
      <c r="J59" s="25"/>
      <c r="K59" s="26"/>
      <c r="L59" s="26"/>
      <c r="M59" s="25"/>
      <c r="N59" s="26"/>
      <c r="O59" s="26"/>
      <c r="P59" s="25"/>
      <c r="Q59" s="26"/>
      <c r="R59" s="26"/>
      <c r="S59" s="23"/>
    </row>
    <row r="60" spans="1:19">
      <c r="A60" s="66" t="s">
        <v>50</v>
      </c>
      <c r="B60" s="66">
        <v>8426</v>
      </c>
      <c r="C60" s="76">
        <v>8430</v>
      </c>
      <c r="D60" s="77">
        <v>313.25453306932582</v>
      </c>
      <c r="E60" s="78">
        <v>0.64773495554184557</v>
      </c>
      <c r="F60" s="78">
        <v>4.8343475321162947E-2</v>
      </c>
      <c r="G60" s="78">
        <v>2.0283975659229209E-3</v>
      </c>
      <c r="H60" s="78">
        <v>0.30189317106152808</v>
      </c>
      <c r="I60" s="64"/>
      <c r="J60" s="25"/>
      <c r="K60" s="26"/>
      <c r="L60" s="26"/>
      <c r="M60" s="25"/>
      <c r="N60" s="26"/>
      <c r="O60" s="26"/>
      <c r="P60" s="25"/>
      <c r="Q60" s="26"/>
      <c r="R60" s="26"/>
      <c r="S60" s="23"/>
    </row>
    <row r="61" spans="1:19">
      <c r="A61" s="66" t="s">
        <v>77</v>
      </c>
      <c r="B61" s="66">
        <v>38753</v>
      </c>
      <c r="C61" s="76">
        <v>38750</v>
      </c>
      <c r="D61" s="77">
        <v>319.32806765113025</v>
      </c>
      <c r="E61" s="78">
        <v>0.7702552513261286</v>
      </c>
      <c r="F61" s="78">
        <v>0.19377949006536513</v>
      </c>
      <c r="G61" s="78">
        <v>0</v>
      </c>
      <c r="H61" s="78">
        <v>3.5965254029407097E-2</v>
      </c>
      <c r="I61" s="72"/>
      <c r="J61" s="23"/>
      <c r="K61" s="23"/>
      <c r="L61" s="23"/>
      <c r="M61" s="23"/>
      <c r="N61" s="23"/>
      <c r="O61" s="23"/>
      <c r="P61" s="23"/>
      <c r="Q61" s="23"/>
      <c r="R61" s="23"/>
      <c r="S61" s="23"/>
    </row>
    <row r="62" spans="1:19">
      <c r="A62" s="66" t="s">
        <v>51</v>
      </c>
      <c r="B62" s="66">
        <v>36884</v>
      </c>
      <c r="C62" s="76">
        <v>36500</v>
      </c>
      <c r="D62" s="77">
        <v>200.1947059494438</v>
      </c>
      <c r="E62" s="78">
        <v>0.90656077693541648</v>
      </c>
      <c r="F62" s="78">
        <v>2.2871105681124004E-2</v>
      </c>
      <c r="G62" s="78">
        <v>0</v>
      </c>
      <c r="H62" s="78">
        <v>7.0568112400733046E-2</v>
      </c>
      <c r="I62" s="64"/>
      <c r="J62" s="25"/>
      <c r="K62" s="26"/>
      <c r="L62" s="26"/>
      <c r="M62" s="25"/>
      <c r="N62" s="26"/>
      <c r="O62" s="26"/>
      <c r="P62" s="25"/>
      <c r="Q62" s="26"/>
      <c r="R62" s="26"/>
      <c r="S62" s="23"/>
    </row>
    <row r="63" spans="1:19">
      <c r="A63" s="66" t="s">
        <v>100</v>
      </c>
      <c r="B63" s="66">
        <v>6423</v>
      </c>
      <c r="C63" s="76">
        <v>6420</v>
      </c>
      <c r="D63" s="77">
        <v>220.77327949411978</v>
      </c>
      <c r="E63" s="78">
        <v>0.89963152535045887</v>
      </c>
      <c r="F63" s="78">
        <v>3.2274115831574968E-2</v>
      </c>
      <c r="G63" s="78">
        <v>2.582433155922275E-4</v>
      </c>
      <c r="H63" s="78">
        <v>6.7836109973860734E-2</v>
      </c>
      <c r="I63" s="72"/>
      <c r="J63" s="23"/>
      <c r="K63" s="23"/>
      <c r="L63" s="23"/>
      <c r="M63" s="23"/>
      <c r="N63" s="23"/>
      <c r="O63" s="23"/>
      <c r="P63" s="23"/>
      <c r="Q63" s="23"/>
      <c r="R63" s="23"/>
      <c r="S63" s="23"/>
    </row>
    <row r="64" spans="1:19">
      <c r="A64" s="66" t="s">
        <v>78</v>
      </c>
      <c r="B64" s="66">
        <v>186440</v>
      </c>
      <c r="C64" s="76">
        <v>305500</v>
      </c>
      <c r="D64" s="77">
        <v>215.06209115863018</v>
      </c>
      <c r="E64" s="78">
        <v>0.58948298116873976</v>
      </c>
      <c r="F64" s="78">
        <v>0.11945104966369999</v>
      </c>
      <c r="G64" s="78">
        <v>4.615802703988043E-2</v>
      </c>
      <c r="H64" s="78">
        <v>0.24490794211563288</v>
      </c>
      <c r="I64" s="72"/>
      <c r="J64" s="23"/>
      <c r="K64" s="23"/>
      <c r="L64" s="23"/>
      <c r="M64" s="23"/>
      <c r="N64" s="23"/>
      <c r="O64" s="23"/>
      <c r="P64" s="23"/>
      <c r="Q64" s="23"/>
      <c r="R64" s="23"/>
      <c r="S64" s="23"/>
    </row>
    <row r="65" spans="1:19">
      <c r="A65" s="66" t="s">
        <v>79</v>
      </c>
      <c r="B65" s="66">
        <v>87461</v>
      </c>
      <c r="C65" s="76">
        <v>102500</v>
      </c>
      <c r="D65" s="77">
        <v>215.96470484400817</v>
      </c>
      <c r="E65" s="78">
        <v>0.74847857901266734</v>
      </c>
      <c r="F65" s="78">
        <v>9.7491924068091915E-2</v>
      </c>
      <c r="G65" s="78">
        <v>0</v>
      </c>
      <c r="H65" s="78">
        <v>0.15402949681197295</v>
      </c>
      <c r="I65" s="70"/>
      <c r="J65" s="25"/>
      <c r="K65" s="26"/>
      <c r="L65" s="26"/>
      <c r="M65" s="25"/>
      <c r="N65" s="26"/>
      <c r="O65" s="26"/>
      <c r="P65" s="25"/>
      <c r="Q65" s="26"/>
      <c r="R65" s="26"/>
      <c r="S65" s="23"/>
    </row>
    <row r="66" spans="1:19">
      <c r="A66" s="66" t="s">
        <v>101</v>
      </c>
      <c r="B66" s="66">
        <v>17781</v>
      </c>
      <c r="C66" s="76">
        <v>17780</v>
      </c>
      <c r="D66" s="77">
        <v>197.74422457254551</v>
      </c>
      <c r="E66" s="78">
        <v>0.8588223296505425</v>
      </c>
      <c r="F66" s="78">
        <v>7.6174999365208343E-2</v>
      </c>
      <c r="G66" s="78">
        <v>0</v>
      </c>
      <c r="H66" s="78">
        <v>6.5002666124977793E-2</v>
      </c>
      <c r="I66" s="72"/>
      <c r="J66" s="23"/>
      <c r="K66" s="23"/>
      <c r="L66" s="23"/>
      <c r="M66" s="23"/>
      <c r="N66" s="23"/>
      <c r="O66" s="23"/>
      <c r="P66" s="23"/>
      <c r="Q66" s="23"/>
      <c r="R66" s="23"/>
      <c r="S66" s="23"/>
    </row>
    <row r="67" spans="1:19">
      <c r="A67" s="66" t="s">
        <v>28</v>
      </c>
      <c r="B67" s="66">
        <v>9495</v>
      </c>
      <c r="C67" s="76">
        <v>9600</v>
      </c>
      <c r="D67" s="77">
        <v>287.3704608514235</v>
      </c>
      <c r="E67" s="78">
        <v>0.68959937660091486</v>
      </c>
      <c r="F67" s="78">
        <v>0.246650702219921</v>
      </c>
      <c r="G67" s="78">
        <v>1.1843893599119797E-2</v>
      </c>
      <c r="H67" s="78">
        <v>5.1906025499967624E-2</v>
      </c>
      <c r="I67" s="64"/>
      <c r="J67" s="25"/>
      <c r="K67" s="26"/>
      <c r="L67" s="26"/>
      <c r="M67" s="25"/>
      <c r="N67" s="26"/>
      <c r="O67" s="26"/>
      <c r="P67" s="25"/>
      <c r="Q67" s="26"/>
      <c r="R67" s="26"/>
      <c r="S67" s="23"/>
    </row>
    <row r="68" spans="1:19">
      <c r="A68" s="66" t="s">
        <v>80</v>
      </c>
      <c r="B68" s="66">
        <v>50418</v>
      </c>
      <c r="C68" s="76">
        <v>50420</v>
      </c>
      <c r="D68" s="77">
        <v>231.66184213734002</v>
      </c>
      <c r="E68" s="78">
        <v>0.66840419756903779</v>
      </c>
      <c r="F68" s="78">
        <v>0.1644641806216896</v>
      </c>
      <c r="G68" s="78">
        <v>0</v>
      </c>
      <c r="H68" s="78">
        <v>0.1671316217889435</v>
      </c>
      <c r="I68" s="64"/>
      <c r="J68" s="25"/>
      <c r="K68" s="26"/>
      <c r="L68" s="26"/>
      <c r="M68" s="25"/>
      <c r="N68" s="26"/>
      <c r="O68" s="26"/>
      <c r="P68" s="25"/>
      <c r="Q68" s="26"/>
      <c r="R68" s="26"/>
      <c r="S68" s="23"/>
    </row>
    <row r="69" spans="1:19">
      <c r="A69" s="66" t="s">
        <v>52</v>
      </c>
      <c r="B69" s="66">
        <v>16532</v>
      </c>
      <c r="C69" s="76">
        <v>16530</v>
      </c>
      <c r="D69" s="77">
        <v>230.69295201151309</v>
      </c>
      <c r="E69" s="78">
        <v>0.76036520651017003</v>
      </c>
      <c r="F69" s="78">
        <v>2.7086503570174409E-2</v>
      </c>
      <c r="G69" s="78">
        <v>0</v>
      </c>
      <c r="H69" s="78">
        <v>0.21254828514573332</v>
      </c>
      <c r="I69" s="64"/>
      <c r="J69" s="25"/>
      <c r="K69" s="26"/>
      <c r="L69" s="26"/>
      <c r="M69" s="25"/>
      <c r="N69" s="26"/>
      <c r="O69" s="26"/>
      <c r="P69" s="25"/>
      <c r="Q69" s="26"/>
      <c r="R69" s="26"/>
      <c r="S69" s="23"/>
    </row>
    <row r="70" spans="1:19">
      <c r="A70" s="66" t="s">
        <v>110</v>
      </c>
      <c r="B70" s="66">
        <v>23317</v>
      </c>
      <c r="C70" s="76">
        <v>11000</v>
      </c>
      <c r="D70" s="77">
        <v>191.84249432110045</v>
      </c>
      <c r="E70" s="78">
        <v>0.47872070395126487</v>
      </c>
      <c r="F70" s="78">
        <v>0</v>
      </c>
      <c r="G70" s="78">
        <v>0</v>
      </c>
      <c r="H70" s="78">
        <v>0.52127929604873502</v>
      </c>
      <c r="I70" s="72"/>
      <c r="J70" s="23"/>
      <c r="K70" s="23"/>
      <c r="L70" s="23"/>
      <c r="M70" s="23"/>
      <c r="N70" s="23"/>
      <c r="O70" s="23"/>
      <c r="P70" s="23"/>
      <c r="Q70" s="23"/>
      <c r="R70" s="23"/>
      <c r="S70" s="23"/>
    </row>
    <row r="71" spans="1:19">
      <c r="A71" s="66" t="s">
        <v>53</v>
      </c>
      <c r="B71" s="66">
        <v>6051</v>
      </c>
      <c r="C71" s="76">
        <v>6050</v>
      </c>
      <c r="D71" s="77">
        <v>246.29395447342006</v>
      </c>
      <c r="E71" s="78">
        <v>0.92211370919693059</v>
      </c>
      <c r="F71" s="78">
        <v>3.5947516625726442E-2</v>
      </c>
      <c r="G71" s="78">
        <v>0</v>
      </c>
      <c r="H71" s="78">
        <v>4.1938769396680849E-2</v>
      </c>
      <c r="I71" s="72"/>
      <c r="J71" s="23"/>
      <c r="K71" s="23"/>
      <c r="L71" s="23"/>
      <c r="M71" s="23"/>
      <c r="N71" s="23"/>
      <c r="O71" s="23"/>
      <c r="P71" s="23"/>
      <c r="Q71" s="23"/>
      <c r="R71" s="23"/>
      <c r="S71" s="23"/>
    </row>
    <row r="72" spans="1:19">
      <c r="A72" s="66" t="s">
        <v>111</v>
      </c>
      <c r="B72" s="66">
        <v>1571</v>
      </c>
      <c r="C72" s="76">
        <v>1320</v>
      </c>
      <c r="D72" s="77">
        <v>146.76164532983188</v>
      </c>
      <c r="E72" s="78">
        <v>0.97695852207704936</v>
      </c>
      <c r="F72" s="78">
        <v>0</v>
      </c>
      <c r="G72" s="78">
        <v>0</v>
      </c>
      <c r="H72" s="78">
        <v>2.3041474654377878E-2</v>
      </c>
      <c r="I72" s="66" t="s">
        <v>170</v>
      </c>
      <c r="J72" s="25"/>
      <c r="K72" s="26"/>
      <c r="L72" s="26"/>
      <c r="M72" s="25"/>
      <c r="N72" s="26"/>
      <c r="O72" s="26"/>
      <c r="P72" s="25"/>
      <c r="Q72" s="26"/>
      <c r="R72" s="26"/>
      <c r="S72" s="23"/>
    </row>
    <row r="73" spans="1:19">
      <c r="A73" s="66" t="s">
        <v>102</v>
      </c>
      <c r="B73" s="66">
        <v>34691</v>
      </c>
      <c r="C73" s="76">
        <v>34690</v>
      </c>
      <c r="D73" s="77">
        <v>161.4864917135707</v>
      </c>
      <c r="E73" s="78">
        <v>0.71569720759908662</v>
      </c>
      <c r="F73" s="78">
        <v>0.14788844621513944</v>
      </c>
      <c r="G73" s="78">
        <v>5.1155378486055773E-2</v>
      </c>
      <c r="H73" s="78">
        <v>8.5258964143426305E-2</v>
      </c>
      <c r="I73" s="64"/>
      <c r="J73" s="25"/>
      <c r="K73" s="26"/>
      <c r="L73" s="26"/>
      <c r="M73" s="25"/>
      <c r="N73" s="26"/>
      <c r="O73" s="26"/>
      <c r="P73" s="25"/>
      <c r="Q73" s="26"/>
      <c r="R73" s="26"/>
      <c r="S73" s="23"/>
    </row>
    <row r="74" spans="1:19">
      <c r="A74" s="66" t="s">
        <v>103</v>
      </c>
      <c r="B74" s="66">
        <v>458</v>
      </c>
      <c r="C74" s="76">
        <v>350</v>
      </c>
      <c r="D74" s="77">
        <v>276.49546157939415</v>
      </c>
      <c r="E74" s="78">
        <v>0.78782287659298822</v>
      </c>
      <c r="F74" s="78">
        <v>0.11992619926199261</v>
      </c>
      <c r="G74" s="78">
        <v>6.4575645756457564E-2</v>
      </c>
      <c r="H74" s="78">
        <v>2.7675276752767524E-2</v>
      </c>
      <c r="I74" s="64"/>
      <c r="J74" s="25"/>
      <c r="K74" s="26"/>
      <c r="L74" s="26"/>
      <c r="M74" s="25"/>
      <c r="N74" s="26"/>
      <c r="O74" s="26"/>
      <c r="P74" s="25"/>
      <c r="Q74" s="26"/>
      <c r="R74" s="26"/>
      <c r="S74" s="23"/>
    </row>
    <row r="75" spans="1:19">
      <c r="A75" s="66" t="s">
        <v>104</v>
      </c>
      <c r="B75" s="66">
        <v>29466</v>
      </c>
      <c r="C75" s="76">
        <v>29470</v>
      </c>
      <c r="D75" s="77">
        <v>233.47351806217716</v>
      </c>
      <c r="E75" s="78">
        <v>0.6260201628810057</v>
      </c>
      <c r="F75" s="78">
        <v>9.3031101192407012E-2</v>
      </c>
      <c r="G75" s="78">
        <v>0.15611578933710477</v>
      </c>
      <c r="H75" s="78">
        <v>0.12483294624437211</v>
      </c>
      <c r="I75" s="72"/>
      <c r="J75" s="23"/>
      <c r="K75" s="23"/>
      <c r="L75" s="23"/>
      <c r="M75" s="23"/>
      <c r="N75" s="23"/>
      <c r="O75" s="23"/>
      <c r="P75" s="23"/>
      <c r="Q75" s="23"/>
      <c r="R75" s="23"/>
      <c r="S75" s="23"/>
    </row>
    <row r="76" spans="1:19">
      <c r="A76" s="66" t="s">
        <v>54</v>
      </c>
      <c r="B76" s="66">
        <v>5122</v>
      </c>
      <c r="C76" s="76">
        <v>5120</v>
      </c>
      <c r="D76" s="77">
        <v>161.72260438626256</v>
      </c>
      <c r="E76" s="78">
        <v>0.80420485170422651</v>
      </c>
      <c r="F76" s="78">
        <v>0.13466307277628034</v>
      </c>
      <c r="G76" s="78">
        <v>0</v>
      </c>
      <c r="H76" s="78">
        <v>6.1132075471698126E-2</v>
      </c>
      <c r="I76" s="64"/>
      <c r="J76" s="25"/>
      <c r="K76" s="26"/>
      <c r="L76" s="26"/>
      <c r="M76" s="25"/>
      <c r="N76" s="26"/>
      <c r="O76" s="26"/>
      <c r="P76" s="25"/>
      <c r="Q76" s="26"/>
      <c r="R76" s="26"/>
      <c r="S76" s="23"/>
    </row>
    <row r="77" spans="1:19">
      <c r="A77" s="66" t="s">
        <v>55</v>
      </c>
      <c r="B77" s="66">
        <v>24331</v>
      </c>
      <c r="C77" s="76">
        <v>24330</v>
      </c>
      <c r="D77" s="77">
        <v>218.34608951108149</v>
      </c>
      <c r="E77" s="78">
        <v>0.75632708859644215</v>
      </c>
      <c r="F77" s="78">
        <v>0.11595469364433839</v>
      </c>
      <c r="G77" s="78">
        <v>0</v>
      </c>
      <c r="H77" s="78">
        <v>0.12771821328941618</v>
      </c>
      <c r="I77" s="65"/>
      <c r="J77" s="25"/>
      <c r="K77" s="27"/>
      <c r="L77" s="27"/>
      <c r="M77" s="25"/>
      <c r="N77" s="27"/>
      <c r="O77" s="26"/>
      <c r="P77" s="25"/>
      <c r="Q77" s="26"/>
      <c r="R77" s="26"/>
      <c r="S77" s="23"/>
    </row>
    <row r="78" spans="1:19">
      <c r="A78" s="66" t="s">
        <v>81</v>
      </c>
      <c r="B78" s="66">
        <v>58652</v>
      </c>
      <c r="C78" s="76">
        <v>58650</v>
      </c>
      <c r="D78" s="77">
        <v>204.16963534379869</v>
      </c>
      <c r="E78" s="78">
        <v>0.7273059374149361</v>
      </c>
      <c r="F78" s="78">
        <v>0.14760832612650227</v>
      </c>
      <c r="G78" s="78">
        <v>5.5542301613336117E-3</v>
      </c>
      <c r="H78" s="78">
        <v>0.11953150627739839</v>
      </c>
      <c r="I78" s="69"/>
      <c r="J78" s="25"/>
      <c r="K78" s="26"/>
      <c r="L78" s="26"/>
      <c r="M78" s="25"/>
      <c r="N78" s="26"/>
      <c r="O78" s="26"/>
      <c r="P78" s="25"/>
      <c r="Q78" s="26"/>
      <c r="R78" s="26"/>
      <c r="S78" s="23"/>
    </row>
    <row r="79" spans="1:19">
      <c r="A79" s="66" t="s">
        <v>56</v>
      </c>
      <c r="B79" s="66">
        <v>1322</v>
      </c>
      <c r="C79" s="76">
        <v>1320</v>
      </c>
      <c r="D79" s="77">
        <v>366.09252818911517</v>
      </c>
      <c r="E79" s="78">
        <v>0.88435248213825868</v>
      </c>
      <c r="F79" s="78">
        <v>9.237021984112323E-2</v>
      </c>
      <c r="G79" s="78">
        <v>4.8032514317384086E-3</v>
      </c>
      <c r="H79" s="78">
        <v>1.8474043968224642E-2</v>
      </c>
      <c r="I79" s="65"/>
      <c r="J79" s="25"/>
      <c r="K79" s="27"/>
      <c r="L79" s="27"/>
      <c r="M79" s="25"/>
      <c r="N79" s="27"/>
      <c r="O79" s="26"/>
      <c r="P79" s="25"/>
      <c r="Q79" s="26"/>
      <c r="R79" s="26"/>
      <c r="S79" s="23"/>
    </row>
    <row r="80" spans="1:19">
      <c r="A80" s="66" t="s">
        <v>105</v>
      </c>
      <c r="B80" s="66">
        <v>139</v>
      </c>
      <c r="C80" s="66"/>
      <c r="D80" s="72"/>
      <c r="E80" s="72"/>
      <c r="F80" s="72"/>
      <c r="G80" s="72"/>
      <c r="H80" s="67"/>
      <c r="I80" s="72"/>
      <c r="J80" s="23"/>
      <c r="K80" s="23"/>
      <c r="L80" s="23"/>
      <c r="M80" s="23"/>
      <c r="N80" s="23"/>
      <c r="O80" s="23"/>
      <c r="P80" s="23"/>
      <c r="Q80" s="23"/>
      <c r="R80" s="23"/>
      <c r="S80" s="23"/>
    </row>
    <row r="81" spans="1:19">
      <c r="A81" s="66" t="s">
        <v>57</v>
      </c>
      <c r="B81" s="66">
        <v>9067</v>
      </c>
      <c r="C81" s="76">
        <v>9070</v>
      </c>
      <c r="D81" s="77">
        <v>173.03675137389919</v>
      </c>
      <c r="E81" s="78">
        <v>0.96131967641296712</v>
      </c>
      <c r="F81" s="78">
        <v>2.4459613196814559E-2</v>
      </c>
      <c r="G81" s="78">
        <v>0</v>
      </c>
      <c r="H81" s="78">
        <v>1.4220705346985212E-2</v>
      </c>
      <c r="I81" s="64"/>
      <c r="J81" s="25"/>
      <c r="K81" s="26"/>
      <c r="L81" s="26"/>
      <c r="M81" s="25"/>
      <c r="N81" s="26"/>
      <c r="O81" s="26"/>
      <c r="P81" s="25"/>
      <c r="Q81" s="26"/>
      <c r="R81" s="26"/>
      <c r="S81" s="23"/>
    </row>
    <row r="82" spans="1:19">
      <c r="A82" s="66" t="s">
        <v>29</v>
      </c>
      <c r="B82" s="66">
        <v>3432</v>
      </c>
      <c r="C82" s="76">
        <v>3400</v>
      </c>
      <c r="D82" s="77">
        <v>392.07200491269526</v>
      </c>
      <c r="E82" s="78">
        <v>0.89586123749174917</v>
      </c>
      <c r="F82" s="78">
        <v>4.6879185641575137E-2</v>
      </c>
      <c r="G82" s="78">
        <v>1.0246450575944281E-2</v>
      </c>
      <c r="H82" s="78">
        <v>4.7013126171979648E-2</v>
      </c>
      <c r="I82" s="69"/>
      <c r="J82" s="28"/>
      <c r="K82" s="29"/>
      <c r="L82" s="29"/>
      <c r="M82" s="25"/>
      <c r="N82" s="26"/>
      <c r="O82" s="26"/>
      <c r="P82" s="25"/>
      <c r="Q82" s="26"/>
      <c r="R82" s="26"/>
      <c r="S82" s="23"/>
    </row>
    <row r="83" spans="1:19">
      <c r="A83" s="66" t="s">
        <v>58</v>
      </c>
      <c r="B83" s="66">
        <v>5265</v>
      </c>
      <c r="C83" s="76">
        <v>5270</v>
      </c>
      <c r="D83" s="77">
        <v>371.10692825205081</v>
      </c>
      <c r="E83" s="78">
        <v>0.7043867218188874</v>
      </c>
      <c r="F83" s="78">
        <v>0.14292235358561189</v>
      </c>
      <c r="G83" s="78">
        <v>2.3828000182590042E-2</v>
      </c>
      <c r="H83" s="78">
        <v>0.12886292052768522</v>
      </c>
      <c r="I83" s="69"/>
      <c r="J83" s="25"/>
      <c r="K83" s="26"/>
      <c r="L83" s="26"/>
      <c r="M83" s="25"/>
      <c r="N83" s="26"/>
      <c r="O83" s="26"/>
      <c r="P83" s="25"/>
      <c r="Q83" s="26"/>
      <c r="R83" s="26"/>
      <c r="S83" s="23"/>
    </row>
    <row r="84" spans="1:19">
      <c r="A84" s="66" t="s">
        <v>59</v>
      </c>
      <c r="B84" s="66">
        <v>10272</v>
      </c>
      <c r="C84" s="66"/>
      <c r="D84" s="72"/>
      <c r="E84" s="72"/>
      <c r="F84" s="72"/>
      <c r="G84" s="72"/>
      <c r="H84" s="67"/>
      <c r="I84" s="72"/>
      <c r="J84" s="23"/>
      <c r="K84" s="23"/>
      <c r="L84" s="23"/>
      <c r="M84" s="23"/>
      <c r="N84" s="23"/>
      <c r="O84" s="23"/>
      <c r="P84" s="23"/>
      <c r="Q84" s="23"/>
      <c r="R84" s="23"/>
      <c r="S84" s="23"/>
    </row>
    <row r="85" spans="1:19">
      <c r="A85" s="66" t="s">
        <v>82</v>
      </c>
      <c r="B85" s="66">
        <v>103712</v>
      </c>
      <c r="C85" s="76">
        <v>92000</v>
      </c>
      <c r="D85" s="77">
        <v>196.93730822475447</v>
      </c>
      <c r="E85" s="78">
        <v>0.70692288739321807</v>
      </c>
      <c r="F85" s="78">
        <v>8.677014042867702E-2</v>
      </c>
      <c r="G85" s="78">
        <v>5.1589061345158907E-2</v>
      </c>
      <c r="H85" s="78">
        <v>0.15471791081547176</v>
      </c>
      <c r="I85" s="72"/>
      <c r="J85" s="23"/>
      <c r="K85" s="23"/>
      <c r="L85" s="23"/>
      <c r="M85" s="23"/>
      <c r="N85" s="23"/>
      <c r="O85" s="23"/>
      <c r="P85" s="23"/>
      <c r="Q85" s="23"/>
      <c r="R85" s="23"/>
      <c r="S85" s="23"/>
    </row>
    <row r="86" spans="1:19">
      <c r="A86" s="66" t="s">
        <v>60</v>
      </c>
      <c r="B86" s="66">
        <v>9511</v>
      </c>
      <c r="C86" s="76">
        <v>8500</v>
      </c>
      <c r="D86" s="77">
        <v>268.47427242374272</v>
      </c>
      <c r="E86" s="78">
        <v>0.77224003888986581</v>
      </c>
      <c r="F86" s="78">
        <v>1.6117674673343244E-2</v>
      </c>
      <c r="G86" s="78">
        <v>0</v>
      </c>
      <c r="H86" s="78">
        <v>0.21164228151161882</v>
      </c>
      <c r="I86" s="64"/>
      <c r="J86" s="25"/>
      <c r="K86" s="26"/>
      <c r="L86" s="26"/>
      <c r="M86" s="25"/>
      <c r="N86" s="26"/>
      <c r="O86" s="26"/>
      <c r="P86" s="25"/>
      <c r="Q86" s="26"/>
      <c r="R86" s="26"/>
      <c r="S86" s="23"/>
    </row>
    <row r="87" spans="1:19">
      <c r="A87" s="66" t="s">
        <v>83</v>
      </c>
      <c r="B87" s="66">
        <v>129480</v>
      </c>
      <c r="C87" s="76">
        <v>115000</v>
      </c>
      <c r="D87" s="77">
        <v>190.78319928776804</v>
      </c>
      <c r="E87" s="78">
        <v>0.73754882810696221</v>
      </c>
      <c r="F87" s="78">
        <v>0.1396484375</v>
      </c>
      <c r="G87" s="78">
        <v>3.90625E-3</v>
      </c>
      <c r="H87" s="78">
        <v>0.118896484375</v>
      </c>
      <c r="I87" s="66" t="s">
        <v>171</v>
      </c>
      <c r="J87" s="23"/>
      <c r="K87" s="23"/>
      <c r="L87" s="23"/>
      <c r="M87" s="23"/>
      <c r="N87" s="23"/>
      <c r="O87" s="23"/>
      <c r="P87" s="23"/>
      <c r="Q87" s="23"/>
      <c r="R87" s="23"/>
      <c r="S87" s="23"/>
    </row>
    <row r="88" spans="1:19">
      <c r="A88" s="66" t="s">
        <v>84</v>
      </c>
      <c r="B88" s="66">
        <v>5407</v>
      </c>
      <c r="C88" s="76">
        <v>15000</v>
      </c>
      <c r="D88" s="77">
        <v>185.63116275101206</v>
      </c>
      <c r="E88" s="78">
        <v>0.89579993557841286</v>
      </c>
      <c r="F88" s="78">
        <v>0</v>
      </c>
      <c r="G88" s="78">
        <v>0</v>
      </c>
      <c r="H88" s="78">
        <v>0.10420006412311639</v>
      </c>
      <c r="I88" s="64"/>
      <c r="J88" s="25"/>
      <c r="K88" s="26"/>
      <c r="L88" s="26"/>
      <c r="M88" s="25"/>
      <c r="N88" s="26"/>
      <c r="O88" s="26"/>
      <c r="P88" s="25"/>
      <c r="Q88" s="26"/>
      <c r="R88" s="26"/>
      <c r="S88" s="23"/>
    </row>
    <row r="89" spans="1:19">
      <c r="A89" s="66" t="s">
        <v>61</v>
      </c>
      <c r="B89" s="66">
        <v>1772</v>
      </c>
      <c r="C89" s="76">
        <v>1750</v>
      </c>
      <c r="D89" s="77">
        <v>272.61840344654655</v>
      </c>
      <c r="E89" s="78">
        <v>0.81886227483525065</v>
      </c>
      <c r="F89" s="78">
        <v>0.12200598802395209</v>
      </c>
      <c r="G89" s="78">
        <v>9.3562874251496995E-4</v>
      </c>
      <c r="H89" s="78">
        <v>5.8196107784431135E-2</v>
      </c>
      <c r="I89" s="64"/>
      <c r="J89" s="25"/>
      <c r="K89" s="26"/>
      <c r="L89" s="26"/>
      <c r="M89" s="25"/>
      <c r="N89" s="26"/>
      <c r="O89" s="26"/>
      <c r="P89" s="25"/>
      <c r="Q89" s="26"/>
      <c r="R89" s="26"/>
      <c r="S89" s="23"/>
    </row>
    <row r="90" spans="1:19">
      <c r="A90" s="66" t="s">
        <v>106</v>
      </c>
      <c r="B90" s="66">
        <v>1344</v>
      </c>
      <c r="C90" s="76">
        <v>1340</v>
      </c>
      <c r="D90" s="77">
        <v>188.00914757529299</v>
      </c>
      <c r="E90" s="78">
        <v>0.98830616583982989</v>
      </c>
      <c r="F90" s="78">
        <v>1.1693834160170091E-2</v>
      </c>
      <c r="G90" s="78">
        <v>0</v>
      </c>
      <c r="H90" s="78">
        <v>0</v>
      </c>
      <c r="I90" s="72"/>
      <c r="J90" s="23"/>
      <c r="K90" s="23"/>
      <c r="L90" s="23"/>
      <c r="M90" s="23"/>
      <c r="N90" s="23"/>
      <c r="O90" s="23"/>
      <c r="P90" s="23"/>
      <c r="Q90" s="23"/>
      <c r="R90" s="23"/>
      <c r="S90" s="23"/>
    </row>
    <row r="91" spans="1:19">
      <c r="A91" s="66" t="s">
        <v>62</v>
      </c>
      <c r="B91" s="66">
        <v>9761</v>
      </c>
      <c r="C91" s="76">
        <v>9760</v>
      </c>
      <c r="D91" s="77">
        <v>215.75857779580429</v>
      </c>
      <c r="E91" s="78">
        <v>0.79989824865079506</v>
      </c>
      <c r="F91" s="78">
        <v>4.358148210954723E-2</v>
      </c>
      <c r="G91" s="78">
        <v>3.4509072409699852E-2</v>
      </c>
      <c r="H91" s="78">
        <v>0.12201119213159235</v>
      </c>
      <c r="I91" s="64"/>
      <c r="J91" s="28"/>
      <c r="K91" s="30"/>
      <c r="L91" s="30"/>
      <c r="M91" s="28"/>
      <c r="N91" s="30"/>
      <c r="O91" s="30"/>
      <c r="P91" s="28"/>
      <c r="Q91" s="30"/>
      <c r="R91" s="30"/>
      <c r="S91" s="23"/>
    </row>
    <row r="92" spans="1:19">
      <c r="A92" s="66"/>
      <c r="B92" s="66"/>
      <c r="C92" s="76"/>
      <c r="D92" s="77"/>
      <c r="E92" s="64"/>
      <c r="F92" s="71"/>
      <c r="G92" s="64"/>
      <c r="H92" s="67"/>
      <c r="I92" s="64"/>
      <c r="J92" s="28"/>
      <c r="K92" s="30"/>
      <c r="L92" s="30"/>
      <c r="M92" s="28"/>
      <c r="N92" s="30"/>
      <c r="O92" s="30"/>
      <c r="P92" s="28"/>
      <c r="Q92" s="30"/>
      <c r="R92" s="30"/>
      <c r="S92" s="23"/>
    </row>
    <row r="93" spans="1:19">
      <c r="A93" s="79" t="s">
        <v>150</v>
      </c>
      <c r="B93" s="80">
        <f>SUM(B5:B91)</f>
        <v>2151932</v>
      </c>
      <c r="C93" s="80">
        <f>SUM(C5:C91)</f>
        <v>2147370</v>
      </c>
      <c r="D93" s="66"/>
      <c r="E93" s="78">
        <f>C93/B93</f>
        <v>0.9978800445367233</v>
      </c>
      <c r="F93" s="66" t="s">
        <v>151</v>
      </c>
      <c r="G93" s="66"/>
      <c r="H93" s="66"/>
      <c r="I93" s="66"/>
    </row>
    <row r="94" spans="1:19">
      <c r="A94" s="66"/>
      <c r="B94" s="66"/>
      <c r="C94" s="66"/>
      <c r="D94" s="66"/>
      <c r="E94" s="66"/>
      <c r="F94" s="66"/>
      <c r="G94" s="66"/>
      <c r="H94" s="66"/>
      <c r="I94" s="66"/>
    </row>
    <row r="95" spans="1:19">
      <c r="A95" s="66"/>
      <c r="B95" s="66"/>
      <c r="C95" s="66"/>
      <c r="D95" s="66"/>
      <c r="E95" s="66"/>
      <c r="F95" s="66"/>
      <c r="G95" s="66"/>
      <c r="H95" s="66"/>
      <c r="I95" s="66"/>
    </row>
    <row r="97" spans="1:7">
      <c r="A97" s="14"/>
      <c r="B97" s="14"/>
      <c r="C97" s="14"/>
      <c r="E97" s="15"/>
    </row>
    <row r="100" spans="1:7">
      <c r="G100" s="1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workbookViewId="0">
      <selection activeCell="K16" sqref="K16"/>
    </sheetView>
  </sheetViews>
  <sheetFormatPr defaultRowHeight="15"/>
  <sheetData>
    <row r="1" spans="1:11">
      <c r="A1" s="56" t="s">
        <v>200</v>
      </c>
      <c r="B1" s="57"/>
      <c r="C1" s="57"/>
      <c r="D1" s="57"/>
      <c r="E1" s="57"/>
      <c r="F1" s="57"/>
      <c r="G1" s="57"/>
      <c r="H1" s="57"/>
      <c r="I1" s="57"/>
      <c r="J1" s="57"/>
      <c r="K1" s="57"/>
    </row>
    <row r="2" spans="1:11">
      <c r="A2" s="57"/>
      <c r="B2" s="57"/>
      <c r="C2" s="57"/>
      <c r="D2" s="57"/>
      <c r="E2" s="57"/>
      <c r="F2" s="57"/>
      <c r="G2" s="57"/>
      <c r="H2" s="57"/>
      <c r="I2" s="57"/>
      <c r="J2" s="57"/>
      <c r="K2" s="57"/>
    </row>
    <row r="3" spans="1:11">
      <c r="A3" s="57"/>
      <c r="B3" s="57"/>
      <c r="C3" s="57"/>
      <c r="D3" s="57"/>
      <c r="E3" s="57"/>
      <c r="F3" s="57"/>
      <c r="G3" s="57"/>
      <c r="H3" s="57"/>
      <c r="I3" s="57"/>
      <c r="J3" s="57"/>
      <c r="K3" s="57"/>
    </row>
    <row r="4" spans="1:11">
      <c r="A4" s="57"/>
      <c r="B4" s="57"/>
      <c r="C4" s="57"/>
      <c r="D4" s="57"/>
      <c r="E4" s="57"/>
      <c r="F4" s="57"/>
      <c r="G4" s="57"/>
      <c r="H4" s="57"/>
      <c r="I4" s="57"/>
      <c r="J4" s="57"/>
      <c r="K4" s="57"/>
    </row>
    <row r="5" spans="1:11">
      <c r="A5" s="57"/>
      <c r="B5" s="57"/>
      <c r="C5" s="57"/>
      <c r="D5" s="57"/>
      <c r="E5" s="57"/>
      <c r="F5" s="57"/>
      <c r="G5" s="57"/>
      <c r="H5" s="57"/>
      <c r="I5" s="57"/>
      <c r="J5" s="57"/>
      <c r="K5" s="57"/>
    </row>
    <row r="6" spans="1:11">
      <c r="A6" s="57"/>
      <c r="B6" s="57"/>
      <c r="C6" s="57"/>
      <c r="D6" s="57"/>
      <c r="E6" s="57"/>
      <c r="F6" s="57"/>
      <c r="G6" s="57"/>
      <c r="H6" s="57"/>
      <c r="I6" s="57"/>
      <c r="J6" s="57"/>
      <c r="K6" s="57"/>
    </row>
    <row r="7" spans="1:11">
      <c r="A7" s="57"/>
      <c r="B7" s="57"/>
      <c r="C7" s="57"/>
      <c r="D7" s="57"/>
      <c r="E7" s="57"/>
      <c r="F7" s="57"/>
      <c r="G7" s="57"/>
      <c r="H7" s="57"/>
      <c r="I7" s="57"/>
      <c r="J7" s="57"/>
      <c r="K7" s="57"/>
    </row>
    <row r="8" spans="1:11">
      <c r="A8" s="57"/>
      <c r="B8" s="57"/>
      <c r="C8" s="57"/>
      <c r="D8" s="57"/>
      <c r="E8" s="57"/>
      <c r="F8" s="57"/>
      <c r="G8" s="57"/>
      <c r="H8" s="57"/>
      <c r="I8" s="57"/>
      <c r="J8" s="57"/>
      <c r="K8" s="57"/>
    </row>
    <row r="9" spans="1:11">
      <c r="A9" s="57"/>
      <c r="B9" s="57"/>
      <c r="C9" s="57"/>
      <c r="D9" s="57"/>
      <c r="E9" s="57"/>
      <c r="F9" s="57"/>
      <c r="G9" s="57"/>
      <c r="H9" s="57"/>
      <c r="I9" s="57"/>
      <c r="J9" s="57"/>
      <c r="K9" s="57"/>
    </row>
    <row r="10" spans="1:11">
      <c r="A10" s="57"/>
      <c r="B10" s="57"/>
      <c r="C10" s="57"/>
      <c r="D10" s="57"/>
      <c r="E10" s="57"/>
      <c r="F10" s="57"/>
      <c r="G10" s="57"/>
      <c r="H10" s="57"/>
      <c r="I10" s="57"/>
      <c r="J10" s="57"/>
      <c r="K10" s="57"/>
    </row>
    <row r="11" spans="1:11">
      <c r="A11" s="57"/>
      <c r="B11" s="57"/>
      <c r="C11" s="57"/>
      <c r="D11" s="57"/>
      <c r="E11" s="57"/>
      <c r="F11" s="57"/>
      <c r="G11" s="57"/>
      <c r="H11" s="57"/>
      <c r="I11" s="57"/>
      <c r="J11" s="57"/>
      <c r="K11" s="57"/>
    </row>
    <row r="12" spans="1:11">
      <c r="A12" s="57"/>
      <c r="B12" s="57"/>
      <c r="C12" s="57"/>
      <c r="D12" s="57"/>
      <c r="E12" s="57"/>
      <c r="F12" s="57"/>
      <c r="G12" s="57"/>
      <c r="H12" s="57"/>
      <c r="I12" s="57"/>
      <c r="J12" s="57"/>
      <c r="K12" s="57"/>
    </row>
    <row r="13" spans="1:11">
      <c r="A13" s="57"/>
      <c r="B13" s="57"/>
      <c r="C13" s="57"/>
      <c r="D13" s="57"/>
      <c r="E13" s="57"/>
      <c r="F13" s="57"/>
      <c r="G13" s="57"/>
      <c r="H13" s="57"/>
      <c r="I13" s="57"/>
      <c r="J13" s="57"/>
      <c r="K13" s="57"/>
    </row>
    <row r="14" spans="1:11">
      <c r="A14" s="57"/>
      <c r="B14" s="57"/>
      <c r="C14" s="57"/>
      <c r="D14" s="57"/>
      <c r="E14" s="57"/>
      <c r="F14" s="57"/>
      <c r="G14" s="57"/>
      <c r="H14" s="57"/>
      <c r="I14" s="57"/>
      <c r="J14" s="57"/>
      <c r="K14" s="57"/>
    </row>
    <row r="15" spans="1:11">
      <c r="A15" s="57"/>
      <c r="B15" s="57"/>
      <c r="C15" s="57"/>
      <c r="D15" s="57"/>
      <c r="E15" s="57"/>
      <c r="F15" s="57"/>
      <c r="G15" s="57"/>
      <c r="H15" s="57"/>
      <c r="I15" s="57"/>
      <c r="J15" s="57"/>
      <c r="K15" s="57"/>
    </row>
    <row r="16" spans="1:11">
      <c r="A16" s="57"/>
      <c r="B16" s="57"/>
      <c r="C16" s="57"/>
      <c r="D16" s="57"/>
      <c r="E16" s="57"/>
      <c r="F16" s="57"/>
      <c r="G16" s="57"/>
      <c r="H16" s="57"/>
      <c r="I16" s="57"/>
      <c r="J16" s="57"/>
      <c r="K16" s="57"/>
    </row>
    <row r="17" spans="1:11">
      <c r="A17" s="57"/>
      <c r="B17" s="57"/>
      <c r="C17" s="57"/>
      <c r="D17" s="57"/>
      <c r="E17" s="57"/>
      <c r="F17" s="57"/>
      <c r="G17" s="57"/>
      <c r="H17" s="57"/>
      <c r="I17" s="57"/>
      <c r="J17" s="57"/>
      <c r="K17" s="57"/>
    </row>
    <row r="18" spans="1:11">
      <c r="A18" s="57"/>
      <c r="B18" s="57"/>
      <c r="C18" s="57"/>
      <c r="D18" s="57"/>
      <c r="E18" s="57"/>
      <c r="F18" s="57"/>
      <c r="G18" s="57"/>
      <c r="H18" s="57"/>
      <c r="I18" s="57"/>
      <c r="J18" s="57"/>
      <c r="K18" s="57"/>
    </row>
    <row r="19" spans="1:11">
      <c r="A19" s="57"/>
      <c r="B19" s="57"/>
      <c r="C19" s="57"/>
      <c r="D19" s="57"/>
      <c r="E19" s="57"/>
      <c r="F19" s="57"/>
      <c r="G19" s="57"/>
      <c r="H19" s="57"/>
      <c r="I19" s="57"/>
      <c r="J19" s="57"/>
      <c r="K19" s="57"/>
    </row>
    <row r="20" spans="1:11">
      <c r="A20" s="57"/>
      <c r="B20" s="57"/>
      <c r="C20" s="57"/>
      <c r="D20" s="57"/>
      <c r="E20" s="57"/>
      <c r="F20" s="57"/>
      <c r="G20" s="57"/>
      <c r="H20" s="57"/>
      <c r="I20" s="57"/>
      <c r="J20" s="57"/>
      <c r="K20" s="57"/>
    </row>
    <row r="21" spans="1:11">
      <c r="A21" s="57"/>
      <c r="B21" s="57"/>
      <c r="C21" s="57"/>
      <c r="D21" s="57"/>
      <c r="E21" s="57"/>
      <c r="F21" s="57"/>
      <c r="G21" s="57"/>
      <c r="H21" s="57"/>
      <c r="I21" s="57"/>
      <c r="J21" s="57"/>
      <c r="K21" s="57"/>
    </row>
    <row r="22" spans="1:11">
      <c r="A22" s="57"/>
      <c r="B22" s="57"/>
      <c r="C22" s="57"/>
      <c r="D22" s="57"/>
      <c r="E22" s="57"/>
      <c r="F22" s="57"/>
      <c r="G22" s="57"/>
      <c r="H22" s="57"/>
      <c r="I22" s="57"/>
      <c r="J22" s="57"/>
      <c r="K22" s="57"/>
    </row>
    <row r="23" spans="1:11">
      <c r="A23" s="57"/>
      <c r="B23" s="57"/>
      <c r="C23" s="57"/>
      <c r="D23" s="57"/>
      <c r="E23" s="57"/>
      <c r="F23" s="57"/>
      <c r="G23" s="57"/>
      <c r="H23" s="57"/>
      <c r="I23" s="57"/>
      <c r="J23" s="57"/>
      <c r="K23" s="57"/>
    </row>
    <row r="24" spans="1:11">
      <c r="A24" s="57"/>
      <c r="B24" s="57"/>
      <c r="C24" s="57"/>
      <c r="D24" s="57"/>
      <c r="E24" s="57"/>
      <c r="F24" s="57"/>
      <c r="G24" s="57"/>
      <c r="H24" s="57"/>
      <c r="I24" s="57"/>
      <c r="J24" s="57"/>
      <c r="K24" s="57"/>
    </row>
    <row r="25" spans="1:11">
      <c r="A25" s="57"/>
      <c r="B25" s="57"/>
      <c r="C25" s="57"/>
      <c r="D25" s="57"/>
      <c r="E25" s="57"/>
      <c r="F25" s="57"/>
      <c r="G25" s="57"/>
      <c r="H25" s="57"/>
      <c r="I25" s="57"/>
      <c r="J25" s="57"/>
      <c r="K25" s="57"/>
    </row>
    <row r="26" spans="1:11">
      <c r="A26" s="57"/>
      <c r="B26" s="57"/>
      <c r="C26" s="57"/>
      <c r="D26" s="57"/>
      <c r="E26" s="57"/>
      <c r="F26" s="57"/>
      <c r="G26" s="57"/>
      <c r="H26" s="57"/>
      <c r="I26" s="57"/>
      <c r="J26" s="57"/>
      <c r="K26" s="57"/>
    </row>
    <row r="28" spans="1:11">
      <c r="A28" t="s">
        <v>192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zoomScale="85" zoomScaleNormal="85" workbookViewId="0">
      <pane xSplit="1" ySplit="2" topLeftCell="B3" activePane="bottomRight" state="frozen"/>
      <selection pane="topRight" activeCell="B1" sqref="B1"/>
      <selection pane="bottomLeft" activeCell="A3" sqref="A3"/>
      <selection pane="bottomRight" activeCell="F12" sqref="F12"/>
    </sheetView>
  </sheetViews>
  <sheetFormatPr defaultRowHeight="15"/>
  <cols>
    <col min="1" max="1" width="23.28515625" customWidth="1"/>
    <col min="2" max="2" width="8.85546875" customWidth="1"/>
    <col min="3" max="3" width="13.85546875" customWidth="1"/>
    <col min="4" max="4" width="19.28515625" customWidth="1"/>
    <col min="5" max="5" width="12.140625" customWidth="1"/>
    <col min="6" max="6" width="50.42578125" bestFit="1" customWidth="1"/>
    <col min="7" max="7" width="29.5703125" customWidth="1"/>
    <col min="8" max="8" width="10.140625" customWidth="1"/>
  </cols>
  <sheetData>
    <row r="1" spans="1:9">
      <c r="B1" s="59" t="s">
        <v>0</v>
      </c>
      <c r="C1" s="59"/>
      <c r="D1" s="59"/>
      <c r="E1" s="59"/>
    </row>
    <row r="2" spans="1:9">
      <c r="B2" t="s">
        <v>1</v>
      </c>
      <c r="C2" t="s">
        <v>2</v>
      </c>
      <c r="D2" t="s">
        <v>3</v>
      </c>
      <c r="E2" t="s">
        <v>4</v>
      </c>
      <c r="F2" t="s">
        <v>5</v>
      </c>
      <c r="G2" t="s">
        <v>9</v>
      </c>
    </row>
    <row r="3" spans="1:9" ht="30">
      <c r="A3" t="s">
        <v>156</v>
      </c>
      <c r="B3" s="15">
        <f>'2010 Population'!H5</f>
        <v>274.05584460085157</v>
      </c>
      <c r="C3" s="15">
        <f>'2010 Population'!H18</f>
        <v>405.07628630684707</v>
      </c>
      <c r="D3" s="15">
        <f>'2010 Population'!H54</f>
        <v>484.20355422088255</v>
      </c>
      <c r="E3" s="15">
        <f>'2010 Population'!H77</f>
        <v>298.0938573477352</v>
      </c>
      <c r="F3" s="3" t="s">
        <v>158</v>
      </c>
      <c r="G3" t="s">
        <v>210</v>
      </c>
    </row>
    <row r="4" spans="1:9">
      <c r="A4" t="s">
        <v>6</v>
      </c>
      <c r="B4">
        <f>'2010 Population'!C5</f>
        <v>96888</v>
      </c>
      <c r="C4">
        <f>'2010 Population'!C18</f>
        <v>544969</v>
      </c>
      <c r="D4">
        <f>'2010 Population'!C54</f>
        <v>1016219</v>
      </c>
      <c r="E4">
        <f>'2010 Population'!C77</f>
        <v>493856</v>
      </c>
      <c r="F4" s="3"/>
      <c r="G4" t="s">
        <v>209</v>
      </c>
    </row>
    <row r="5" spans="1:9" ht="92.25" customHeight="1">
      <c r="A5" t="s">
        <v>157</v>
      </c>
      <c r="B5" s="33">
        <f>'2010 Population'!I5</f>
        <v>259.10764565822512</v>
      </c>
      <c r="C5" s="33">
        <f>'2010 Population'!I18</f>
        <v>234.56319538149017</v>
      </c>
      <c r="D5" s="33">
        <f>'2010 Population'!I54</f>
        <v>212.67646300461283</v>
      </c>
      <c r="E5" s="33">
        <f>'2010 Population'!I77</f>
        <v>214.83578983236507</v>
      </c>
      <c r="F5" s="3" t="s">
        <v>174</v>
      </c>
      <c r="G5" t="s">
        <v>211</v>
      </c>
      <c r="I5" s="18"/>
    </row>
    <row r="6" spans="1:9">
      <c r="A6" t="s">
        <v>159</v>
      </c>
      <c r="B6" s="33">
        <f>B5*B4</f>
        <v>25104421.572534114</v>
      </c>
      <c r="C6" s="33">
        <f>C5*C4</f>
        <v>127829670.02385531</v>
      </c>
      <c r="D6" s="33">
        <f>D5*D4</f>
        <v>216125862.55808464</v>
      </c>
      <c r="E6" s="33">
        <f>E5*E4</f>
        <v>106097943.82345249</v>
      </c>
      <c r="F6" s="3" t="s">
        <v>7</v>
      </c>
      <c r="G6" t="s">
        <v>148</v>
      </c>
    </row>
    <row r="7" spans="1:9">
      <c r="A7" t="s">
        <v>155</v>
      </c>
      <c r="B7" s="33">
        <f>B6*$F$7</f>
        <v>28139.219783173048</v>
      </c>
      <c r="C7" s="33">
        <f t="shared" ref="C7:E7" si="0">C6*$F$7</f>
        <v>143282.61534402912</v>
      </c>
      <c r="D7" s="33">
        <f t="shared" si="0"/>
        <v>242252.66970514384</v>
      </c>
      <c r="E7" s="33">
        <f t="shared" si="0"/>
        <v>118923.8059584382</v>
      </c>
      <c r="F7" s="3">
        <v>1.1208870000000001E-3</v>
      </c>
      <c r="G7" t="s">
        <v>148</v>
      </c>
    </row>
    <row r="8" spans="1:9">
      <c r="B8" s="33"/>
      <c r="C8" s="33"/>
      <c r="D8" s="33"/>
      <c r="E8" s="33"/>
      <c r="F8" s="3"/>
    </row>
    <row r="9" spans="1:9">
      <c r="A9" t="s">
        <v>8</v>
      </c>
      <c r="B9" s="17">
        <f>1-B10</f>
        <v>0.6509191417107385</v>
      </c>
      <c r="C9" s="17">
        <f t="shared" ref="C9:E9" si="1">1-C10</f>
        <v>0.79229053282565653</v>
      </c>
      <c r="D9" s="17">
        <f t="shared" si="1"/>
        <v>0.69717666623504004</v>
      </c>
      <c r="E9" s="17">
        <f t="shared" si="1"/>
        <v>0.69041601568386768</v>
      </c>
      <c r="F9" s="3"/>
      <c r="G9" s="34" t="s">
        <v>211</v>
      </c>
    </row>
    <row r="10" spans="1:9">
      <c r="A10" s="54" t="s">
        <v>190</v>
      </c>
      <c r="B10" s="53">
        <f>'2010 Population'!M5+'2010 Population'!N5+'2010 Population'!O5</f>
        <v>0.34908085828926155</v>
      </c>
      <c r="C10" s="53">
        <f>'2010 Population'!M18+'2010 Population'!N18+'2010 Population'!O18</f>
        <v>0.20770946717434344</v>
      </c>
      <c r="D10" s="53">
        <f>'2010 Population'!M54+'2010 Population'!N54+'2010 Population'!O54</f>
        <v>0.30282333376495996</v>
      </c>
      <c r="E10" s="53">
        <f>'2010 Population'!M77+'2010 Population'!N77+'2010 Population'!O77</f>
        <v>0.30958398431613232</v>
      </c>
      <c r="F10" s="3"/>
      <c r="G10" t="s">
        <v>211</v>
      </c>
    </row>
    <row r="11" spans="1:9">
      <c r="A11" s="1"/>
      <c r="B11" s="2"/>
      <c r="C11" s="2"/>
      <c r="D11" s="2"/>
      <c r="E11" s="2"/>
      <c r="F11" s="3"/>
    </row>
    <row r="12" spans="1:9">
      <c r="A12" s="4" t="s">
        <v>175</v>
      </c>
      <c r="B12" s="40">
        <f>F12/F15</f>
        <v>0.46280991735537191</v>
      </c>
      <c r="C12" s="40">
        <f>B12</f>
        <v>0.46280991735537191</v>
      </c>
      <c r="D12" s="40">
        <f t="shared" ref="D12:E12" si="2">C12</f>
        <v>0.46280991735537191</v>
      </c>
      <c r="E12" s="40">
        <f t="shared" si="2"/>
        <v>0.46280991735537191</v>
      </c>
      <c r="F12" s="3">
        <v>0.112</v>
      </c>
      <c r="G12" s="61" t="s">
        <v>213</v>
      </c>
      <c r="H12" s="18"/>
    </row>
    <row r="13" spans="1:9">
      <c r="A13" s="4" t="s">
        <v>176</v>
      </c>
      <c r="B13" s="40">
        <f>F13/F15</f>
        <v>0.2231404958677686</v>
      </c>
      <c r="C13" s="40">
        <f t="shared" ref="C13:E14" si="3">B13</f>
        <v>0.2231404958677686</v>
      </c>
      <c r="D13" s="40">
        <f t="shared" si="3"/>
        <v>0.2231404958677686</v>
      </c>
      <c r="E13" s="40">
        <f t="shared" si="3"/>
        <v>0.2231404958677686</v>
      </c>
      <c r="F13" s="3">
        <v>5.3999999999999999E-2</v>
      </c>
      <c r="G13" s="61"/>
    </row>
    <row r="14" spans="1:9">
      <c r="A14" s="4" t="s">
        <v>177</v>
      </c>
      <c r="B14" s="40">
        <f>F14/F15</f>
        <v>0.31404958677685951</v>
      </c>
      <c r="C14" s="40">
        <f t="shared" si="3"/>
        <v>0.31404958677685951</v>
      </c>
      <c r="D14" s="40">
        <f t="shared" si="3"/>
        <v>0.31404958677685951</v>
      </c>
      <c r="E14" s="40">
        <f t="shared" si="3"/>
        <v>0.31404958677685951</v>
      </c>
      <c r="F14" s="3">
        <v>7.5999999999999998E-2</v>
      </c>
      <c r="G14" s="61"/>
    </row>
    <row r="15" spans="1:9">
      <c r="A15" s="1"/>
      <c r="B15" s="41"/>
      <c r="C15" s="2"/>
      <c r="D15" s="2"/>
      <c r="E15" s="2"/>
      <c r="F15" s="3">
        <f>SUM(F12:F14)</f>
        <v>0.24199999999999999</v>
      </c>
    </row>
    <row r="16" spans="1:9">
      <c r="A16" s="4"/>
      <c r="B16" s="2"/>
      <c r="C16" s="2"/>
      <c r="D16" s="2"/>
      <c r="E16" s="2"/>
      <c r="F16" s="3"/>
    </row>
    <row r="17" spans="1:8">
      <c r="B17" s="59" t="s">
        <v>16</v>
      </c>
      <c r="C17" s="59"/>
      <c r="D17" s="59"/>
      <c r="E17" s="59"/>
      <c r="F17" s="3"/>
    </row>
    <row r="18" spans="1:8" ht="30">
      <c r="A18" t="s">
        <v>12</v>
      </c>
      <c r="D18">
        <v>-0.48499999999999999</v>
      </c>
      <c r="F18" s="3" t="s">
        <v>17</v>
      </c>
      <c r="G18" s="60" t="s">
        <v>214</v>
      </c>
    </row>
    <row r="19" spans="1:8">
      <c r="A19" t="s">
        <v>13</v>
      </c>
      <c r="D19">
        <v>-0.39100000000000001</v>
      </c>
      <c r="F19" s="3"/>
      <c r="G19" s="60"/>
    </row>
    <row r="20" spans="1:8" ht="60">
      <c r="A20" t="s">
        <v>14</v>
      </c>
      <c r="D20">
        <v>-0.7</v>
      </c>
      <c r="F20" s="3" t="s">
        <v>201</v>
      </c>
      <c r="G20" s="60"/>
      <c r="H20" t="s">
        <v>212</v>
      </c>
    </row>
    <row r="21" spans="1:8">
      <c r="A21" t="s">
        <v>15</v>
      </c>
      <c r="D21">
        <v>-0.378</v>
      </c>
      <c r="F21" s="3"/>
      <c r="G21" s="60"/>
    </row>
    <row r="22" spans="1:8">
      <c r="A22" t="s">
        <v>178</v>
      </c>
      <c r="D22" s="2">
        <v>-0.48499999999999999</v>
      </c>
      <c r="E22" s="2"/>
      <c r="F22" s="43" t="s">
        <v>179</v>
      </c>
      <c r="G22" s="60"/>
    </row>
    <row r="23" spans="1:8">
      <c r="A23" t="s">
        <v>10</v>
      </c>
      <c r="D23">
        <v>-0.41299999999999998</v>
      </c>
      <c r="F23" s="3"/>
      <c r="G23" s="60"/>
    </row>
    <row r="24" spans="1:8" ht="30">
      <c r="A24" t="s">
        <v>11</v>
      </c>
      <c r="D24">
        <v>-0.66500000000000004</v>
      </c>
      <c r="F24" s="3" t="s">
        <v>18</v>
      </c>
      <c r="G24" s="60"/>
    </row>
    <row r="25" spans="1:8">
      <c r="A25" s="2" t="s">
        <v>19</v>
      </c>
      <c r="F25" s="3"/>
    </row>
    <row r="26" spans="1:8">
      <c r="F26" s="3"/>
    </row>
    <row r="28" spans="1:8">
      <c r="B28" t="s">
        <v>198</v>
      </c>
      <c r="C28" t="s">
        <v>199</v>
      </c>
    </row>
    <row r="29" spans="1:8">
      <c r="A29" t="s">
        <v>195</v>
      </c>
      <c r="B29">
        <v>5</v>
      </c>
      <c r="C29" s="17">
        <f>(1/12)*B29</f>
        <v>0.41666666666666663</v>
      </c>
    </row>
    <row r="30" spans="1:8">
      <c r="A30" t="s">
        <v>196</v>
      </c>
      <c r="B30">
        <v>5</v>
      </c>
      <c r="C30" s="17">
        <f>(1/12)*B30</f>
        <v>0.41666666666666663</v>
      </c>
    </row>
    <row r="31" spans="1:8">
      <c r="A31" t="s">
        <v>197</v>
      </c>
      <c r="B31">
        <v>2</v>
      </c>
      <c r="C31" s="17">
        <f>(1/12)*B31</f>
        <v>0.16666666666666666</v>
      </c>
    </row>
  </sheetData>
  <mergeCells count="4">
    <mergeCell ref="B1:E1"/>
    <mergeCell ref="B17:E17"/>
    <mergeCell ref="G18:G24"/>
    <mergeCell ref="G12:G1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7"/>
  <sheetViews>
    <sheetView zoomScaleNormal="100" workbookViewId="0">
      <selection activeCell="K96" sqref="A77:K96"/>
    </sheetView>
  </sheetViews>
  <sheetFormatPr defaultRowHeight="15"/>
  <cols>
    <col min="1" max="1" width="14" bestFit="1" customWidth="1"/>
    <col min="2" max="2" width="13.7109375" bestFit="1" customWidth="1"/>
    <col min="3" max="3" width="14" bestFit="1" customWidth="1"/>
    <col min="4" max="4" width="12.28515625" bestFit="1" customWidth="1"/>
    <col min="5" max="5" width="12.28515625" customWidth="1"/>
    <col min="6" max="6" width="15.28515625" bestFit="1" customWidth="1"/>
    <col min="7" max="7" width="17.5703125" bestFit="1" customWidth="1"/>
    <col min="8" max="8" width="14" bestFit="1" customWidth="1"/>
    <col min="9" max="9" width="15.7109375" bestFit="1" customWidth="1"/>
    <col min="10" max="10" width="15.28515625" bestFit="1" customWidth="1"/>
    <col min="11" max="11" width="14.42578125" bestFit="1" customWidth="1"/>
    <col min="12" max="12" width="3.28515625" customWidth="1"/>
  </cols>
  <sheetData>
    <row r="1" spans="1:11">
      <c r="A1" s="45" t="s">
        <v>208</v>
      </c>
    </row>
    <row r="2" spans="1:11">
      <c r="A2" s="38" t="s">
        <v>187</v>
      </c>
      <c r="B2" s="38">
        <f>Data!$B$7*Data!$B$9*Data!B12</f>
        <v>8476.9915720799891</v>
      </c>
      <c r="C2" s="38"/>
      <c r="D2" s="38"/>
      <c r="E2" s="38"/>
      <c r="F2" s="38"/>
      <c r="G2" s="38"/>
      <c r="H2" s="38"/>
      <c r="I2" s="38"/>
      <c r="J2" s="38"/>
      <c r="K2" s="38"/>
    </row>
    <row r="3" spans="1:11">
      <c r="A3" s="38" t="s">
        <v>188</v>
      </c>
      <c r="B3" s="38">
        <f>Data!$B$7*Data!$B$9*Data!B13</f>
        <v>4087.1209365385666</v>
      </c>
      <c r="C3" s="38"/>
      <c r="D3" s="38"/>
      <c r="E3" s="38"/>
      <c r="F3" s="38"/>
      <c r="G3" s="38"/>
      <c r="H3" s="47"/>
      <c r="I3" s="47"/>
      <c r="J3" s="38"/>
      <c r="K3" s="38"/>
    </row>
    <row r="4" spans="1:11">
      <c r="A4" s="38" t="s">
        <v>189</v>
      </c>
      <c r="B4" s="38">
        <f>Data!$B$7*Data!$B$9*Data!B14</f>
        <v>5752.2442810542789</v>
      </c>
      <c r="C4" s="38"/>
      <c r="D4" s="38"/>
      <c r="E4" s="38"/>
      <c r="F4" s="38"/>
      <c r="G4" s="38"/>
      <c r="H4" s="47"/>
      <c r="I4" s="47"/>
      <c r="J4" s="38"/>
      <c r="K4" s="38"/>
    </row>
    <row r="5" spans="1:11">
      <c r="A5" s="38"/>
      <c r="B5" s="38"/>
      <c r="C5" s="38"/>
      <c r="D5" s="38"/>
      <c r="E5" s="38"/>
      <c r="F5" s="38"/>
      <c r="G5" s="38"/>
      <c r="H5" s="47"/>
      <c r="I5" s="47"/>
      <c r="J5" s="38"/>
      <c r="K5" s="38"/>
    </row>
    <row r="6" spans="1:11">
      <c r="A6" s="38" t="s">
        <v>185</v>
      </c>
      <c r="B6" s="48">
        <f>LN(Data!B3)-(LN(B2)/Data!$D$20)</f>
        <v>18.534918895743999</v>
      </c>
      <c r="C6" s="48"/>
      <c r="D6" s="48"/>
      <c r="E6" s="48"/>
      <c r="F6" s="38"/>
      <c r="G6" s="38"/>
      <c r="H6" s="47"/>
      <c r="I6" s="47"/>
      <c r="J6" s="38"/>
      <c r="K6" s="38"/>
    </row>
    <row r="7" spans="1:11">
      <c r="A7" s="38" t="s">
        <v>186</v>
      </c>
      <c r="B7" s="48">
        <f>LN(Data!B3)-(LN(B3)/Data!$D$21)</f>
        <v>27.612263309850139</v>
      </c>
      <c r="C7" s="48"/>
      <c r="D7" s="48"/>
      <c r="E7" s="48"/>
      <c r="F7" s="38"/>
      <c r="G7" s="38"/>
      <c r="H7" s="47"/>
      <c r="I7" s="47"/>
      <c r="J7" s="38"/>
      <c r="K7" s="38"/>
    </row>
    <row r="8" spans="1:11">
      <c r="A8" s="38" t="s">
        <v>184</v>
      </c>
      <c r="B8" s="48">
        <f>LN(Data!B3)-(LN(B4)/Data!$D$22)</f>
        <v>23.463528531824622</v>
      </c>
      <c r="C8" s="48"/>
      <c r="D8" s="48"/>
      <c r="E8" s="48"/>
      <c r="F8" s="38"/>
      <c r="G8" s="38"/>
      <c r="H8" s="47"/>
      <c r="I8" s="47"/>
      <c r="J8" s="38"/>
      <c r="K8" s="38"/>
    </row>
    <row r="9" spans="1:11">
      <c r="A9" s="38"/>
      <c r="B9" s="48"/>
      <c r="C9" s="48"/>
      <c r="D9" s="48"/>
      <c r="E9" s="62" t="s">
        <v>142</v>
      </c>
      <c r="F9" s="63"/>
      <c r="G9" s="63"/>
      <c r="H9" s="63"/>
      <c r="I9" s="47" t="s">
        <v>193</v>
      </c>
      <c r="J9" s="38"/>
      <c r="K9" s="38"/>
    </row>
    <row r="10" spans="1:11">
      <c r="A10" s="38" t="s">
        <v>180</v>
      </c>
      <c r="B10" s="38" t="str">
        <f>A2</f>
        <v>Q_sum, af</v>
      </c>
      <c r="C10" s="38" t="str">
        <f>A3</f>
        <v>Q_wint, af</v>
      </c>
      <c r="D10" s="38" t="str">
        <f>A4</f>
        <v>Q_int, af</v>
      </c>
      <c r="E10" s="38" t="s">
        <v>191</v>
      </c>
      <c r="F10" s="38" t="s">
        <v>14</v>
      </c>
      <c r="G10" s="38" t="s">
        <v>15</v>
      </c>
      <c r="H10" s="38" t="s">
        <v>206</v>
      </c>
      <c r="I10" s="38" t="s">
        <v>14</v>
      </c>
      <c r="J10" s="38" t="s">
        <v>15</v>
      </c>
      <c r="K10" s="38" t="s">
        <v>206</v>
      </c>
    </row>
    <row r="11" spans="1:11">
      <c r="A11" s="38"/>
      <c r="B11" s="38">
        <v>100000</v>
      </c>
      <c r="C11" s="38"/>
      <c r="D11" s="38"/>
      <c r="E11" s="52">
        <f>E12</f>
        <v>274.05584460085134</v>
      </c>
      <c r="F11" s="38"/>
      <c r="G11" s="38"/>
      <c r="H11" s="38"/>
      <c r="I11" s="38"/>
      <c r="J11" s="38"/>
      <c r="K11" s="38"/>
    </row>
    <row r="12" spans="1:11">
      <c r="A12" s="47">
        <f t="shared" ref="A12:A28" si="0">A13+5%</f>
        <v>2.0000000000000009</v>
      </c>
      <c r="B12" s="52">
        <f>B14*1.1</f>
        <v>21987.132974413733</v>
      </c>
      <c r="C12" s="52">
        <f t="shared" ref="C12:C29" si="1">$C$32*A12</f>
        <v>8174.2418730771369</v>
      </c>
      <c r="D12" s="52">
        <f t="shared" ref="D12:D29" si="2">$D$32*A12</f>
        <v>11504.488562108563</v>
      </c>
      <c r="E12" s="52">
        <f t="shared" ref="E12:E29" si="3">E14</f>
        <v>274.05584460085134</v>
      </c>
      <c r="F12" s="52">
        <f>EXP((LN(B12)/Data!$D$20)+Logan!$B$6)</f>
        <v>70.228759093034839</v>
      </c>
      <c r="G12" s="52">
        <f>EXP((LN(C12)/Data!$D$21)+Logan!$B$7)</f>
        <v>43.798921690411575</v>
      </c>
      <c r="H12" s="52">
        <f>EXP((LN(D12)/Data!$D$22)+Logan!$B$8)</f>
        <v>65.638502595234385</v>
      </c>
      <c r="I12" s="52">
        <f>(EXP($B$6)/(1+(1/Data!$D$20)))*($B$2^(1+(1/Data!$D$20))-B12^(1+(1/Data!$D$20)))</f>
        <v>-1817760.0470261271</v>
      </c>
      <c r="J12" s="52">
        <f>(EXP($B$7)/(1+(1/Data!$D$21)))*($B$3^(1+(1/Data!$D$21))-C12^(1+(1/Data!$D$21)))</f>
        <v>-463126.81578140176</v>
      </c>
      <c r="K12" s="52">
        <f>(EXP($B$8)/(1+(1/Data!$D$22)))*($B$4^(1+(1/Data!$D$22))-D12^(1+(1/Data!$D$22)))</f>
        <v>-773456.11609740043</v>
      </c>
    </row>
    <row r="13" spans="1:11">
      <c r="A13" s="47">
        <f t="shared" si="0"/>
        <v>1.9500000000000008</v>
      </c>
      <c r="B13" s="52">
        <f>B15*1.1</f>
        <v>20987.717839213106</v>
      </c>
      <c r="C13" s="52">
        <f t="shared" si="1"/>
        <v>7969.8858262502081</v>
      </c>
      <c r="D13" s="52">
        <f t="shared" si="2"/>
        <v>11216.876348055848</v>
      </c>
      <c r="E13" s="52">
        <f t="shared" si="3"/>
        <v>274.05584460085134</v>
      </c>
      <c r="F13" s="52">
        <f>EXP((LN(B13)/Data!$D$20)+Logan!$B$6)</f>
        <v>75.054541258406573</v>
      </c>
      <c r="G13" s="52">
        <f>EXP((LN(C13)/Data!$D$21)+Logan!$B$7)</f>
        <v>46.832973937307102</v>
      </c>
      <c r="H13" s="52">
        <f>EXP((LN(D13)/Data!$D$22)+Logan!$B$8)</f>
        <v>69.155951402987753</v>
      </c>
      <c r="I13" s="52">
        <f>(EXP($B$6)/(1+(1/Data!$D$20)))*($B$2^(1+(1/Data!$D$20))-B13^(1+(1/Data!$D$20)))</f>
        <v>-1745206.2844478735</v>
      </c>
      <c r="J13" s="52">
        <f>(EXP($B$7)/(1+(1/Data!$D$21)))*($B$3^(1+(1/Data!$D$21))-C13^(1+(1/Data!$D$21)))</f>
        <v>-453870.99626125267</v>
      </c>
      <c r="K13" s="52">
        <f>(EXP($B$8)/(1+(1/Data!$D$22)))*($B$4^(1+(1/Data!$D$22))-D13^(1+(1/Data!$D$22)))</f>
        <v>-754078.38533982355</v>
      </c>
    </row>
    <row r="14" spans="1:11">
      <c r="A14" s="47">
        <f t="shared" si="0"/>
        <v>1.9000000000000008</v>
      </c>
      <c r="B14" s="52">
        <f t="shared" ref="B14:B28" si="4">B16*1.1</f>
        <v>19988.302704012483</v>
      </c>
      <c r="C14" s="52">
        <f t="shared" si="1"/>
        <v>7765.5297794232802</v>
      </c>
      <c r="D14" s="52">
        <f t="shared" si="2"/>
        <v>10929.264134003135</v>
      </c>
      <c r="E14" s="52">
        <f t="shared" si="3"/>
        <v>274.05584460085134</v>
      </c>
      <c r="F14" s="52">
        <f>EXP((LN(B14)/Data!$D$20)+Logan!$B$6)</f>
        <v>80.472483052075418</v>
      </c>
      <c r="G14" s="52">
        <f>EXP((LN(C14)/Data!$D$21)+Logan!$B$7)</f>
        <v>50.164406639860147</v>
      </c>
      <c r="H14" s="52">
        <f>EXP((LN(D14)/Data!$D$22)+Logan!$B$8)</f>
        <v>72.960764455878731</v>
      </c>
      <c r="I14" s="52">
        <f>(EXP($B$6)/(1+(1/Data!$D$20)))*($B$2^(1+(1/Data!$D$20))-B14^(1+(1/Data!$D$20)))</f>
        <v>-1667541.7135353161</v>
      </c>
      <c r="J14" s="52">
        <f>(EXP($B$7)/(1+(1/Data!$D$21)))*($B$3^(1+(1/Data!$D$21))-C14^(1+(1/Data!$D$21)))</f>
        <v>-443965.36743142834</v>
      </c>
      <c r="K14" s="52">
        <f>(EXP($B$8)/(1+(1/Data!$D$22)))*($B$4^(1+(1/Data!$D$22))-D14^(1+(1/Data!$D$22)))</f>
        <v>-733648.38609566179</v>
      </c>
    </row>
    <row r="15" spans="1:11">
      <c r="A15" s="47">
        <f t="shared" si="0"/>
        <v>1.8500000000000008</v>
      </c>
      <c r="B15" s="52">
        <f>B17*1.1</f>
        <v>19079.74349019373</v>
      </c>
      <c r="C15" s="52">
        <f t="shared" si="1"/>
        <v>7561.1737325963513</v>
      </c>
      <c r="D15" s="52">
        <f t="shared" si="2"/>
        <v>10641.65191995042</v>
      </c>
      <c r="E15" s="52">
        <f t="shared" si="3"/>
        <v>274.05584460085134</v>
      </c>
      <c r="F15" s="52">
        <f>EXP((LN(B15)/Data!$D$20)+Logan!$B$6)</f>
        <v>86.002164603211085</v>
      </c>
      <c r="G15" s="52">
        <f>EXP((LN(C15)/Data!$D$21)+Logan!$B$7)</f>
        <v>53.831385051428917</v>
      </c>
      <c r="H15" s="52">
        <f>EXP((LN(D15)/Data!$D$22)+Logan!$B$8)</f>
        <v>77.084937622574671</v>
      </c>
      <c r="I15" s="52">
        <f>(EXP($B$6)/(1+(1/Data!$D$20)))*($B$2^(1+(1/Data!$D$20))-B15^(1+(1/Data!$D$20)))</f>
        <v>-1591962.9710366444</v>
      </c>
      <c r="J15" s="52">
        <f>(EXP($B$7)/(1+(1/Data!$D$21)))*($B$3^(1+(1/Data!$D$21))-C15^(1+(1/Data!$D$21)))</f>
        <v>-433345.353505001</v>
      </c>
      <c r="K15" s="52">
        <f>(EXP($B$8)/(1+(1/Data!$D$22)))*($B$4^(1+(1/Data!$D$22))-D15^(1+(1/Data!$D$22)))</f>
        <v>-712078.96857659472</v>
      </c>
    </row>
    <row r="16" spans="1:11">
      <c r="A16" s="47">
        <f t="shared" si="0"/>
        <v>1.8000000000000007</v>
      </c>
      <c r="B16" s="52">
        <f t="shared" si="4"/>
        <v>18171.184276374985</v>
      </c>
      <c r="C16" s="52">
        <f t="shared" si="1"/>
        <v>7356.8176857694225</v>
      </c>
      <c r="D16" s="52">
        <f t="shared" si="2"/>
        <v>10354.039705897707</v>
      </c>
      <c r="E16" s="52">
        <f t="shared" si="3"/>
        <v>274.05584460085134</v>
      </c>
      <c r="F16" s="52">
        <f>EXP((LN(B16)/Data!$D$20)+Logan!$B$6)</f>
        <v>92.210379511160227</v>
      </c>
      <c r="G16" s="52">
        <f>EXP((LN(C16)/Data!$D$21)+Logan!$B$7)</f>
        <v>57.87819528806245</v>
      </c>
      <c r="H16" s="52">
        <f>EXP((LN(D16)/Data!$D$22)+Logan!$B$8)</f>
        <v>81.565031141957377</v>
      </c>
      <c r="I16" s="52">
        <f>(EXP($B$6)/(1+(1/Data!$D$20)))*($B$2^(1+(1/Data!$D$20))-B16^(1+(1/Data!$D$20)))</f>
        <v>-1511060.3355607963</v>
      </c>
      <c r="J16" s="52">
        <f>(EXP($B$7)/(1+(1/Data!$D$21)))*($B$3^(1+(1/Data!$D$21))-C16^(1+(1/Data!$D$21)))</f>
        <v>-421937.97222439782</v>
      </c>
      <c r="K16" s="52">
        <f>(EXP($B$8)/(1+(1/Data!$D$22)))*($B$4^(1+(1/Data!$D$22))-D16^(1+(1/Data!$D$22)))</f>
        <v>-689273.14167572558</v>
      </c>
    </row>
    <row r="17" spans="1:11">
      <c r="A17" s="47">
        <f t="shared" si="0"/>
        <v>1.7500000000000007</v>
      </c>
      <c r="B17" s="52">
        <f t="shared" si="4"/>
        <v>17345.221354721572</v>
      </c>
      <c r="C17" s="52">
        <f t="shared" si="1"/>
        <v>7152.4616389424946</v>
      </c>
      <c r="D17" s="52">
        <f t="shared" si="2"/>
        <v>10066.427491844992</v>
      </c>
      <c r="E17" s="52">
        <f t="shared" si="3"/>
        <v>274.05584460085134</v>
      </c>
      <c r="F17" s="52">
        <f>EXP((LN(B17)/Data!$D$20)+Logan!$B$6)</f>
        <v>98.546632787651248</v>
      </c>
      <c r="G17" s="52">
        <f>EXP((LN(C17)/Data!$D$21)+Logan!$B$7)</f>
        <v>62.356433508797444</v>
      </c>
      <c r="H17" s="52">
        <f>EXP((LN(D17)/Data!$D$22)+Logan!$B$8)</f>
        <v>86.442971941311214</v>
      </c>
      <c r="I17" s="52">
        <f>(EXP($B$6)/(1+(1/Data!$D$20)))*($B$2^(1+(1/Data!$D$20))-B17^(1+(1/Data!$D$20)))</f>
        <v>-1432330.4928249477</v>
      </c>
      <c r="J17" s="52">
        <f>(EXP($B$7)/(1+(1/Data!$D$21)))*($B$3^(1+(1/Data!$D$21))-C17^(1+(1/Data!$D$21)))</f>
        <v>-409660.46665336459</v>
      </c>
      <c r="K17" s="52">
        <f>(EXP($B$8)/(1+(1/Data!$D$22)))*($B$4^(1+(1/Data!$D$22))-D17^(1+(1/Data!$D$22)))</f>
        <v>-665122.64844748448</v>
      </c>
    </row>
    <row r="18" spans="1:11">
      <c r="A18" s="47">
        <f t="shared" si="0"/>
        <v>1.7000000000000006</v>
      </c>
      <c r="B18" s="52">
        <f t="shared" si="4"/>
        <v>16519.258433068168</v>
      </c>
      <c r="C18" s="52">
        <f t="shared" si="1"/>
        <v>6948.1055921155657</v>
      </c>
      <c r="D18" s="52">
        <f t="shared" si="2"/>
        <v>9778.8152777922769</v>
      </c>
      <c r="E18" s="52">
        <f t="shared" si="3"/>
        <v>274.05584460085134</v>
      </c>
      <c r="F18" s="52">
        <f>EXP((LN(B18)/Data!$D$20)+Logan!$B$6)</f>
        <v>105.66039181480052</v>
      </c>
      <c r="G18" s="52">
        <f>EXP((LN(C18)/Data!$D$21)+Logan!$B$7)</f>
        <v>67.326468870588798</v>
      </c>
      <c r="H18" s="52">
        <f>EXP((LN(D18)/Data!$D$22)+Logan!$B$8)</f>
        <v>91.767025143125963</v>
      </c>
      <c r="I18" s="52">
        <f>(EXP($B$6)/(1+(1/Data!$D$20)))*($B$2^(1+(1/Data!$D$20))-B18^(1+(1/Data!$D$20)))</f>
        <v>-1348054.7883430764</v>
      </c>
      <c r="J18" s="52">
        <f>(EXP($B$7)/(1+(1/Data!$D$21)))*($B$3^(1+(1/Data!$D$21))-C18^(1+(1/Data!$D$21)))</f>
        <v>-396418.66707088222</v>
      </c>
      <c r="K18" s="52">
        <f>(EXP($B$8)/(1+(1/Data!$D$22)))*($B$4^(1+(1/Data!$D$22))-D18^(1+(1/Data!$D$22)))</f>
        <v>-639506.2873861877</v>
      </c>
    </row>
    <row r="19" spans="1:11">
      <c r="A19" s="47">
        <f t="shared" si="0"/>
        <v>1.6500000000000006</v>
      </c>
      <c r="B19" s="52">
        <f t="shared" si="4"/>
        <v>15768.383049746884</v>
      </c>
      <c r="C19" s="52">
        <f t="shared" si="1"/>
        <v>6743.7495452886369</v>
      </c>
      <c r="D19" s="52">
        <f t="shared" si="2"/>
        <v>9491.2030637395637</v>
      </c>
      <c r="E19" s="52">
        <f t="shared" si="3"/>
        <v>274.05584460085134</v>
      </c>
      <c r="F19" s="52">
        <f>EXP((LN(B19)/Data!$D$20)+Logan!$B$6)</f>
        <v>112.92086517345109</v>
      </c>
      <c r="G19" s="52">
        <f>EXP((LN(C19)/Data!$D$21)+Logan!$B$7)</f>
        <v>72.859253733651002</v>
      </c>
      <c r="H19" s="52">
        <f>EXP((LN(D19)/Data!$D$22)+Logan!$B$8)</f>
        <v>97.592976740434835</v>
      </c>
      <c r="I19" s="52">
        <f>(EXP($B$6)/(1+(1/Data!$D$20)))*($B$2^(1+(1/Data!$D$20))-B19^(1+(1/Data!$D$20)))</f>
        <v>-1266042.4667260461</v>
      </c>
      <c r="J19" s="52">
        <f>(EXP($B$7)/(1+(1/Data!$D$21)))*($B$3^(1+(1/Data!$D$21))-C19^(1+(1/Data!$D$21)))</f>
        <v>-382105.01984362403</v>
      </c>
      <c r="K19" s="52">
        <f>(EXP($B$8)/(1+(1/Data!$D$22)))*($B$4^(1+(1/Data!$D$22))-D19^(1+(1/Data!$D$22)))</f>
        <v>-612287.92505609349</v>
      </c>
    </row>
    <row r="20" spans="1:11">
      <c r="A20" s="47">
        <f t="shared" si="0"/>
        <v>1.6000000000000005</v>
      </c>
      <c r="B20" s="52">
        <f t="shared" si="4"/>
        <v>15017.507666425605</v>
      </c>
      <c r="C20" s="52">
        <f t="shared" si="1"/>
        <v>6539.393498461709</v>
      </c>
      <c r="D20" s="52">
        <f t="shared" si="2"/>
        <v>9203.5908496868487</v>
      </c>
      <c r="E20" s="52">
        <f t="shared" si="3"/>
        <v>274.05584460085134</v>
      </c>
      <c r="F20" s="52">
        <f>EXP((LN(B20)/Data!$D$20)+Logan!$B$6)</f>
        <v>121.07225301145162</v>
      </c>
      <c r="G20" s="52">
        <f>EXP((LN(C20)/Data!$D$21)+Logan!$B$7)</f>
        <v>79.038577295014619</v>
      </c>
      <c r="H20" s="52">
        <f>EXP((LN(D20)/Data!$D$22)+Logan!$B$8)</f>
        <v>103.98558149965679</v>
      </c>
      <c r="I20" s="52">
        <f>(EXP($B$6)/(1+(1/Data!$D$20)))*($B$2^(1+(1/Data!$D$20))-B20^(1+(1/Data!$D$20)))</f>
        <v>-1178253.0600628236</v>
      </c>
      <c r="J20" s="52">
        <f>(EXP($B$7)/(1+(1/Data!$D$21)))*($B$3^(1+(1/Data!$D$21))-C20^(1+(1/Data!$D$21)))</f>
        <v>-366596.20293345273</v>
      </c>
      <c r="K20" s="52">
        <f>(EXP($B$8)/(1+(1/Data!$D$22)))*($B$4^(1+(1/Data!$D$22))-D20^(1+(1/Data!$D$22)))</f>
        <v>-583314.13189610711</v>
      </c>
    </row>
    <row r="21" spans="1:11">
      <c r="A21" s="47">
        <f t="shared" si="0"/>
        <v>1.5500000000000005</v>
      </c>
      <c r="B21" s="52">
        <f t="shared" si="4"/>
        <v>14334.893681588075</v>
      </c>
      <c r="C21" s="52">
        <f t="shared" si="1"/>
        <v>6335.0374516347802</v>
      </c>
      <c r="D21" s="52">
        <f t="shared" si="2"/>
        <v>8915.9786356341356</v>
      </c>
      <c r="E21" s="52">
        <f t="shared" si="3"/>
        <v>274.05584460085134</v>
      </c>
      <c r="F21" s="52">
        <f>EXP((LN(B21)/Data!$D$20)+Logan!$B$6)</f>
        <v>129.39175526166321</v>
      </c>
      <c r="G21" s="52">
        <f>EXP((LN(C21)/Data!$D$21)+Logan!$B$7)</f>
        <v>85.963889526625636</v>
      </c>
      <c r="H21" s="52">
        <f>EXP((LN(D21)/Data!$D$22)+Logan!$B$8)</f>
        <v>111.0203462141842</v>
      </c>
      <c r="I21" s="52">
        <f>(EXP($B$6)/(1+(1/Data!$D$20)))*($B$2^(1+(1/Data!$D$20))-B21^(1+(1/Data!$D$20)))</f>
        <v>-1092821.4033582327</v>
      </c>
      <c r="J21" s="52">
        <f>(EXP($B$7)/(1+(1/Data!$D$21)))*($B$3^(1+(1/Data!$D$21))-C21^(1+(1/Data!$D$21)))</f>
        <v>-349750.22506495781</v>
      </c>
      <c r="K21" s="52">
        <f>(EXP($B$8)/(1+(1/Data!$D$22)))*($B$4^(1+(1/Data!$D$22))-D21^(1+(1/Data!$D$22)))</f>
        <v>-552411.35527526739</v>
      </c>
    </row>
    <row r="22" spans="1:11">
      <c r="A22" s="47">
        <f t="shared" si="0"/>
        <v>1.5000000000000004</v>
      </c>
      <c r="B22" s="52">
        <f t="shared" si="4"/>
        <v>13652.279696750549</v>
      </c>
      <c r="C22" s="52">
        <f t="shared" si="1"/>
        <v>6130.6814048078513</v>
      </c>
      <c r="D22" s="52">
        <f t="shared" si="2"/>
        <v>8628.3664215814206</v>
      </c>
      <c r="E22" s="52">
        <f t="shared" si="3"/>
        <v>274.05584460085134</v>
      </c>
      <c r="F22" s="52">
        <f>EXP((LN(B22)/Data!$D$20)+Logan!$B$6)</f>
        <v>138.73212277086856</v>
      </c>
      <c r="G22" s="52">
        <f>EXP((LN(C22)/Data!$D$21)+Logan!$B$7)</f>
        <v>93.753864175571138</v>
      </c>
      <c r="H22" s="52">
        <f>EXP((LN(D22)/Data!$D$22)+Logan!$B$8)</f>
        <v>118.78573997592636</v>
      </c>
      <c r="I22" s="52">
        <f>(EXP($B$6)/(1+(1/Data!$D$20)))*($B$2^(1+(1/Data!$D$20))-B22^(1+(1/Data!$D$20)))</f>
        <v>-1001371.7979273045</v>
      </c>
      <c r="J22" s="52">
        <f>(EXP($B$7)/(1+(1/Data!$D$21)))*($B$3^(1+(1/Data!$D$21))-C22^(1+(1/Data!$D$21)))</f>
        <v>-331402.875595055</v>
      </c>
      <c r="K22" s="52">
        <f>(EXP($B$8)/(1+(1/Data!$D$22)))*($B$4^(1+(1/Data!$D$22))-D22^(1+(1/Data!$D$22)))</f>
        <v>-519382.5207621851</v>
      </c>
    </row>
    <row r="23" spans="1:11">
      <c r="A23" s="47">
        <f t="shared" si="0"/>
        <v>1.4500000000000004</v>
      </c>
      <c r="B23" s="52">
        <f t="shared" si="4"/>
        <v>13031.721528716431</v>
      </c>
      <c r="C23" s="52">
        <f t="shared" si="1"/>
        <v>5926.3253579809234</v>
      </c>
      <c r="D23" s="52">
        <f t="shared" si="2"/>
        <v>8340.7542075287074</v>
      </c>
      <c r="E23" s="52">
        <f t="shared" si="3"/>
        <v>274.05584460085134</v>
      </c>
      <c r="F23" s="52">
        <f>EXP((LN(B23)/Data!$D$20)+Logan!$B$6)</f>
        <v>148.26512623665579</v>
      </c>
      <c r="G23" s="52">
        <f>EXP((LN(C23)/Data!$D$21)+Logan!$B$7)</f>
        <v>102.55092726130421</v>
      </c>
      <c r="H23" s="52">
        <f>EXP((LN(D23)/Data!$D$22)+Logan!$B$8)</f>
        <v>127.38595228238724</v>
      </c>
      <c r="I23" s="52">
        <f>(EXP($B$6)/(1+(1/Data!$D$20)))*($B$2^(1+(1/Data!$D$20))-B23^(1+(1/Data!$D$20)))</f>
        <v>-912378.2439907107</v>
      </c>
      <c r="J23" s="52">
        <f>(EXP($B$7)/(1+(1/Data!$D$21)))*($B$3^(1+(1/Data!$D$21))-C23^(1+(1/Data!$D$21)))</f>
        <v>-311363.35206515179</v>
      </c>
      <c r="K23" s="52">
        <f>(EXP($B$8)/(1+(1/Data!$D$22)))*($B$4^(1+(1/Data!$D$22))-D23^(1+(1/Data!$D$22)))</f>
        <v>-484002.92222904711</v>
      </c>
    </row>
    <row r="24" spans="1:11">
      <c r="A24" s="47">
        <f t="shared" si="0"/>
        <v>1.4000000000000004</v>
      </c>
      <c r="B24" s="52">
        <f t="shared" si="4"/>
        <v>12411.163360682316</v>
      </c>
      <c r="C24" s="52">
        <f t="shared" si="1"/>
        <v>5721.9693111539946</v>
      </c>
      <c r="D24" s="52">
        <f t="shared" si="2"/>
        <v>8053.1419934759924</v>
      </c>
      <c r="E24" s="52">
        <f t="shared" si="3"/>
        <v>274.05584460085134</v>
      </c>
      <c r="F24" s="52">
        <f>EXP((LN(B24)/Data!$D$20)+Logan!$B$6)</f>
        <v>158.96790065260348</v>
      </c>
      <c r="G24" s="52">
        <f>EXP((LN(C24)/Data!$D$21)+Logan!$B$7)</f>
        <v>112.52705773360361</v>
      </c>
      <c r="H24" s="52">
        <f>EXP((LN(D24)/Data!$D$22)+Logan!$B$8)</f>
        <v>136.94435961323083</v>
      </c>
      <c r="I24" s="52">
        <f>(EXP($B$6)/(1+(1/Data!$D$20)))*($B$2^(1+(1/Data!$D$20))-B24^(1+(1/Data!$D$20)))</f>
        <v>-817115.83533183066</v>
      </c>
      <c r="J24" s="52">
        <f>(EXP($B$7)/(1+(1/Data!$D$21)))*($B$3^(1+(1/Data!$D$21))-C24^(1+(1/Data!$D$21)))</f>
        <v>-289408.83840226196</v>
      </c>
      <c r="K24" s="52">
        <f>(EXP($B$8)/(1+(1/Data!$D$22)))*($B$4^(1+(1/Data!$D$22))-D24^(1+(1/Data!$D$22)))</f>
        <v>-446015.22123791353</v>
      </c>
    </row>
    <row r="25" spans="1:11">
      <c r="A25" s="47">
        <f t="shared" si="0"/>
        <v>1.3500000000000003</v>
      </c>
      <c r="B25" s="52">
        <f t="shared" si="4"/>
        <v>11847.019571560391</v>
      </c>
      <c r="C25" s="52">
        <f t="shared" si="1"/>
        <v>5517.6132643270666</v>
      </c>
      <c r="D25" s="52">
        <f t="shared" si="2"/>
        <v>7765.5297794232783</v>
      </c>
      <c r="E25" s="52">
        <f t="shared" si="3"/>
        <v>274.05584460085134</v>
      </c>
      <c r="F25" s="52">
        <f>EXP((LN(B25)/Data!$D$20)+Logan!$B$6)</f>
        <v>169.8914093368403</v>
      </c>
      <c r="G25" s="52">
        <f>EXP((LN(C25)/Data!$D$21)+Logan!$B$7)</f>
        <v>123.8912797470101</v>
      </c>
      <c r="H25" s="52">
        <f>EXP((LN(D25)/Data!$D$22)+Logan!$B$8)</f>
        <v>147.60791604439029</v>
      </c>
      <c r="I25" s="52">
        <f>(EXP($B$6)/(1+(1/Data!$D$20)))*($B$2^(1+(1/Data!$D$20))-B25^(1+(1/Data!$D$20)))</f>
        <v>-724411.87818335474</v>
      </c>
      <c r="J25" s="52">
        <f>(EXP($B$7)/(1+(1/Data!$D$21)))*($B$3^(1+(1/Data!$D$21))-C25^(1+(1/Data!$D$21)))</f>
        <v>-265277.73320534755</v>
      </c>
      <c r="K25" s="52">
        <f>(EXP($B$8)/(1+(1/Data!$D$22)))*($B$4^(1+(1/Data!$D$22))-D25^(1+(1/Data!$D$22)))</f>
        <v>-405123.32248662558</v>
      </c>
    </row>
    <row r="26" spans="1:11">
      <c r="A26" s="47">
        <f t="shared" si="0"/>
        <v>1.3000000000000003</v>
      </c>
      <c r="B26" s="52">
        <f t="shared" si="4"/>
        <v>11282.875782438468</v>
      </c>
      <c r="C26" s="52">
        <f t="shared" si="1"/>
        <v>5313.2572175001378</v>
      </c>
      <c r="D26" s="52">
        <f t="shared" si="2"/>
        <v>7477.9175653705643</v>
      </c>
      <c r="E26" s="52">
        <f t="shared" si="3"/>
        <v>274.05584460085134</v>
      </c>
      <c r="F26" s="52">
        <f>EXP((LN(B26)/Data!$D$20)+Logan!$B$6)</f>
        <v>182.1553143797386</v>
      </c>
      <c r="G26" s="52">
        <f>EXP((LN(C26)/Data!$D$21)+Logan!$B$7)</f>
        <v>136.89942639081832</v>
      </c>
      <c r="H26" s="52">
        <f>EXP((LN(D26)/Data!$D$22)+Logan!$B$8)</f>
        <v>159.55276007677594</v>
      </c>
      <c r="I26" s="52">
        <f>(EXP($B$6)/(1+(1/Data!$D$20)))*($B$2^(1+(1/Data!$D$20))-B26^(1+(1/Data!$D$20)))</f>
        <v>-625177.69930714415</v>
      </c>
      <c r="J26" s="52">
        <f>(EXP($B$7)/(1+(1/Data!$D$21)))*($B$3^(1+(1/Data!$D$21))-C26^(1+(1/Data!$D$21)))</f>
        <v>-238661.12642213138</v>
      </c>
      <c r="K26" s="52">
        <f>(EXP($B$8)/(1+(1/Data!$D$22)))*($B$4^(1+(1/Data!$D$22))-D26^(1+(1/Data!$D$22)))</f>
        <v>-360984.81969405175</v>
      </c>
    </row>
    <row r="27" spans="1:11">
      <c r="A27" s="47">
        <f t="shared" si="0"/>
        <v>1.2500000000000002</v>
      </c>
      <c r="B27" s="52">
        <f t="shared" si="4"/>
        <v>10770.017792327628</v>
      </c>
      <c r="C27" s="52">
        <f t="shared" si="1"/>
        <v>5108.901170673209</v>
      </c>
      <c r="D27" s="52">
        <f t="shared" si="2"/>
        <v>7190.3053513178502</v>
      </c>
      <c r="E27" s="52">
        <f t="shared" si="3"/>
        <v>274.05584460085134</v>
      </c>
      <c r="F27" s="52">
        <f>EXP((LN(B27)/Data!$D$20)+Logan!$B$6)</f>
        <v>194.67215048525659</v>
      </c>
      <c r="G27" s="52">
        <f>EXP((LN(C27)/Data!$D$21)+Logan!$B$7)</f>
        <v>151.86698555655192</v>
      </c>
      <c r="H27" s="52">
        <f>EXP((LN(D27)/Data!$D$22)+Logan!$B$8)</f>
        <v>172.99143792480174</v>
      </c>
      <c r="I27" s="52">
        <f>(EXP($B$6)/(1+(1/Data!$D$20)))*($B$2^(1+(1/Data!$D$20))-B27^(1+(1/Data!$D$20)))</f>
        <v>-528608.64131549012</v>
      </c>
      <c r="J27" s="52">
        <f>(EXP($B$7)/(1+(1/Data!$D$21)))*($B$3^(1+(1/Data!$D$21))-C27^(1+(1/Data!$D$21)))</f>
        <v>-209191.98209327308</v>
      </c>
      <c r="K27" s="52">
        <f>(EXP($B$8)/(1+(1/Data!$D$22)))*($B$4^(1+(1/Data!$D$22))-D27^(1+(1/Data!$D$22)))</f>
        <v>-313201.60763429425</v>
      </c>
    </row>
    <row r="28" spans="1:11">
      <c r="A28" s="47">
        <f t="shared" si="0"/>
        <v>1.2000000000000002</v>
      </c>
      <c r="B28" s="52">
        <f t="shared" si="4"/>
        <v>10257.159802216789</v>
      </c>
      <c r="C28" s="52">
        <f t="shared" si="1"/>
        <v>4904.5451238462811</v>
      </c>
      <c r="D28" s="52">
        <f t="shared" si="2"/>
        <v>6902.6931372651361</v>
      </c>
      <c r="E28" s="52">
        <f t="shared" si="3"/>
        <v>274.05584460085134</v>
      </c>
      <c r="F28" s="52">
        <f>EXP((LN(B28)/Data!$D$20)+Logan!$B$6)</f>
        <v>208.72489616184581</v>
      </c>
      <c r="G28" s="52">
        <f>EXP((LN(C28)/Data!$D$21)+Logan!$B$7)</f>
        <v>169.18617523794788</v>
      </c>
      <c r="H28" s="52">
        <f>EXP((LN(D28)/Data!$D$22)+Logan!$B$8)</f>
        <v>188.18229784176233</v>
      </c>
      <c r="I28" s="52">
        <f>(EXP($B$6)/(1+(1/Data!$D$20)))*($B$2^(1+(1/Data!$D$20))-B28^(1+(1/Data!$D$20)))</f>
        <v>-425237.09743087454</v>
      </c>
      <c r="J28" s="52">
        <f>(EXP($B$7)/(1+(1/Data!$D$21)))*($B$3^(1+(1/Data!$D$21))-C28^(1+(1/Data!$D$21)))</f>
        <v>-176431.28697294765</v>
      </c>
      <c r="K28" s="52">
        <f>(EXP($B$8)/(1+(1/Data!$D$22)))*($B$4^(1+(1/Data!$D$22))-D28^(1+(1/Data!$D$22)))</f>
        <v>-261308.1200580642</v>
      </c>
    </row>
    <row r="29" spans="1:11">
      <c r="A29" s="47">
        <f>A30+5%</f>
        <v>1.1500000000000001</v>
      </c>
      <c r="B29" s="52">
        <f>B31*1.1</f>
        <v>9790.9252657523884</v>
      </c>
      <c r="C29" s="52">
        <f t="shared" si="1"/>
        <v>4700.1890770193522</v>
      </c>
      <c r="D29" s="52">
        <f t="shared" si="2"/>
        <v>6615.0809232124211</v>
      </c>
      <c r="E29" s="52">
        <f t="shared" si="3"/>
        <v>274.05584460085134</v>
      </c>
      <c r="F29" s="52">
        <f>EXP((LN(B29)/Data!$D$20)+Logan!$B$6)</f>
        <v>223.06746599185806</v>
      </c>
      <c r="G29" s="52">
        <f>EXP((LN(C29)/Data!$D$21)+Logan!$B$7)</f>
        <v>189.34889332654612</v>
      </c>
      <c r="H29" s="52">
        <f>EXP((LN(D29)/Data!$D$22)+Logan!$B$8)</f>
        <v>205.44183339183698</v>
      </c>
      <c r="I29" s="52">
        <f>(EXP($B$6)/(1+(1/Data!$D$20)))*($B$2^(1+(1/Data!$D$20))-B29^(1+(1/Data!$D$20)))</f>
        <v>-324641.79116514535</v>
      </c>
      <c r="J29" s="52">
        <f>(EXP($B$7)/(1+(1/Data!$D$21)))*($B$3^(1+(1/Data!$D$21))-C29^(1+(1/Data!$D$21)))</f>
        <v>-139850.14288413554</v>
      </c>
      <c r="K29" s="52">
        <f>(EXP($B$8)/(1+(1/Data!$D$22)))*($B$4^(1+(1/Data!$D$22))-D29^(1+(1/Data!$D$22)))</f>
        <v>-204756.46362891523</v>
      </c>
    </row>
    <row r="30" spans="1:11">
      <c r="A30" s="47">
        <v>1.1000000000000001</v>
      </c>
      <c r="B30" s="52">
        <f>B32*1.1</f>
        <v>9324.6907292879896</v>
      </c>
      <c r="C30" s="52">
        <f>$C$32*A30</f>
        <v>4495.8330301924234</v>
      </c>
      <c r="D30" s="52">
        <f t="shared" ref="D30:D51" si="5">$D$32*A30</f>
        <v>6327.468709159707</v>
      </c>
      <c r="E30" s="52">
        <f>E32</f>
        <v>274.05584460085134</v>
      </c>
      <c r="F30" s="52">
        <f>EXP((LN(B30)/Data!$D$20)+Logan!$B$6)</f>
        <v>239.16997660003156</v>
      </c>
      <c r="G30" s="52">
        <f>EXP((LN(C30)/Data!$D$21)+Logan!$B$7)</f>
        <v>212.97793423821747</v>
      </c>
      <c r="H30" s="52">
        <f>EXP((LN(D30)/Data!$D$22)+Logan!$B$8)</f>
        <v>225.16108139858957</v>
      </c>
      <c r="I30" s="52">
        <f>(EXP($B$6)/(1+(1/Data!$D$20)))*($B$2^(1+(1/Data!$D$20))-B30^(1+(1/Data!$D$20)))</f>
        <v>-216960.38334679039</v>
      </c>
      <c r="J30" s="52">
        <f>(EXP($B$7)/(1+(1/Data!$D$21)))*($B$3^(1+(1/Data!$D$21))-C30^(1+(1/Data!$D$21)))</f>
        <v>-98806.373385629951</v>
      </c>
      <c r="K30" s="52">
        <f>(EXP($B$8)/(1+(1/Data!$D$22)))*($B$4^(1+(1/Data!$D$22))-D30^(1+(1/Data!$D$22)))</f>
        <v>-142897.4501872579</v>
      </c>
    </row>
    <row r="31" spans="1:11">
      <c r="A31" s="47">
        <v>1.05</v>
      </c>
      <c r="B31" s="52">
        <f>B32*1.05</f>
        <v>8900.8411506839893</v>
      </c>
      <c r="C31" s="52">
        <f>$C$32*A31</f>
        <v>4291.4769833654955</v>
      </c>
      <c r="D31" s="52">
        <f t="shared" si="5"/>
        <v>6039.856495106993</v>
      </c>
      <c r="E31" s="52">
        <f>E32</f>
        <v>274.05584460085134</v>
      </c>
      <c r="F31" s="52">
        <f>EXP((LN(B31)/Data!$D$20)+Logan!$B$6)</f>
        <v>255.60458576121411</v>
      </c>
      <c r="G31" s="52">
        <f>EXP((LN(C31)/Data!$D$21)+Logan!$B$7)</f>
        <v>240.87000500613811</v>
      </c>
      <c r="H31" s="52">
        <f>EXP((LN(D31)/Data!$D$22)+Logan!$B$8)</f>
        <v>247.82766895977275</v>
      </c>
      <c r="I31" s="52">
        <f>(EXP($B$6)/(1+(1/Data!$D$20)))*($B$2^(1+(1/Data!$D$20))-B31^(1+(1/Data!$D$20)))</f>
        <v>-112170.96266537331</v>
      </c>
      <c r="J31" s="52">
        <f>(EXP($B$7)/(1+(1/Data!$D$21)))*($B$3^(1+(1/Data!$D$21))-C31^(1+(1/Data!$D$21)))</f>
        <v>-52513.618266188801</v>
      </c>
      <c r="K31" s="52">
        <f>(EXP($B$8)/(1+(1/Data!$D$22)))*($B$4^(1+(1/Data!$D$22))-D31^(1+(1/Data!$D$22)))</f>
        <v>-74956.146114578078</v>
      </c>
    </row>
    <row r="32" spans="1:11">
      <c r="A32" s="47">
        <v>1</v>
      </c>
      <c r="B32" s="52">
        <f>B2</f>
        <v>8476.9915720799891</v>
      </c>
      <c r="C32" s="52">
        <f>B3</f>
        <v>4087.1209365385666</v>
      </c>
      <c r="D32" s="52">
        <f>B4</f>
        <v>5752.2442810542789</v>
      </c>
      <c r="E32" s="52">
        <f>F32</f>
        <v>274.05584460085134</v>
      </c>
      <c r="F32" s="52">
        <f>EXP((LN(B32)/Data!$D$20)+Logan!$B$6)</f>
        <v>274.05584460085134</v>
      </c>
      <c r="G32" s="52">
        <f>EXP((LN(C32)/Data!$D$21)+Logan!$B$7)</f>
        <v>274.0558446008518</v>
      </c>
      <c r="H32" s="52">
        <f>EXP((LN(D32)/Data!$D$22)+Logan!$B$8)</f>
        <v>274.0558446008518</v>
      </c>
      <c r="I32" s="38">
        <f>(EXP($B$6)/(1+(1/Data!$D$20)))*($B$2^(1+(1/Data!$D$20))-B32^(1+(1/Data!$D$20)))</f>
        <v>0</v>
      </c>
      <c r="J32" s="38">
        <f>(EXP($B$7)/(1+(1/Data!$D$21)))*($B$3^(1+(1/Data!$D$21))-C32^(1+(1/Data!$D$21)))</f>
        <v>0</v>
      </c>
      <c r="K32" s="38">
        <f>(EXP($B$8)/(1+(1/Data!$D$22)))*($B$4^(1+(1/Data!$D$22))-D32^(1+(1/Data!$D$22)))</f>
        <v>0</v>
      </c>
    </row>
    <row r="33" spans="1:11">
      <c r="A33" s="47">
        <v>0.95</v>
      </c>
      <c r="B33" s="52">
        <f>B32*0.95</f>
        <v>8053.1419934759888</v>
      </c>
      <c r="C33" s="52">
        <f t="shared" ref="C33:C51" si="6">$C$32*A33</f>
        <v>3882.7648897116383</v>
      </c>
      <c r="D33" s="52">
        <f t="shared" si="5"/>
        <v>5464.6320670015648</v>
      </c>
      <c r="E33" s="52">
        <f>E32</f>
        <v>274.05584460085134</v>
      </c>
      <c r="F33" s="52">
        <f>EXP((LN(B33)/Data!$D$20)+Logan!$B$6)</f>
        <v>294.89165947632767</v>
      </c>
      <c r="G33" s="52">
        <f>EXP((LN(C33)/Data!$D$21)+Logan!$B$7)</f>
        <v>313.88555471211794</v>
      </c>
      <c r="H33" s="52">
        <f>EXP((LN(D33)/Data!$D$22)+Logan!$B$8)</f>
        <v>304.62797192346977</v>
      </c>
      <c r="I33" s="52">
        <f>(EXP($B$6)/(1+(1/Data!$D$20)))*($B$2^(1+(1/Data!$D$20))-B33^(1+(1/Data!$D$20)))/1000000</f>
        <v>0.12048241681923186</v>
      </c>
      <c r="J33" s="52">
        <f>(EXP($B$7)/(1+(1/Data!$D$21)))*($B$3^(1+(1/Data!$D$21))-C33^(1+(1/Data!$D$21)))/1000000</f>
        <v>5.9947901782216435E-2</v>
      </c>
      <c r="K33" s="52">
        <f>(EXP($B$8)/(1+(1/Data!$D$22)))*($B$4^(1+(1/Data!$D$22))-D33^(1+(1/Data!$D$22)))/1000000</f>
        <v>8.3103214088719873E-2</v>
      </c>
    </row>
    <row r="34" spans="1:11">
      <c r="A34" s="47">
        <v>0.9</v>
      </c>
      <c r="B34" s="52">
        <f>B32*0.9</f>
        <v>7629.2924148719903</v>
      </c>
      <c r="C34" s="52">
        <f t="shared" si="6"/>
        <v>3678.4088428847099</v>
      </c>
      <c r="D34" s="52">
        <f t="shared" si="5"/>
        <v>5177.0198529488507</v>
      </c>
      <c r="E34" s="52">
        <f t="shared" ref="E34:E51" si="7">E33</f>
        <v>274.05584460085134</v>
      </c>
      <c r="F34" s="52">
        <f>EXP((LN(B34)/Data!$D$20)+Logan!$B$6)</f>
        <v>318.57149387936761</v>
      </c>
      <c r="G34" s="52">
        <f>EXP((LN(C34)/Data!$D$21)+Logan!$B$7)</f>
        <v>362.15178551109085</v>
      </c>
      <c r="H34" s="52">
        <f>EXP((LN(D34)/Data!$D$22)+Logan!$B$8)</f>
        <v>340.55276424186519</v>
      </c>
      <c r="I34" s="52">
        <f>(EXP($B$6)/(1+(1/Data!$D$20)))*($B$2^(1+(1/Data!$D$20))-B34^(1+(1/Data!$D$20)))/1000000</f>
        <v>0.25038065940445153</v>
      </c>
      <c r="J34" s="52">
        <f>(EXP($B$7)/(1+(1/Data!$D$21)))*($B$3^(1+(1/Data!$D$21))-C34^(1+(1/Data!$D$21)))/1000000</f>
        <v>0.12886211433394998</v>
      </c>
      <c r="K34" s="52">
        <f>(EXP($B$8)/(1+(1/Data!$D$22)))*($B$4^(1+(1/Data!$D$22))-D34^(1+(1/Data!$D$22)))/1000000</f>
        <v>0.17574163976905957</v>
      </c>
    </row>
    <row r="35" spans="1:11">
      <c r="A35" s="47">
        <v>0.85</v>
      </c>
      <c r="B35" s="52">
        <f>B32*0.85</f>
        <v>7205.4428362679901</v>
      </c>
      <c r="C35" s="52">
        <f t="shared" si="6"/>
        <v>3474.0527960577815</v>
      </c>
      <c r="D35" s="52">
        <f t="shared" si="5"/>
        <v>4889.4076388961366</v>
      </c>
      <c r="E35" s="52">
        <f t="shared" si="7"/>
        <v>274.05584460085134</v>
      </c>
      <c r="F35" s="52">
        <f>EXP((LN(B35)/Data!$D$20)+Logan!$B$6)</f>
        <v>345.67595753520061</v>
      </c>
      <c r="G35" s="52">
        <f>EXP((LN(C35)/Data!$D$21)+Logan!$B$7)</f>
        <v>421.27092581737003</v>
      </c>
      <c r="H35" s="52">
        <f>EXP((LN(D35)/Data!$D$22)+Logan!$B$8)</f>
        <v>383.14843556368589</v>
      </c>
      <c r="I35" s="52">
        <f>(EXP($B$6)/(1+(1/Data!$D$20)))*($B$2^(1+(1/Data!$D$20))-B35^(1+(1/Data!$D$20)))/1000000</f>
        <v>0.39101828950662765</v>
      </c>
      <c r="J35" s="52">
        <f>(EXP($B$7)/(1+(1/Data!$D$21)))*($B$3^(1+(1/Data!$D$21))-C35^(1+(1/Data!$D$21)))/1000000</f>
        <v>0.20870100599557545</v>
      </c>
      <c r="K35" s="52">
        <f>(EXP($B$8)/(1+(1/Data!$D$22)))*($B$4^(1+(1/Data!$D$22))-D35^(1+(1/Data!$D$22)))/1000000</f>
        <v>0.27963567106310278</v>
      </c>
    </row>
    <row r="36" spans="1:11">
      <c r="A36" s="47">
        <v>0.8</v>
      </c>
      <c r="B36" s="52">
        <f>B32*0.8</f>
        <v>6781.5932576639916</v>
      </c>
      <c r="C36" s="52">
        <f t="shared" si="6"/>
        <v>3269.6967492308536</v>
      </c>
      <c r="D36" s="52">
        <f t="shared" si="5"/>
        <v>4601.7954248434235</v>
      </c>
      <c r="E36" s="52">
        <f t="shared" si="7"/>
        <v>274.05584460085134</v>
      </c>
      <c r="F36" s="52">
        <f>EXP((LN(B36)/Data!$D$20)+Logan!$B$6)</f>
        <v>376.94843462516997</v>
      </c>
      <c r="G36" s="52">
        <f>EXP((LN(C36)/Data!$D$21)+Logan!$B$7)</f>
        <v>494.55519041640861</v>
      </c>
      <c r="H36" s="52">
        <f>EXP((LN(D36)/Data!$D$22)+Logan!$B$8)</f>
        <v>434.16371851036274</v>
      </c>
      <c r="I36" s="52">
        <f>(EXP($B$6)/(1+(1/Data!$D$20)))*($B$2^(1+(1/Data!$D$20))-B36^(1+(1/Data!$D$20)))/1000000</f>
        <v>0.54399771482086756</v>
      </c>
      <c r="J36" s="52">
        <f>(EXP($B$7)/(1+(1/Data!$D$21)))*($B$3^(1+(1/Data!$D$21))-C36^(1+(1/Data!$D$21)))/1000000</f>
        <v>0.30200262486911661</v>
      </c>
      <c r="K36" s="52">
        <f>(EXP($B$8)/(1+(1/Data!$D$22)))*($B$4^(1+(1/Data!$D$22))-D36^(1+(1/Data!$D$22)))/1000000</f>
        <v>0.39694325749404691</v>
      </c>
    </row>
    <row r="37" spans="1:11">
      <c r="A37" s="47">
        <v>0.75</v>
      </c>
      <c r="B37" s="52">
        <f>B32*0.75</f>
        <v>6357.7436790599913</v>
      </c>
      <c r="C37" s="52">
        <f t="shared" si="6"/>
        <v>3065.3407024039252</v>
      </c>
      <c r="D37" s="52">
        <f t="shared" si="5"/>
        <v>4314.1832107907094</v>
      </c>
      <c r="E37" s="52">
        <f t="shared" si="7"/>
        <v>274.05584460085134</v>
      </c>
      <c r="F37" s="52">
        <f>EXP((LN(B37)/Data!$D$20)+Logan!$B$6)</f>
        <v>413.35479304885723</v>
      </c>
      <c r="G37" s="52">
        <f>EXP((LN(C37)/Data!$D$21)+Logan!$B$7)</f>
        <v>586.63075344283095</v>
      </c>
      <c r="H37" s="52">
        <f>EXP((LN(D37)/Data!$D$22)+Logan!$B$8)</f>
        <v>495.9577840522403</v>
      </c>
      <c r="I37" s="52">
        <f>(EXP($B$6)/(1+(1/Data!$D$20)))*($B$2^(1+(1/Data!$D$20))-B37^(1+(1/Data!$D$20)))/1000000</f>
        <v>0.71128105476131409</v>
      </c>
      <c r="J37" s="52">
        <f>(EXP($B$7)/(1+(1/Data!$D$21)))*($B$3^(1+(1/Data!$D$21))-C37^(1+(1/Data!$D$21)))/1000000</f>
        <v>0.41210735662727815</v>
      </c>
      <c r="K37" s="52">
        <f>(EXP($B$8)/(1+(1/Data!$D$22)))*($B$4^(1+(1/Data!$D$22))-D37^(1+(1/Data!$D$22)))/1000000</f>
        <v>0.53040784758413073</v>
      </c>
    </row>
    <row r="38" spans="1:11">
      <c r="A38" s="47">
        <v>0.7</v>
      </c>
      <c r="B38" s="52">
        <f>B32*0.7</f>
        <v>5933.894100455992</v>
      </c>
      <c r="C38" s="52">
        <f t="shared" si="6"/>
        <v>2860.9846555769964</v>
      </c>
      <c r="D38" s="52">
        <f t="shared" si="5"/>
        <v>4026.5709967379948</v>
      </c>
      <c r="E38" s="52">
        <f t="shared" si="7"/>
        <v>274.05584460085134</v>
      </c>
      <c r="F38" s="52">
        <f>EXP((LN(B38)/Data!$D$20)+Logan!$B$6)</f>
        <v>456.17090557796644</v>
      </c>
      <c r="G38" s="52">
        <f>EXP((LN(C38)/Data!$D$21)+Logan!$B$7)</f>
        <v>704.09719366179593</v>
      </c>
      <c r="H38" s="52">
        <f>EXP((LN(D38)/Data!$D$22)+Logan!$B$8)</f>
        <v>571.77419735732383</v>
      </c>
      <c r="I38" s="52">
        <f>(EXP($B$6)/(1+(1/Data!$D$20)))*($B$2^(1+(1/Data!$D$20))-B38^(1+(1/Data!$D$20)))/1000000</f>
        <v>0.89530177437886982</v>
      </c>
      <c r="J38" s="52">
        <f>(EXP($B$7)/(1+(1/Data!$D$21)))*($B$3^(1+(1/Data!$D$21))-C38^(1+(1/Data!$D$21)))/1000000</f>
        <v>0.54348857432504138</v>
      </c>
      <c r="K38" s="52">
        <f>(EXP($B$8)/(1+(1/Data!$D$22)))*($B$4^(1+(1/Data!$D$22))-D38^(1+(1/Data!$D$22)))/1000000</f>
        <v>0.68357052225084602</v>
      </c>
    </row>
    <row r="39" spans="1:11">
      <c r="A39" s="47">
        <v>0.65</v>
      </c>
      <c r="B39" s="52">
        <f>$B$32*A39</f>
        <v>5510.0445218519935</v>
      </c>
      <c r="C39" s="52">
        <f t="shared" si="6"/>
        <v>2656.6286087500685</v>
      </c>
      <c r="D39" s="52">
        <f t="shared" si="5"/>
        <v>3738.9587826852812</v>
      </c>
      <c r="E39" s="52">
        <f t="shared" si="7"/>
        <v>274.05584460085134</v>
      </c>
      <c r="F39" s="52">
        <f>EXP((LN(B39)/Data!$D$20)+Logan!$B$6)</f>
        <v>507.11411840739021</v>
      </c>
      <c r="G39" s="52">
        <f>EXP((LN(C39)/Data!$D$21)+Logan!$B$7)</f>
        <v>856.59843842962221</v>
      </c>
      <c r="H39" s="52">
        <f>EXP((LN(D39)/Data!$D$22)+Logan!$B$8)</f>
        <v>666.16946902156496</v>
      </c>
      <c r="I39" s="52">
        <f>(EXP($B$6)/(1+(1/Data!$D$20)))*($B$2^(1+(1/Data!$D$20))-B39^(1+(1/Data!$D$20)))/1000000</f>
        <v>1.0991219986221199</v>
      </c>
      <c r="J39" s="52">
        <f>(EXP($B$7)/(1+(1/Data!$D$21)))*($B$3^(1+(1/Data!$D$21))-C39^(1+(1/Data!$D$21)))/1000000</f>
        <v>0.70225626233550131</v>
      </c>
      <c r="K39" s="52">
        <f>(EXP($B$8)/(1+(1/Data!$D$22)))*($B$4^(1+(1/Data!$D$22))-D39^(1+(1/Data!$D$22)))/1000000</f>
        <v>0.86108126358777937</v>
      </c>
    </row>
    <row r="40" spans="1:11">
      <c r="A40" s="47">
        <v>0.6</v>
      </c>
      <c r="B40" s="52">
        <f t="shared" ref="B40:B51" si="8">$B$32*A40</f>
        <v>5086.1949432479933</v>
      </c>
      <c r="C40" s="52">
        <f t="shared" si="6"/>
        <v>2452.2725619231401</v>
      </c>
      <c r="D40" s="52">
        <f t="shared" si="5"/>
        <v>3451.3465686325671</v>
      </c>
      <c r="E40" s="52">
        <f t="shared" si="7"/>
        <v>274.05584460085134</v>
      </c>
      <c r="F40" s="52">
        <f>EXP((LN(B40)/Data!$D$20)+Logan!$B$6)</f>
        <v>568.54632095700379</v>
      </c>
      <c r="G40" s="52">
        <f>EXP((LN(C40)/Data!$D$21)+Logan!$B$7)</f>
        <v>1058.6210427133462</v>
      </c>
      <c r="H40" s="52">
        <f>EXP((LN(D40)/Data!$D$22)+Logan!$B$8)</f>
        <v>785.70437372679214</v>
      </c>
      <c r="I40" s="52">
        <f>(EXP($B$6)/(1+(1/Data!$D$20)))*($B$2^(1+(1/Data!$D$20))-B40^(1+(1/Data!$D$20)))/1000000</f>
        <v>1.3266594546172008</v>
      </c>
      <c r="J40" s="52">
        <f>(EXP($B$7)/(1+(1/Data!$D$21)))*($B$3^(1+(1/Data!$D$21))-C40^(1+(1/Data!$D$21)))/1000000</f>
        <v>0.89694657149618373</v>
      </c>
      <c r="K40" s="52">
        <f>(EXP($B$8)/(1+(1/Data!$D$22)))*($B$4^(1+(1/Data!$D$22))-D40^(1+(1/Data!$D$22)))/1000000</f>
        <v>1.0691678364504982</v>
      </c>
    </row>
    <row r="41" spans="1:11">
      <c r="A41" s="47">
        <v>0.55000000000000004</v>
      </c>
      <c r="B41" s="52">
        <f t="shared" si="8"/>
        <v>4662.3453646439948</v>
      </c>
      <c r="C41" s="52">
        <f t="shared" si="6"/>
        <v>2247.9165150962117</v>
      </c>
      <c r="D41" s="52">
        <f t="shared" si="5"/>
        <v>3163.7343545798535</v>
      </c>
      <c r="E41" s="52">
        <f t="shared" si="7"/>
        <v>274.05584460085134</v>
      </c>
      <c r="F41" s="52">
        <f>EXP((LN(B41)/Data!$D$20)+Logan!$B$6)</f>
        <v>643.79783515571739</v>
      </c>
      <c r="G41" s="52">
        <f>EXP((LN(C41)/Data!$D$21)+Logan!$B$7)</f>
        <v>1332.6320693821328</v>
      </c>
      <c r="H41" s="52">
        <f>EXP((LN(D41)/Data!$D$22)+Logan!$B$8)</f>
        <v>940.09929986446343</v>
      </c>
      <c r="I41" s="52">
        <f>(EXP($B$6)/(1+(1/Data!$D$20)))*($B$2^(1+(1/Data!$D$20))-B41^(1+(1/Data!$D$20)))/1000000</f>
        <v>1.5830237909393103</v>
      </c>
      <c r="J41" s="52">
        <f>(EXP($B$7)/(1+(1/Data!$D$21)))*($B$3^(1+(1/Data!$D$21))-C41^(1+(1/Data!$D$21)))/1000000</f>
        <v>1.139801423102007</v>
      </c>
      <c r="K41" s="52">
        <f>(EXP($B$8)/(1+(1/Data!$D$22)))*($B$4^(1+(1/Data!$D$22))-D41^(1+(1/Data!$D$22)))/1000000</f>
        <v>1.3163637265008028</v>
      </c>
    </row>
    <row r="42" spans="1:11">
      <c r="A42" s="47">
        <v>0.5</v>
      </c>
      <c r="B42" s="52">
        <f t="shared" si="8"/>
        <v>4238.4957860399945</v>
      </c>
      <c r="C42" s="52">
        <f t="shared" si="6"/>
        <v>2043.5604682692833</v>
      </c>
      <c r="D42" s="52">
        <f t="shared" si="5"/>
        <v>2876.1221405271394</v>
      </c>
      <c r="E42" s="52">
        <f t="shared" si="7"/>
        <v>274.05584460085134</v>
      </c>
      <c r="F42" s="52">
        <f>EXP((LN(B42)/Data!$D$20)+Logan!$B$6)</f>
        <v>737.70362808061543</v>
      </c>
      <c r="G42" s="52">
        <f>EXP((LN(C42)/Data!$D$21)+Logan!$B$7)</f>
        <v>1714.8049098279178</v>
      </c>
      <c r="H42" s="52">
        <f>EXP((LN(D42)/Data!$D$22)+Logan!$B$8)</f>
        <v>1144.246181590061</v>
      </c>
      <c r="I42" s="52">
        <f>(EXP($B$6)/(1+(1/Data!$D$20)))*($B$2^(1+(1/Data!$D$20))-B42^(1+(1/Data!$D$20)))/1000000</f>
        <v>1.8750308126793387</v>
      </c>
      <c r="J42" s="52">
        <f>(EXP($B$7)/(1+(1/Data!$D$21)))*($B$3^(1+(1/Data!$D$21))-C42^(1+(1/Data!$D$21)))/1000000</f>
        <v>1.4489239204724604</v>
      </c>
      <c r="K42" s="52">
        <f>(EXP($B$8)/(1+(1/Data!$D$22)))*($B$4^(1+(1/Data!$D$22))-D42^(1+(1/Data!$D$22)))/1000000</f>
        <v>1.6146785863314141</v>
      </c>
    </row>
    <row r="43" spans="1:11">
      <c r="A43" s="47">
        <v>0.45</v>
      </c>
      <c r="B43" s="52">
        <f t="shared" si="8"/>
        <v>3814.6462074359952</v>
      </c>
      <c r="C43" s="52">
        <f t="shared" si="6"/>
        <v>1839.2044214423549</v>
      </c>
      <c r="D43" s="52">
        <f t="shared" si="5"/>
        <v>2588.5099264744254</v>
      </c>
      <c r="E43" s="52">
        <f t="shared" si="7"/>
        <v>274.05584460085134</v>
      </c>
      <c r="F43" s="52">
        <f>EXP((LN(B43)/Data!$D$20)+Logan!$B$6)</f>
        <v>857.530869958837</v>
      </c>
      <c r="G43" s="52">
        <f>EXP((LN(C43)/Data!$D$21)+Logan!$B$7)</f>
        <v>2266.0332634096762</v>
      </c>
      <c r="H43" s="52">
        <f>EXP((LN(D43)/Data!$D$22)+Logan!$B$8)</f>
        <v>1421.8861147852415</v>
      </c>
      <c r="I43" s="52">
        <f>(EXP($B$6)/(1+(1/Data!$D$20)))*($B$2^(1+(1/Data!$D$20))-B43^(1+(1/Data!$D$20)))/1000000</f>
        <v>2.2120181904032146</v>
      </c>
      <c r="J43" s="52">
        <f>(EXP($B$7)/(1+(1/Data!$D$21)))*($B$3^(1+(1/Data!$D$21))-C43^(1+(1/Data!$D$21)))/1000000</f>
        <v>1.8520778591751768</v>
      </c>
      <c r="K43" s="52">
        <f>(EXP($B$8)/(1+(1/Data!$D$22)))*($B$4^(1+(1/Data!$D$22))-D43^(1+(1/Data!$D$22)))/1000000</f>
        <v>1.9815594688482643</v>
      </c>
    </row>
    <row r="44" spans="1:11">
      <c r="A44" s="47">
        <v>0.4</v>
      </c>
      <c r="B44" s="52">
        <f t="shared" si="8"/>
        <v>3390.7966288319958</v>
      </c>
      <c r="C44" s="52">
        <f t="shared" si="6"/>
        <v>1634.8483746154268</v>
      </c>
      <c r="D44" s="52">
        <f t="shared" si="5"/>
        <v>2300.8977124217117</v>
      </c>
      <c r="E44" s="52">
        <f t="shared" si="7"/>
        <v>274.05584460085134</v>
      </c>
      <c r="F44" s="52">
        <f>EXP((LN(B44)/Data!$D$20)+Logan!$B$6)</f>
        <v>1014.6699415489632</v>
      </c>
      <c r="G44" s="52">
        <f>EXP((LN(C44)/Data!$D$21)+Logan!$B$7)</f>
        <v>3094.499480359932</v>
      </c>
      <c r="H44" s="52">
        <f>EXP((LN(D44)/Data!$D$22)+Logan!$B$8)</f>
        <v>1812.7333785344874</v>
      </c>
      <c r="I44" s="52">
        <f>(EXP($B$6)/(1+(1/Data!$D$20)))*($B$2^(1+(1/Data!$D$20))-B44^(1+(1/Data!$D$20)))/1000000</f>
        <v>2.6071974418483133</v>
      </c>
      <c r="J44" s="52">
        <f>(EXP($B$7)/(1+(1/Data!$D$21)))*($B$3^(1+(1/Data!$D$21))-C44^(1+(1/Data!$D$21)))/1000000</f>
        <v>2.3937597889808262</v>
      </c>
      <c r="K44" s="52">
        <f>(EXP($B$8)/(1+(1/Data!$D$22)))*($B$4^(1+(1/Data!$D$22))-D44^(1+(1/Data!$D$22)))/1000000</f>
        <v>2.4433432830413127</v>
      </c>
    </row>
    <row r="45" spans="1:11">
      <c r="A45" s="47">
        <v>0.35</v>
      </c>
      <c r="B45" s="52">
        <f t="shared" si="8"/>
        <v>2966.947050227996</v>
      </c>
      <c r="C45" s="52">
        <f t="shared" si="6"/>
        <v>1430.4923277884982</v>
      </c>
      <c r="D45" s="52">
        <f t="shared" si="5"/>
        <v>2013.2854983689974</v>
      </c>
      <c r="E45" s="52">
        <f t="shared" si="7"/>
        <v>274.05584460085134</v>
      </c>
      <c r="F45" s="52">
        <f>EXP((LN(B45)/Data!$D$20)+Logan!$B$6)</f>
        <v>1227.9210193813233</v>
      </c>
      <c r="G45" s="52">
        <f>EXP((LN(C45)/Data!$D$21)+Logan!$B$7)</f>
        <v>4405.6324594930711</v>
      </c>
      <c r="H45" s="52">
        <f>EXP((LN(D45)/Data!$D$22)+Logan!$B$8)</f>
        <v>2387.2887768940645</v>
      </c>
      <c r="I45" s="52">
        <f>(EXP($B$6)/(1+(1/Data!$D$20)))*($B$2^(1+(1/Data!$D$20))-B45^(1+(1/Data!$D$20)))/1000000</f>
        <v>3.0800176432799558</v>
      </c>
      <c r="J45" s="52">
        <f>(EXP($B$7)/(1+(1/Data!$D$21)))*($B$3^(1+(1/Data!$D$21))-C45^(1+(1/Data!$D$21)))/1000000</f>
        <v>3.1492650991934084</v>
      </c>
      <c r="K45" s="52">
        <f>(EXP($B$8)/(1+(1/Data!$D$22)))*($B$4^(1+(1/Data!$D$22))-D45^(1+(1/Data!$D$22)))/1000000</f>
        <v>3.0417106590687144</v>
      </c>
    </row>
    <row r="46" spans="1:11">
      <c r="A46" s="47">
        <v>0.3</v>
      </c>
      <c r="B46" s="52">
        <f t="shared" si="8"/>
        <v>2543.0974716239966</v>
      </c>
      <c r="C46" s="52">
        <f t="shared" si="6"/>
        <v>1226.13628096157</v>
      </c>
      <c r="D46" s="52">
        <f t="shared" si="5"/>
        <v>1725.6732843162836</v>
      </c>
      <c r="E46" s="52">
        <f t="shared" si="7"/>
        <v>274.05584460085134</v>
      </c>
      <c r="F46" s="52">
        <f>EXP((LN(B46)/Data!$D$20)+Logan!$B$6)</f>
        <v>1530.4132057928955</v>
      </c>
      <c r="G46" s="52">
        <f>EXP((LN(C46)/Data!$D$21)+Logan!$B$7)</f>
        <v>6623.9366809926196</v>
      </c>
      <c r="H46" s="52">
        <f>EXP((LN(D46)/Data!$D$22)+Logan!$B$8)</f>
        <v>3280.4964652547346</v>
      </c>
      <c r="I46" s="52">
        <f>(EXP($B$6)/(1+(1/Data!$D$20)))*($B$2^(1+(1/Data!$D$20))-B46^(1+(1/Data!$D$20)))/1000000</f>
        <v>3.6605820282061643</v>
      </c>
      <c r="J46" s="52">
        <f>(EXP($B$7)/(1+(1/Data!$D$21)))*($B$3^(1+(1/Data!$D$21))-C46^(1+(1/Data!$D$21)))/1000000</f>
        <v>4.2550826194323763</v>
      </c>
      <c r="K46" s="52">
        <f>(EXP($B$8)/(1+(1/Data!$D$22)))*($B$4^(1+(1/Data!$D$22))-D46^(1+(1/Data!$D$22)))/1000000</f>
        <v>3.8466893944190828</v>
      </c>
    </row>
    <row r="47" spans="1:11">
      <c r="A47" s="47">
        <v>0.25</v>
      </c>
      <c r="B47" s="52">
        <f t="shared" si="8"/>
        <v>2119.2478930199973</v>
      </c>
      <c r="C47" s="52">
        <f t="shared" si="6"/>
        <v>1021.7802341346417</v>
      </c>
      <c r="D47" s="52">
        <f t="shared" si="5"/>
        <v>1438.0610702635697</v>
      </c>
      <c r="E47" s="52">
        <f t="shared" si="7"/>
        <v>274.05584460085134</v>
      </c>
      <c r="F47" s="52">
        <f>EXP((LN(B47)/Data!$D$20)+Logan!$B$6)</f>
        <v>1985.7509102785809</v>
      </c>
      <c r="G47" s="52">
        <f>EXP((LN(C47)/Data!$D$21)+Logan!$B$7)</f>
        <v>10729.768901855388</v>
      </c>
      <c r="H47" s="52">
        <f>EXP((LN(D47)/Data!$D$22)+Logan!$B$8)</f>
        <v>4777.4909744777069</v>
      </c>
      <c r="I47" s="52">
        <f>(EXP($B$6)/(1+(1/Data!$D$20)))*($B$2^(1+(1/Data!$D$20))-B47^(1+(1/Data!$D$20)))/1000000</f>
        <v>4.3986351446560725</v>
      </c>
      <c r="J47" s="52">
        <f>(EXP($B$7)/(1+(1/Data!$D$21)))*($B$3^(1+(1/Data!$D$21))-C47^(1+(1/Data!$D$21)))/1000000</f>
        <v>5.9819815102713845</v>
      </c>
      <c r="K47" s="52">
        <f>(EXP($B$8)/(1+(1/Data!$D$22)))*($B$4^(1+(1/Data!$D$22))-D47^(1+(1/Data!$D$22)))/1000000</f>
        <v>4.9855058160806598</v>
      </c>
    </row>
    <row r="48" spans="1:11">
      <c r="A48" s="47">
        <v>0.2</v>
      </c>
      <c r="B48" s="52">
        <f t="shared" si="8"/>
        <v>1695.3983144159979</v>
      </c>
      <c r="C48" s="52">
        <f t="shared" si="6"/>
        <v>817.4241873077134</v>
      </c>
      <c r="D48" s="52">
        <f t="shared" si="5"/>
        <v>1150.4488562108559</v>
      </c>
      <c r="E48" s="52">
        <f t="shared" si="7"/>
        <v>274.05584460085134</v>
      </c>
      <c r="F48" s="52">
        <f>EXP((LN(B48)/Data!$D$20)+Logan!$B$6)</f>
        <v>2731.288939578023</v>
      </c>
      <c r="G48" s="52">
        <f>EXP((LN(C48)/Data!$D$21)+Logan!$B$7)</f>
        <v>19362.70656847228</v>
      </c>
      <c r="H48" s="52">
        <f>EXP((LN(D48)/Data!$D$22)+Logan!$B$8)</f>
        <v>7568.5787677687313</v>
      </c>
      <c r="I48" s="52">
        <f>(EXP($B$6)/(1+(1/Data!$D$20)))*($B$2^(1+(1/Data!$D$20))-B48^(1+(1/Data!$D$20)))/1000000</f>
        <v>5.3840583518935734</v>
      </c>
      <c r="J48" s="52">
        <f>(EXP($B$7)/(1+(1/Data!$D$21)))*($B$3^(1+(1/Data!$D$21))-C48^(1+(1/Data!$D$21)))/1000000</f>
        <v>8.9379651505024853</v>
      </c>
      <c r="K48" s="52">
        <f>(EXP($B$8)/(1+(1/Data!$D$22)))*($B$4^(1+(1/Data!$D$22))-D48^(1+(1/Data!$D$22)))/1000000</f>
        <v>6.7154386631793788</v>
      </c>
    </row>
    <row r="49" spans="1:11">
      <c r="A49" s="47">
        <v>0.15</v>
      </c>
      <c r="B49" s="52">
        <f t="shared" si="8"/>
        <v>1271.5487358119983</v>
      </c>
      <c r="C49" s="52">
        <f t="shared" si="6"/>
        <v>613.06814048078502</v>
      </c>
      <c r="D49" s="52">
        <f t="shared" si="5"/>
        <v>862.83664215814179</v>
      </c>
      <c r="E49" s="52">
        <f t="shared" si="7"/>
        <v>274.05584460085134</v>
      </c>
      <c r="F49" s="52">
        <f>EXP((LN(B49)/Data!$D$20)+Logan!$B$6)</f>
        <v>4119.5668569675208</v>
      </c>
      <c r="G49" s="52">
        <f>EXP((LN(C49)/Data!$D$21)+Logan!$B$7)</f>
        <v>41446.877951093476</v>
      </c>
      <c r="H49" s="52">
        <f>EXP((LN(D49)/Data!$D$22)+Logan!$B$8)</f>
        <v>13696.827227145885</v>
      </c>
      <c r="I49" s="52">
        <f>(EXP($B$6)/(1+(1/Data!$D$20)))*($B$2^(1+(1/Data!$D$20))-B49^(1+(1/Data!$D$20)))/1000000</f>
        <v>6.8018088695885668</v>
      </c>
      <c r="J49" s="52">
        <f>(EXP($B$7)/(1+(1/Data!$D$21)))*($B$3^(1+(1/Data!$D$21))-C49^(1+(1/Data!$D$21)))/1000000</f>
        <v>14.761240937745415</v>
      </c>
      <c r="K49" s="52">
        <f>(EXP($B$8)/(1+(1/Data!$D$22)))*($B$4^(1+(1/Data!$D$22))-D49^(1+(1/Data!$D$22)))/1000000</f>
        <v>9.645085049177796</v>
      </c>
    </row>
    <row r="50" spans="1:11">
      <c r="A50" s="47">
        <v>0.1</v>
      </c>
      <c r="B50" s="52">
        <f t="shared" si="8"/>
        <v>847.69915720799895</v>
      </c>
      <c r="C50" s="52">
        <f t="shared" si="6"/>
        <v>408.7120936538567</v>
      </c>
      <c r="D50" s="52">
        <f t="shared" si="5"/>
        <v>575.22442810542793</v>
      </c>
      <c r="E50" s="52">
        <f t="shared" si="7"/>
        <v>274.05584460085134</v>
      </c>
      <c r="F50" s="52">
        <f>EXP((LN(B50)/Data!$D$20)+Logan!$B$6)</f>
        <v>7352.084619825373</v>
      </c>
      <c r="G50" s="52">
        <f>EXP((LN(C50)/Data!$D$21)+Logan!$B$7)</f>
        <v>121155.10376920601</v>
      </c>
      <c r="H50" s="52">
        <f>EXP((LN(D50)/Data!$D$22)+Logan!$B$8)</f>
        <v>31600.557060537369</v>
      </c>
      <c r="I50" s="52">
        <f>(EXP($B$6)/(1+(1/Data!$D$20)))*($B$2^(1+(1/Data!$D$20))-B50^(1+(1/Data!$D$20)))/1000000</f>
        <v>9.1214359856367562</v>
      </c>
      <c r="J50" s="52">
        <f>(EXP($B$7)/(1+(1/Data!$D$21)))*($B$3^(1+(1/Data!$D$21))-C50^(1+(1/Data!$D$21)))/1000000</f>
        <v>29.411959239560943</v>
      </c>
      <c r="K50" s="52">
        <f>(EXP($B$8)/(1+(1/Data!$D$22)))*($B$4^(1+(1/Data!$D$22))-D50^(1+(1/Data!$D$22)))/1000000</f>
        <v>15.633929040991077</v>
      </c>
    </row>
    <row r="51" spans="1:11">
      <c r="A51" s="47">
        <v>0.05</v>
      </c>
      <c r="B51" s="52">
        <f t="shared" si="8"/>
        <v>423.84957860399948</v>
      </c>
      <c r="C51" s="52">
        <f t="shared" si="6"/>
        <v>204.35604682692835</v>
      </c>
      <c r="D51" s="52">
        <f t="shared" si="5"/>
        <v>287.61221405271397</v>
      </c>
      <c r="E51" s="52">
        <f t="shared" si="7"/>
        <v>274.05584460085134</v>
      </c>
      <c r="F51" s="52">
        <f>EXP((LN(B51)/Data!$D$20)+Logan!$B$6)</f>
        <v>19790.344212144711</v>
      </c>
      <c r="G51" s="52">
        <f>EXP((LN(C51)/Data!$D$21)+Logan!$B$7)</f>
        <v>758084.05800187471</v>
      </c>
      <c r="H51" s="52">
        <f>EXP((LN(D51)/Data!$D$22)+Logan!$B$8)</f>
        <v>131939.59357189469</v>
      </c>
      <c r="I51" s="52">
        <f>(EXP($B$6)/(1+(1/Data!$D$20)))*($B$2^(1+(1/Data!$D$20))-B51^(1+(1/Data!$D$20)))/1000000</f>
        <v>14.151573262831551</v>
      </c>
      <c r="J51" s="52">
        <f>(EXP($B$7)/(1+(1/Data!$D$21)))*($B$3^(1+(1/Data!$D$21))-C51^(1+(1/Data!$D$21)))/1000000</f>
        <v>93.466250143007102</v>
      </c>
      <c r="K51" s="52">
        <f>(EXP($B$8)/(1+(1/Data!$D$22)))*($B$4^(1+(1/Data!$D$22))-D51^(1+(1/Data!$D$22)))/1000000</f>
        <v>34.252303290994242</v>
      </c>
    </row>
    <row r="52" spans="1:11">
      <c r="A52" s="44"/>
      <c r="B52">
        <v>0</v>
      </c>
      <c r="E52" s="32">
        <f>E51</f>
        <v>274.05584460085134</v>
      </c>
    </row>
    <row r="53" spans="1:11">
      <c r="A53" s="46" t="s">
        <v>200</v>
      </c>
    </row>
    <row r="54" spans="1:11">
      <c r="A54" s="49" t="s">
        <v>187</v>
      </c>
      <c r="B54" s="49">
        <f>Data!$B$7*Data!$B$10</f>
        <v>9822.8629935002155</v>
      </c>
      <c r="C54" s="49"/>
      <c r="D54" s="49"/>
      <c r="E54" s="49"/>
      <c r="F54" s="49"/>
      <c r="G54" s="49"/>
      <c r="H54" s="49"/>
      <c r="I54" s="49"/>
      <c r="J54" s="49"/>
      <c r="K54" s="49"/>
    </row>
    <row r="55" spans="1:11">
      <c r="A55" s="49"/>
      <c r="B55" s="51"/>
      <c r="C55" s="51"/>
      <c r="D55" s="51"/>
      <c r="E55" s="62" t="s">
        <v>202</v>
      </c>
      <c r="F55" s="63"/>
      <c r="G55" s="63"/>
      <c r="H55" s="63"/>
      <c r="I55" s="50"/>
      <c r="J55" s="49"/>
      <c r="K55" s="49"/>
    </row>
    <row r="56" spans="1:11">
      <c r="A56" s="49" t="s">
        <v>180</v>
      </c>
      <c r="B56" s="49" t="s">
        <v>203</v>
      </c>
      <c r="C56" s="49" t="s">
        <v>204</v>
      </c>
      <c r="D56" s="49" t="s">
        <v>205</v>
      </c>
      <c r="E56" s="49" t="s">
        <v>181</v>
      </c>
      <c r="F56" s="49" t="s">
        <v>182</v>
      </c>
      <c r="G56" s="49" t="s">
        <v>183</v>
      </c>
      <c r="H56" s="49"/>
      <c r="I56" s="49"/>
      <c r="J56" s="49"/>
      <c r="K56" s="49"/>
    </row>
    <row r="57" spans="1:11">
      <c r="A57" s="50">
        <v>1</v>
      </c>
      <c r="B57" s="49">
        <f>(B32+$B$54*(1/12))/1000</f>
        <v>9.2955634882050067</v>
      </c>
      <c r="C57" s="49">
        <f>(C32+$B$54*(1/12))/1000</f>
        <v>4.9056928526635843</v>
      </c>
      <c r="D57" s="49">
        <f>(D32+$B$54*(1/12))/1000</f>
        <v>6.5708161971792967</v>
      </c>
      <c r="E57" s="49">
        <f>I32</f>
        <v>0</v>
      </c>
      <c r="F57" s="49">
        <f>J32</f>
        <v>0</v>
      </c>
      <c r="G57" s="49">
        <f>K32</f>
        <v>0</v>
      </c>
      <c r="H57" s="49"/>
      <c r="I57" s="49"/>
      <c r="J57" s="49"/>
      <c r="K57" s="49"/>
    </row>
    <row r="58" spans="1:11">
      <c r="A58" s="50">
        <v>0.95</v>
      </c>
      <c r="B58" s="49">
        <f t="shared" ref="B58:D76" si="9">(B33+$B$54*(1/12))/1000</f>
        <v>8.8717139096010076</v>
      </c>
      <c r="C58" s="49">
        <f t="shared" si="9"/>
        <v>4.7013368058366556</v>
      </c>
      <c r="D58" s="49">
        <f t="shared" si="9"/>
        <v>6.2832039831265831</v>
      </c>
      <c r="E58" s="58">
        <f>I33</f>
        <v>0.12048241681923186</v>
      </c>
      <c r="F58" s="49">
        <f t="shared" ref="E58:G73" si="10">J33</f>
        <v>5.9947901782216435E-2</v>
      </c>
      <c r="G58" s="49">
        <f t="shared" si="10"/>
        <v>8.3103214088719873E-2</v>
      </c>
      <c r="H58" s="49"/>
      <c r="I58" s="49"/>
      <c r="J58" s="49"/>
      <c r="K58" s="49"/>
    </row>
    <row r="59" spans="1:11">
      <c r="A59" s="50">
        <v>0.9</v>
      </c>
      <c r="B59" s="49">
        <f t="shared" si="9"/>
        <v>8.4478643309970085</v>
      </c>
      <c r="C59" s="49">
        <f t="shared" si="9"/>
        <v>4.4969807590097277</v>
      </c>
      <c r="D59" s="49">
        <f t="shared" si="9"/>
        <v>5.9955917690738687</v>
      </c>
      <c r="E59" s="49">
        <f t="shared" si="10"/>
        <v>0.25038065940445153</v>
      </c>
      <c r="F59" s="49">
        <f t="shared" si="10"/>
        <v>0.12886211433394998</v>
      </c>
      <c r="G59" s="49">
        <f t="shared" si="10"/>
        <v>0.17574163976905957</v>
      </c>
      <c r="H59" s="49"/>
      <c r="I59" s="49"/>
      <c r="J59" s="49"/>
      <c r="K59" s="49"/>
    </row>
    <row r="60" spans="1:11">
      <c r="A60" s="50">
        <v>0.85</v>
      </c>
      <c r="B60" s="49">
        <f t="shared" si="9"/>
        <v>8.0240147523930077</v>
      </c>
      <c r="C60" s="49">
        <f t="shared" si="9"/>
        <v>4.292624712182799</v>
      </c>
      <c r="D60" s="49">
        <f t="shared" si="9"/>
        <v>5.7079795550211552</v>
      </c>
      <c r="E60" s="49">
        <f t="shared" si="10"/>
        <v>0.39101828950662765</v>
      </c>
      <c r="F60" s="49">
        <f t="shared" si="10"/>
        <v>0.20870100599557545</v>
      </c>
      <c r="G60" s="49">
        <f t="shared" si="10"/>
        <v>0.27963567106310278</v>
      </c>
      <c r="H60" s="49"/>
      <c r="I60" s="49"/>
      <c r="J60" s="49"/>
      <c r="K60" s="49"/>
    </row>
    <row r="61" spans="1:11">
      <c r="A61" s="50">
        <v>0.8</v>
      </c>
      <c r="B61" s="49">
        <f t="shared" si="9"/>
        <v>7.6001651737890095</v>
      </c>
      <c r="C61" s="49">
        <f t="shared" si="9"/>
        <v>4.0882686653558711</v>
      </c>
      <c r="D61" s="49">
        <f t="shared" si="9"/>
        <v>5.4203673409684416</v>
      </c>
      <c r="E61" s="49">
        <f t="shared" si="10"/>
        <v>0.54399771482086756</v>
      </c>
      <c r="F61" s="49">
        <f t="shared" si="10"/>
        <v>0.30200262486911661</v>
      </c>
      <c r="G61" s="49">
        <f t="shared" si="10"/>
        <v>0.39694325749404691</v>
      </c>
      <c r="H61" s="49"/>
      <c r="I61" s="49"/>
      <c r="J61" s="49"/>
      <c r="K61" s="49"/>
    </row>
    <row r="62" spans="1:11">
      <c r="A62" s="50">
        <v>0.75</v>
      </c>
      <c r="B62" s="49">
        <f t="shared" si="9"/>
        <v>7.1763155951850095</v>
      </c>
      <c r="C62" s="49">
        <f t="shared" si="9"/>
        <v>3.8839126185289432</v>
      </c>
      <c r="D62" s="49">
        <f t="shared" si="9"/>
        <v>5.1327551269157272</v>
      </c>
      <c r="E62" s="49">
        <f t="shared" si="10"/>
        <v>0.71128105476131409</v>
      </c>
      <c r="F62" s="49">
        <f t="shared" si="10"/>
        <v>0.41210735662727815</v>
      </c>
      <c r="G62" s="49">
        <f t="shared" si="10"/>
        <v>0.53040784758413073</v>
      </c>
      <c r="H62" s="49"/>
      <c r="I62" s="49"/>
      <c r="J62" s="49"/>
      <c r="K62" s="49"/>
    </row>
    <row r="63" spans="1:11">
      <c r="A63" s="50">
        <v>0.7</v>
      </c>
      <c r="B63" s="49">
        <f t="shared" si="9"/>
        <v>6.7524660165810104</v>
      </c>
      <c r="C63" s="49">
        <f t="shared" si="9"/>
        <v>3.6795565717020144</v>
      </c>
      <c r="D63" s="49">
        <f t="shared" si="9"/>
        <v>4.8451429128630128</v>
      </c>
      <c r="E63" s="49">
        <f t="shared" si="10"/>
        <v>0.89530177437886982</v>
      </c>
      <c r="F63" s="49">
        <f t="shared" si="10"/>
        <v>0.54348857432504138</v>
      </c>
      <c r="G63" s="49">
        <f t="shared" si="10"/>
        <v>0.68357052225084602</v>
      </c>
      <c r="H63" s="49"/>
      <c r="I63" s="49"/>
      <c r="J63" s="49"/>
      <c r="K63" s="49"/>
    </row>
    <row r="64" spans="1:11">
      <c r="A64" s="50">
        <v>0.65</v>
      </c>
      <c r="B64" s="49">
        <f t="shared" si="9"/>
        <v>6.3286164379770113</v>
      </c>
      <c r="C64" s="49">
        <f t="shared" si="9"/>
        <v>3.4752005248750866</v>
      </c>
      <c r="D64" s="49">
        <f t="shared" si="9"/>
        <v>4.5575306988102993</v>
      </c>
      <c r="E64" s="49">
        <f t="shared" si="10"/>
        <v>1.0991219986221199</v>
      </c>
      <c r="F64" s="49">
        <f t="shared" si="10"/>
        <v>0.70225626233550131</v>
      </c>
      <c r="G64" s="49">
        <f t="shared" si="10"/>
        <v>0.86108126358777937</v>
      </c>
      <c r="H64" s="49"/>
      <c r="I64" s="49"/>
      <c r="J64" s="49"/>
      <c r="K64" s="49"/>
    </row>
    <row r="65" spans="1:11">
      <c r="A65" s="50">
        <v>0.6</v>
      </c>
      <c r="B65" s="49">
        <f t="shared" si="9"/>
        <v>5.9047668593730114</v>
      </c>
      <c r="C65" s="49">
        <f t="shared" si="9"/>
        <v>3.2708444780481578</v>
      </c>
      <c r="D65" s="49">
        <f t="shared" si="9"/>
        <v>4.2699184847575848</v>
      </c>
      <c r="E65" s="49">
        <f t="shared" si="10"/>
        <v>1.3266594546172008</v>
      </c>
      <c r="F65" s="49">
        <f t="shared" si="10"/>
        <v>0.89694657149618373</v>
      </c>
      <c r="G65" s="49">
        <f t="shared" si="10"/>
        <v>1.0691678364504982</v>
      </c>
      <c r="H65" s="49"/>
      <c r="I65" s="49"/>
      <c r="J65" s="49"/>
      <c r="K65" s="49"/>
    </row>
    <row r="66" spans="1:11">
      <c r="A66" s="50">
        <v>0.55000000000000004</v>
      </c>
      <c r="B66" s="49">
        <f t="shared" si="9"/>
        <v>5.4809172807690132</v>
      </c>
      <c r="C66" s="49">
        <f t="shared" si="9"/>
        <v>3.0664884312212299</v>
      </c>
      <c r="D66" s="49">
        <f t="shared" si="9"/>
        <v>3.9823062707048713</v>
      </c>
      <c r="E66" s="49">
        <f t="shared" si="10"/>
        <v>1.5830237909393103</v>
      </c>
      <c r="F66" s="49">
        <f t="shared" si="10"/>
        <v>1.139801423102007</v>
      </c>
      <c r="G66" s="49">
        <f t="shared" si="10"/>
        <v>1.3163637265008028</v>
      </c>
      <c r="H66" s="49"/>
      <c r="I66" s="49"/>
      <c r="J66" s="49"/>
      <c r="K66" s="49"/>
    </row>
    <row r="67" spans="1:11">
      <c r="A67" s="50">
        <v>0.5</v>
      </c>
      <c r="B67" s="49">
        <f t="shared" si="9"/>
        <v>5.0570677021650123</v>
      </c>
      <c r="C67" s="49">
        <f t="shared" si="9"/>
        <v>2.8621323843943012</v>
      </c>
      <c r="D67" s="49">
        <f t="shared" si="9"/>
        <v>3.6946940566521569</v>
      </c>
      <c r="E67" s="49">
        <f t="shared" si="10"/>
        <v>1.8750308126793387</v>
      </c>
      <c r="F67" s="49">
        <f t="shared" si="10"/>
        <v>1.4489239204724604</v>
      </c>
      <c r="G67" s="49">
        <f t="shared" si="10"/>
        <v>1.6146785863314141</v>
      </c>
      <c r="H67" s="49"/>
      <c r="I67" s="49"/>
      <c r="J67" s="49"/>
      <c r="K67" s="49"/>
    </row>
    <row r="68" spans="1:11">
      <c r="A68" s="50">
        <v>0.45</v>
      </c>
      <c r="B68" s="49">
        <f t="shared" si="9"/>
        <v>4.6332181235610133</v>
      </c>
      <c r="C68" s="49">
        <f t="shared" si="9"/>
        <v>2.6577763375673729</v>
      </c>
      <c r="D68" s="49">
        <f t="shared" si="9"/>
        <v>3.4070818425994429</v>
      </c>
      <c r="E68" s="49">
        <f t="shared" si="10"/>
        <v>2.2120181904032146</v>
      </c>
      <c r="F68" s="49">
        <f t="shared" si="10"/>
        <v>1.8520778591751768</v>
      </c>
      <c r="G68" s="49">
        <f t="shared" si="10"/>
        <v>1.9815594688482643</v>
      </c>
      <c r="H68" s="49"/>
      <c r="I68" s="49"/>
      <c r="J68" s="49"/>
      <c r="K68" s="49"/>
    </row>
    <row r="69" spans="1:11">
      <c r="A69" s="50">
        <v>0.4</v>
      </c>
      <c r="B69" s="49">
        <f t="shared" si="9"/>
        <v>4.2093685449570142</v>
      </c>
      <c r="C69" s="49">
        <f t="shared" si="9"/>
        <v>2.4534202907404445</v>
      </c>
      <c r="D69" s="49">
        <f t="shared" si="9"/>
        <v>3.1194696285467298</v>
      </c>
      <c r="E69" s="49">
        <f t="shared" si="10"/>
        <v>2.6071974418483133</v>
      </c>
      <c r="F69" s="49">
        <f t="shared" si="10"/>
        <v>2.3937597889808262</v>
      </c>
      <c r="G69" s="49">
        <f t="shared" si="10"/>
        <v>2.4433432830413127</v>
      </c>
      <c r="H69" s="49"/>
      <c r="I69" s="49"/>
      <c r="J69" s="49"/>
      <c r="K69" s="49"/>
    </row>
    <row r="70" spans="1:11">
      <c r="A70" s="50">
        <v>0.35</v>
      </c>
      <c r="B70" s="49">
        <f t="shared" si="9"/>
        <v>3.7855189663530138</v>
      </c>
      <c r="C70" s="49">
        <f t="shared" si="9"/>
        <v>2.2490642439135162</v>
      </c>
      <c r="D70" s="49">
        <f t="shared" si="9"/>
        <v>2.8318574144940154</v>
      </c>
      <c r="E70" s="49">
        <f t="shared" si="10"/>
        <v>3.0800176432799558</v>
      </c>
      <c r="F70" s="49">
        <f t="shared" si="10"/>
        <v>3.1492650991934084</v>
      </c>
      <c r="G70" s="49">
        <f t="shared" si="10"/>
        <v>3.0417106590687144</v>
      </c>
      <c r="H70" s="49"/>
      <c r="I70" s="49"/>
      <c r="J70" s="49"/>
      <c r="K70" s="49"/>
    </row>
    <row r="71" spans="1:11">
      <c r="A71" s="50">
        <v>0.3</v>
      </c>
      <c r="B71" s="49">
        <f t="shared" si="9"/>
        <v>3.3616693877490142</v>
      </c>
      <c r="C71" s="49">
        <f t="shared" si="9"/>
        <v>2.0447081970865879</v>
      </c>
      <c r="D71" s="49">
        <f t="shared" si="9"/>
        <v>2.5442452004413019</v>
      </c>
      <c r="E71" s="49">
        <f t="shared" si="10"/>
        <v>3.6605820282061643</v>
      </c>
      <c r="F71" s="49">
        <f t="shared" si="10"/>
        <v>4.2550826194323763</v>
      </c>
      <c r="G71" s="49">
        <f t="shared" si="10"/>
        <v>3.8466893944190828</v>
      </c>
      <c r="H71" s="49"/>
      <c r="I71" s="49"/>
      <c r="J71" s="49"/>
      <c r="K71" s="49"/>
    </row>
    <row r="72" spans="1:11">
      <c r="A72" s="50">
        <v>0.25</v>
      </c>
      <c r="B72" s="49">
        <f t="shared" si="9"/>
        <v>2.9378198091450147</v>
      </c>
      <c r="C72" s="49">
        <f t="shared" si="9"/>
        <v>1.8403521502596596</v>
      </c>
      <c r="D72" s="49">
        <f t="shared" si="9"/>
        <v>2.2566329863885874</v>
      </c>
      <c r="E72" s="49">
        <f t="shared" si="10"/>
        <v>4.3986351446560725</v>
      </c>
      <c r="F72" s="49">
        <f t="shared" si="10"/>
        <v>5.9819815102713845</v>
      </c>
      <c r="G72" s="49">
        <f t="shared" si="10"/>
        <v>4.9855058160806598</v>
      </c>
      <c r="H72" s="49"/>
      <c r="I72" s="49"/>
      <c r="J72" s="49"/>
      <c r="K72" s="49"/>
    </row>
    <row r="73" spans="1:11">
      <c r="A73" s="50">
        <v>0.2</v>
      </c>
      <c r="B73" s="49">
        <f t="shared" si="9"/>
        <v>2.5139702305410156</v>
      </c>
      <c r="C73" s="49">
        <f t="shared" si="9"/>
        <v>1.6359961034327311</v>
      </c>
      <c r="D73" s="49">
        <f t="shared" si="9"/>
        <v>1.9690207723358737</v>
      </c>
      <c r="E73" s="49">
        <f t="shared" si="10"/>
        <v>5.3840583518935734</v>
      </c>
      <c r="F73" s="49">
        <f t="shared" si="10"/>
        <v>8.9379651505024853</v>
      </c>
      <c r="G73" s="49">
        <f t="shared" si="10"/>
        <v>6.7154386631793788</v>
      </c>
      <c r="H73" s="49"/>
      <c r="I73" s="49"/>
      <c r="J73" s="49"/>
      <c r="K73" s="49"/>
    </row>
    <row r="74" spans="1:11">
      <c r="A74" s="50">
        <v>0.15</v>
      </c>
      <c r="B74" s="49">
        <f t="shared" si="9"/>
        <v>2.0901206519370161</v>
      </c>
      <c r="C74" s="49">
        <f t="shared" si="9"/>
        <v>1.4316400566058027</v>
      </c>
      <c r="D74" s="49">
        <f t="shared" si="9"/>
        <v>1.6814085582831597</v>
      </c>
      <c r="E74" s="49">
        <f t="shared" ref="E74:G76" si="11">I49</f>
        <v>6.8018088695885668</v>
      </c>
      <c r="F74" s="49">
        <f t="shared" si="11"/>
        <v>14.761240937745415</v>
      </c>
      <c r="G74" s="49">
        <f t="shared" si="11"/>
        <v>9.645085049177796</v>
      </c>
      <c r="H74" s="49"/>
      <c r="I74" s="49"/>
      <c r="J74" s="49"/>
      <c r="K74" s="49"/>
    </row>
    <row r="75" spans="1:11">
      <c r="A75" s="50">
        <v>0.1</v>
      </c>
      <c r="B75" s="49">
        <f t="shared" si="9"/>
        <v>1.6662710733330168</v>
      </c>
      <c r="C75" s="49">
        <f t="shared" si="9"/>
        <v>1.2272840097788746</v>
      </c>
      <c r="D75" s="49">
        <f t="shared" si="9"/>
        <v>1.3937963442304457</v>
      </c>
      <c r="E75" s="49">
        <f t="shared" si="11"/>
        <v>9.1214359856367562</v>
      </c>
      <c r="F75" s="49">
        <f t="shared" si="11"/>
        <v>29.411959239560943</v>
      </c>
      <c r="G75" s="49">
        <f t="shared" si="11"/>
        <v>15.633929040991077</v>
      </c>
      <c r="H75" s="49"/>
      <c r="I75" s="49"/>
      <c r="J75" s="49"/>
      <c r="K75" s="49"/>
    </row>
    <row r="76" spans="1:11">
      <c r="A76" s="50">
        <v>0.05</v>
      </c>
      <c r="B76" s="49">
        <f t="shared" si="9"/>
        <v>1.2424214947290175</v>
      </c>
      <c r="C76" s="49">
        <f t="shared" si="9"/>
        <v>1.0229279629519463</v>
      </c>
      <c r="D76" s="49">
        <f t="shared" si="9"/>
        <v>1.1061841301777318</v>
      </c>
      <c r="E76" s="49">
        <f t="shared" si="11"/>
        <v>14.151573262831551</v>
      </c>
      <c r="F76" s="49">
        <f t="shared" si="11"/>
        <v>93.466250143007102</v>
      </c>
      <c r="G76" s="49">
        <f t="shared" si="11"/>
        <v>34.252303290994242</v>
      </c>
      <c r="H76" s="49"/>
      <c r="I76" s="49"/>
      <c r="J76" s="49"/>
      <c r="K76" s="49"/>
    </row>
    <row r="77" spans="1:11">
      <c r="A77" s="55"/>
      <c r="B77" s="31"/>
      <c r="C77" s="31"/>
      <c r="D77" s="31"/>
      <c r="E77" s="31"/>
      <c r="F77" s="31"/>
      <c r="G77" s="31"/>
      <c r="H77" s="31"/>
      <c r="I77" s="31"/>
      <c r="J77" s="31"/>
      <c r="K77" s="31"/>
    </row>
    <row r="78" spans="1:11">
      <c r="A78" s="55"/>
      <c r="B78" s="31"/>
      <c r="C78" s="31"/>
      <c r="D78" s="31"/>
      <c r="E78" s="31"/>
      <c r="F78" s="31"/>
      <c r="G78" s="31"/>
      <c r="H78" s="31"/>
      <c r="I78" s="31"/>
      <c r="J78" s="31"/>
      <c r="K78" s="31"/>
    </row>
    <row r="79" spans="1:11">
      <c r="A79" s="55"/>
      <c r="B79" s="31"/>
      <c r="C79" s="31"/>
      <c r="D79" s="31"/>
      <c r="E79" s="31"/>
      <c r="F79" s="31"/>
      <c r="G79" s="31"/>
      <c r="H79" s="31"/>
      <c r="I79" s="31"/>
      <c r="J79" s="31"/>
      <c r="K79" s="31"/>
    </row>
    <row r="80" spans="1:11">
      <c r="A80" s="55"/>
      <c r="B80" s="31"/>
      <c r="C80" s="31"/>
      <c r="D80" s="31"/>
      <c r="E80" s="31"/>
      <c r="F80" s="31"/>
      <c r="G80" s="31"/>
      <c r="H80" s="31"/>
      <c r="I80" s="31"/>
      <c r="J80" s="31"/>
      <c r="K80" s="31"/>
    </row>
    <row r="81" spans="1:11">
      <c r="A81" s="55"/>
      <c r="B81" s="31"/>
      <c r="C81" s="31"/>
      <c r="D81" s="31"/>
      <c r="E81" s="31"/>
      <c r="F81" s="31"/>
      <c r="G81" s="31"/>
      <c r="H81" s="31"/>
      <c r="I81" s="31"/>
      <c r="J81" s="31"/>
      <c r="K81" s="31"/>
    </row>
    <row r="82" spans="1:11">
      <c r="A82" s="55"/>
      <c r="B82" s="31"/>
      <c r="C82" s="31"/>
      <c r="D82" s="31"/>
      <c r="E82" s="31"/>
      <c r="F82" s="31"/>
      <c r="G82" s="31"/>
      <c r="H82" s="31"/>
      <c r="I82" s="31"/>
      <c r="J82" s="31"/>
      <c r="K82" s="31"/>
    </row>
    <row r="83" spans="1:11">
      <c r="A83" s="55"/>
      <c r="B83" s="31"/>
      <c r="C83" s="31"/>
      <c r="D83" s="31"/>
      <c r="E83" s="31"/>
      <c r="F83" s="31"/>
      <c r="G83" s="31"/>
      <c r="H83" s="31"/>
      <c r="I83" s="31"/>
      <c r="J83" s="31"/>
      <c r="K83" s="31"/>
    </row>
    <row r="84" spans="1:11">
      <c r="A84" s="55"/>
      <c r="B84" s="31"/>
      <c r="C84" s="31"/>
      <c r="D84" s="31"/>
      <c r="E84" s="31"/>
      <c r="F84" s="31"/>
      <c r="G84" s="31"/>
      <c r="H84" s="31"/>
      <c r="I84" s="31"/>
      <c r="J84" s="31"/>
      <c r="K84" s="31"/>
    </row>
    <row r="85" spans="1:11">
      <c r="A85" s="55"/>
      <c r="B85" s="31"/>
      <c r="C85" s="31"/>
      <c r="D85" s="31"/>
      <c r="E85" s="31"/>
      <c r="F85" s="31"/>
      <c r="G85" s="31"/>
      <c r="H85" s="31"/>
      <c r="I85" s="31"/>
      <c r="J85" s="31"/>
      <c r="K85" s="31"/>
    </row>
    <row r="86" spans="1:11">
      <c r="A86" s="55"/>
      <c r="B86" s="31"/>
      <c r="C86" s="31"/>
      <c r="D86" s="31"/>
      <c r="E86" s="31"/>
      <c r="F86" s="31"/>
      <c r="G86" s="31"/>
      <c r="H86" s="31"/>
      <c r="I86" s="31"/>
      <c r="J86" s="31"/>
      <c r="K86" s="31"/>
    </row>
    <row r="87" spans="1:11">
      <c r="A87" s="55"/>
      <c r="B87" s="31"/>
      <c r="C87" s="31"/>
      <c r="D87" s="31"/>
      <c r="E87" s="31"/>
      <c r="F87" s="31"/>
      <c r="G87" s="31"/>
      <c r="H87" s="31"/>
      <c r="I87" s="31"/>
      <c r="J87" s="31"/>
      <c r="K87" s="31"/>
    </row>
    <row r="88" spans="1:11">
      <c r="A88" s="55"/>
      <c r="B88" s="31"/>
      <c r="C88" s="31"/>
      <c r="D88" s="31"/>
      <c r="E88" s="31"/>
      <c r="F88" s="31"/>
      <c r="G88" s="31"/>
      <c r="H88" s="31"/>
      <c r="I88" s="31"/>
      <c r="J88" s="31"/>
      <c r="K88" s="31"/>
    </row>
    <row r="89" spans="1:11">
      <c r="A89" s="55"/>
      <c r="B89" s="31"/>
      <c r="C89" s="31"/>
      <c r="D89" s="31"/>
      <c r="E89" s="31"/>
      <c r="F89" s="31"/>
      <c r="G89" s="31"/>
      <c r="H89" s="31"/>
      <c r="I89" s="31"/>
      <c r="J89" s="31"/>
      <c r="K89" s="31"/>
    </row>
    <row r="90" spans="1:11">
      <c r="A90" s="55"/>
      <c r="B90" s="31"/>
      <c r="C90" s="31"/>
      <c r="D90" s="31"/>
      <c r="E90" s="31"/>
      <c r="F90" s="31"/>
      <c r="G90" s="31"/>
      <c r="H90" s="31"/>
      <c r="I90" s="31"/>
      <c r="J90" s="31"/>
      <c r="K90" s="31"/>
    </row>
    <row r="91" spans="1:11">
      <c r="A91" s="55"/>
      <c r="B91" s="31"/>
      <c r="C91" s="31"/>
      <c r="D91" s="31"/>
      <c r="E91" s="31"/>
      <c r="F91" s="31"/>
      <c r="G91" s="31"/>
      <c r="H91" s="31"/>
      <c r="I91" s="31"/>
      <c r="J91" s="31"/>
      <c r="K91" s="31"/>
    </row>
    <row r="92" spans="1:11">
      <c r="A92" s="55"/>
      <c r="B92" s="31"/>
      <c r="C92" s="31"/>
      <c r="D92" s="31"/>
      <c r="E92" s="31"/>
      <c r="F92" s="31"/>
      <c r="G92" s="31"/>
      <c r="H92" s="31"/>
      <c r="I92" s="31"/>
      <c r="J92" s="31"/>
      <c r="K92" s="31"/>
    </row>
    <row r="93" spans="1:11">
      <c r="A93" s="55"/>
      <c r="B93" s="31"/>
      <c r="C93" s="31"/>
      <c r="D93" s="31"/>
      <c r="E93" s="31"/>
      <c r="F93" s="31"/>
      <c r="G93" s="31"/>
      <c r="H93" s="31"/>
      <c r="I93" s="31"/>
      <c r="J93" s="31"/>
      <c r="K93" s="31"/>
    </row>
    <row r="94" spans="1:11">
      <c r="A94" s="55"/>
      <c r="B94" s="31"/>
      <c r="C94" s="31"/>
      <c r="D94" s="31"/>
      <c r="E94" s="31"/>
      <c r="F94" s="31"/>
      <c r="G94" s="31"/>
      <c r="H94" s="31"/>
      <c r="I94" s="31"/>
      <c r="J94" s="31"/>
      <c r="K94" s="31"/>
    </row>
    <row r="95" spans="1:11">
      <c r="A95" s="55"/>
      <c r="B95" s="31"/>
      <c r="C95" s="31"/>
      <c r="D95" s="31"/>
      <c r="E95" s="31"/>
      <c r="F95" s="31"/>
      <c r="G95" s="31"/>
      <c r="H95" s="31"/>
      <c r="I95" s="31"/>
      <c r="J95" s="31"/>
      <c r="K95" s="31"/>
    </row>
    <row r="96" spans="1:11">
      <c r="A96" s="55"/>
      <c r="B96" s="31"/>
      <c r="C96" s="31"/>
      <c r="D96" s="31"/>
      <c r="E96" s="31"/>
      <c r="F96" s="31"/>
      <c r="G96" s="31"/>
      <c r="H96" s="31"/>
      <c r="I96" s="31"/>
      <c r="J96" s="31"/>
      <c r="K96" s="31"/>
    </row>
    <row r="97" spans="1:9">
      <c r="A97" s="44"/>
    </row>
    <row r="98" spans="1:9">
      <c r="A98" s="42"/>
    </row>
    <row r="100" spans="1:9">
      <c r="H100" s="44"/>
      <c r="I100" s="44"/>
    </row>
    <row r="101" spans="1:9">
      <c r="H101" s="44"/>
      <c r="I101" s="44"/>
    </row>
    <row r="102" spans="1:9">
      <c r="H102" s="44"/>
      <c r="I102" s="44"/>
    </row>
    <row r="103" spans="1:9">
      <c r="B103" s="17"/>
      <c r="C103" s="17"/>
      <c r="D103" s="17"/>
      <c r="E103" s="17"/>
      <c r="H103" s="44"/>
      <c r="I103" s="44"/>
    </row>
    <row r="104" spans="1:9">
      <c r="B104" s="17"/>
      <c r="C104" s="17"/>
      <c r="D104" s="17"/>
      <c r="E104" s="17"/>
      <c r="H104" s="44"/>
      <c r="I104" s="44"/>
    </row>
    <row r="105" spans="1:9">
      <c r="B105" s="17"/>
      <c r="C105" s="17"/>
      <c r="D105" s="17"/>
      <c r="E105" s="17"/>
      <c r="H105" s="44"/>
      <c r="I105" s="44"/>
    </row>
    <row r="106" spans="1:9">
      <c r="B106" s="17"/>
      <c r="C106" s="17"/>
      <c r="D106" s="17"/>
      <c r="E106" s="17"/>
      <c r="H106" s="44"/>
      <c r="I106" s="44"/>
    </row>
    <row r="108" spans="1:9">
      <c r="A108" s="44"/>
    </row>
    <row r="109" spans="1:9">
      <c r="A109" s="44"/>
    </row>
    <row r="110" spans="1:9">
      <c r="A110" s="44"/>
    </row>
    <row r="111" spans="1:9">
      <c r="A111" s="44"/>
    </row>
    <row r="112" spans="1:9">
      <c r="A112" s="44"/>
    </row>
    <row r="113" spans="1:1">
      <c r="A113" s="44"/>
    </row>
    <row r="114" spans="1:1">
      <c r="A114" s="44"/>
    </row>
    <row r="115" spans="1:1">
      <c r="A115" s="44"/>
    </row>
    <row r="116" spans="1:1">
      <c r="A116" s="44"/>
    </row>
    <row r="117" spans="1:1">
      <c r="A117" s="44"/>
    </row>
    <row r="118" spans="1:1">
      <c r="A118" s="44"/>
    </row>
    <row r="119" spans="1:1">
      <c r="A119" s="44"/>
    </row>
    <row r="120" spans="1:1">
      <c r="A120" s="44"/>
    </row>
    <row r="121" spans="1:1">
      <c r="A121" s="44"/>
    </row>
    <row r="122" spans="1:1">
      <c r="A122" s="44"/>
    </row>
    <row r="123" spans="1:1">
      <c r="A123" s="44"/>
    </row>
    <row r="124" spans="1:1">
      <c r="A124" s="44"/>
    </row>
    <row r="125" spans="1:1">
      <c r="A125" s="44"/>
    </row>
    <row r="126" spans="1:1">
      <c r="A126" s="44"/>
    </row>
    <row r="127" spans="1:1">
      <c r="A127" s="44"/>
    </row>
  </sheetData>
  <mergeCells count="2">
    <mergeCell ref="E9:H9"/>
    <mergeCell ref="E55:H55"/>
  </mergeCells>
  <pageMargins left="0.7" right="0.7" top="0.75" bottom="0.75" header="0.3" footer="0.3"/>
  <pageSetup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7"/>
  <sheetViews>
    <sheetView zoomScaleNormal="100" workbookViewId="0">
      <selection activeCell="D2" sqref="D2:E2"/>
    </sheetView>
  </sheetViews>
  <sheetFormatPr defaultRowHeight="15"/>
  <cols>
    <col min="1" max="1" width="14" bestFit="1" customWidth="1"/>
    <col min="2" max="2" width="13.7109375" bestFit="1" customWidth="1"/>
    <col min="3" max="3" width="14" bestFit="1" customWidth="1"/>
    <col min="4" max="4" width="12.28515625" bestFit="1" customWidth="1"/>
    <col min="5" max="5" width="12.28515625" customWidth="1"/>
    <col min="6" max="6" width="15.28515625" bestFit="1" customWidth="1"/>
    <col min="7" max="7" width="17.5703125" bestFit="1" customWidth="1"/>
    <col min="8" max="8" width="14" bestFit="1" customWidth="1"/>
    <col min="9" max="9" width="15.7109375" bestFit="1" customWidth="1"/>
    <col min="10" max="10" width="15.28515625" bestFit="1" customWidth="1"/>
    <col min="11" max="11" width="14.42578125" bestFit="1" customWidth="1"/>
    <col min="12" max="12" width="3.28515625" customWidth="1"/>
  </cols>
  <sheetData>
    <row r="1" spans="1:11">
      <c r="A1" s="45" t="s">
        <v>208</v>
      </c>
    </row>
    <row r="2" spans="1:11">
      <c r="A2" s="38" t="s">
        <v>187</v>
      </c>
      <c r="B2" s="38">
        <f>Data!$C$7*Data!$C$9*Data!C12</f>
        <v>52538.857361257586</v>
      </c>
      <c r="C2" s="38"/>
      <c r="D2" s="38"/>
      <c r="E2" s="38"/>
      <c r="F2" s="38"/>
      <c r="G2" s="38"/>
      <c r="H2" s="38"/>
      <c r="I2" s="38"/>
      <c r="J2" s="38"/>
      <c r="K2" s="38"/>
    </row>
    <row r="3" spans="1:11">
      <c r="A3" s="38" t="s">
        <v>188</v>
      </c>
      <c r="B3" s="38">
        <f>Data!$C$7*Data!$C$9*Data!C13</f>
        <v>25331.234799177764</v>
      </c>
      <c r="C3" s="38"/>
      <c r="D3" s="38"/>
      <c r="E3" s="38"/>
      <c r="F3" s="38"/>
      <c r="G3" s="38"/>
      <c r="H3" s="47"/>
      <c r="I3" s="47"/>
      <c r="J3" s="38"/>
      <c r="K3" s="38"/>
    </row>
    <row r="4" spans="1:11">
      <c r="A4" s="38" t="s">
        <v>189</v>
      </c>
      <c r="B4" s="38">
        <f>Data!$C$7*Data!$C$9*Data!C14</f>
        <v>35651.367495139079</v>
      </c>
      <c r="C4" s="38"/>
      <c r="D4" s="38"/>
      <c r="E4" s="38"/>
      <c r="F4" s="38"/>
      <c r="G4" s="38"/>
      <c r="H4" s="47"/>
      <c r="I4" s="47"/>
      <c r="J4" s="38"/>
      <c r="K4" s="38"/>
    </row>
    <row r="5" spans="1:11">
      <c r="A5" s="38"/>
      <c r="B5" s="38"/>
      <c r="C5" s="38"/>
      <c r="D5" s="38"/>
      <c r="E5" s="38"/>
      <c r="F5" s="38"/>
      <c r="G5" s="38"/>
      <c r="H5" s="47"/>
      <c r="I5" s="47"/>
      <c r="J5" s="38"/>
      <c r="K5" s="38"/>
    </row>
    <row r="6" spans="1:11">
      <c r="A6" s="38" t="s">
        <v>185</v>
      </c>
      <c r="B6" s="48">
        <f>LN(Data!C3)-(LN(B2)/Data!$D$20)</f>
        <v>21.53165871779948</v>
      </c>
      <c r="C6" s="48"/>
      <c r="D6" s="48"/>
      <c r="E6" s="48"/>
      <c r="F6" s="38"/>
      <c r="G6" s="38"/>
      <c r="H6" s="47"/>
      <c r="I6" s="47"/>
      <c r="J6" s="38"/>
      <c r="K6" s="38"/>
    </row>
    <row r="7" spans="1:11">
      <c r="A7" s="38" t="s">
        <v>186</v>
      </c>
      <c r="B7" s="48">
        <f>LN(Data!C3)-(LN(B3)/Data!$D$21)</f>
        <v>32.828925914045215</v>
      </c>
      <c r="C7" s="48"/>
      <c r="D7" s="48"/>
      <c r="E7" s="48"/>
      <c r="F7" s="38"/>
      <c r="G7" s="38"/>
      <c r="H7" s="47"/>
      <c r="I7" s="47"/>
      <c r="J7" s="38"/>
      <c r="K7" s="38"/>
    </row>
    <row r="8" spans="1:11">
      <c r="A8" s="38" t="s">
        <v>184</v>
      </c>
      <c r="B8" s="48">
        <f>LN(Data!C3)-(LN(B4)/Data!$D$22)</f>
        <v>27.615503831273227</v>
      </c>
      <c r="C8" s="48"/>
      <c r="D8" s="48"/>
      <c r="E8" s="48"/>
      <c r="F8" s="38"/>
      <c r="G8" s="38"/>
      <c r="H8" s="47"/>
      <c r="I8" s="47"/>
      <c r="J8" s="38"/>
      <c r="K8" s="38"/>
    </row>
    <row r="9" spans="1:11">
      <c r="A9" s="38"/>
      <c r="B9" s="48"/>
      <c r="C9" s="48"/>
      <c r="D9" s="48"/>
      <c r="E9" s="62" t="s">
        <v>142</v>
      </c>
      <c r="F9" s="63"/>
      <c r="G9" s="63"/>
      <c r="H9" s="63"/>
      <c r="I9" s="47"/>
      <c r="J9" s="38"/>
      <c r="K9" s="38"/>
    </row>
    <row r="10" spans="1:11">
      <c r="A10" s="38" t="s">
        <v>180</v>
      </c>
      <c r="B10" s="38" t="str">
        <f>A2</f>
        <v>Q_sum, af</v>
      </c>
      <c r="C10" s="38" t="str">
        <f>A3</f>
        <v>Q_wint, af</v>
      </c>
      <c r="D10" s="38" t="str">
        <f>A4</f>
        <v>Q_int, af</v>
      </c>
      <c r="E10" s="38" t="s">
        <v>191</v>
      </c>
      <c r="F10" s="38" t="s">
        <v>14</v>
      </c>
      <c r="G10" s="38" t="s">
        <v>15</v>
      </c>
      <c r="H10" s="38" t="s">
        <v>206</v>
      </c>
      <c r="I10" s="38" t="s">
        <v>14</v>
      </c>
      <c r="J10" s="38" t="s">
        <v>15</v>
      </c>
      <c r="K10" s="38" t="s">
        <v>206</v>
      </c>
    </row>
    <row r="11" spans="1:11">
      <c r="A11" s="38"/>
      <c r="B11" s="38">
        <v>100000</v>
      </c>
      <c r="C11" s="38"/>
      <c r="D11" s="38"/>
      <c r="E11" s="52">
        <f>$F$32</f>
        <v>405.07628630684763</v>
      </c>
      <c r="F11" s="38"/>
      <c r="G11" s="38"/>
      <c r="H11" s="38"/>
      <c r="I11" s="38"/>
      <c r="J11" s="38"/>
      <c r="K11" s="38"/>
    </row>
    <row r="12" spans="1:11">
      <c r="A12" s="47">
        <f t="shared" ref="A12:A20" si="0">A13+5%</f>
        <v>2.0000000000000009</v>
      </c>
      <c r="B12" s="52">
        <f t="shared" ref="B12:B31" si="1">$B$32*A12</f>
        <v>105077.71472251521</v>
      </c>
      <c r="C12" s="52">
        <f t="shared" ref="C12:C31" si="2">$C$32*A12</f>
        <v>50662.46959835555</v>
      </c>
      <c r="D12" s="52">
        <f t="shared" ref="D12:D31" si="3">$D$32*A12</f>
        <v>71302.734990278186</v>
      </c>
      <c r="E12" s="52">
        <f>$F$32</f>
        <v>405.07628630684763</v>
      </c>
      <c r="F12" s="52">
        <f>EXP((LN(B12)/Data!$D$20)+Ogden!$B$6)</f>
        <v>150.4852620291947</v>
      </c>
      <c r="G12" s="52">
        <f>EXP((LN(C12)/Data!$D$21)+Ogden!$B$7)</f>
        <v>64.738281967445104</v>
      </c>
      <c r="H12" s="52">
        <f>EXP((LN(D12)/Data!$D$22)+Ogden!$B$8)</f>
        <v>97.018915647446619</v>
      </c>
      <c r="I12" s="52">
        <f>(EXP($B$6)/(1+(1/Data!$D$20)))*($B$2^(1+(1/Data!$D$20))-B12^(1+(1/Data!$D$20)))</f>
        <v>-12762394.850932391</v>
      </c>
      <c r="J12" s="52">
        <f>(EXP($B$7)/(1+(1/Data!$D$21)))*($B$3^(1+(1/Data!$D$21))-C12^(1+(1/Data!$D$21)))</f>
        <v>-4242643.6062396504</v>
      </c>
      <c r="K12" s="52">
        <f>(EXP($B$8)/(1+(1/Data!$D$22)))*($B$4^(1+(1/Data!$D$22))-D12^(1+(1/Data!$D$22)))</f>
        <v>-7085529.3493013112</v>
      </c>
    </row>
    <row r="13" spans="1:11">
      <c r="A13" s="47">
        <f t="shared" si="0"/>
        <v>1.9500000000000008</v>
      </c>
      <c r="B13" s="52">
        <f t="shared" si="1"/>
        <v>102450.77185445234</v>
      </c>
      <c r="C13" s="52">
        <f t="shared" si="2"/>
        <v>49395.907858396662</v>
      </c>
      <c r="D13" s="52">
        <f t="shared" si="3"/>
        <v>69520.16661552123</v>
      </c>
      <c r="E13" s="52">
        <f t="shared" ref="E13:E51" si="4">$F$32</f>
        <v>405.07628630684763</v>
      </c>
      <c r="F13" s="52">
        <f>EXP((LN(B13)/Data!$D$20)+Ogden!$B$6)</f>
        <v>156.02768349358587</v>
      </c>
      <c r="G13" s="52">
        <f>EXP((LN(C13)/Data!$D$21)+Ogden!$B$7)</f>
        <v>69.222851958730601</v>
      </c>
      <c r="H13" s="52">
        <f>EXP((LN(D13)/Data!$D$22)+Ogden!$B$8)</f>
        <v>102.21798411611684</v>
      </c>
      <c r="I13" s="52">
        <f>(EXP($B$6)/(1+(1/Data!$D$20)))*($B$2^(1+(1/Data!$D$20))-B13^(1+(1/Data!$D$20)))</f>
        <v>-12359873.451621061</v>
      </c>
      <c r="J13" s="52">
        <f>(EXP($B$7)/(1+(1/Data!$D$21)))*($B$3^(1+(1/Data!$D$21))-C13^(1+(1/Data!$D$21)))</f>
        <v>-4157852.2657913282</v>
      </c>
      <c r="K13" s="52">
        <f>(EXP($B$8)/(1+(1/Data!$D$22)))*($B$4^(1+(1/Data!$D$22))-D13^(1+(1/Data!$D$22)))</f>
        <v>-6908012.5165449223</v>
      </c>
    </row>
    <row r="14" spans="1:11">
      <c r="A14" s="47">
        <f t="shared" si="0"/>
        <v>1.9000000000000008</v>
      </c>
      <c r="B14" s="52">
        <f t="shared" si="1"/>
        <v>99823.828986389461</v>
      </c>
      <c r="C14" s="52">
        <f t="shared" si="2"/>
        <v>48129.346118437774</v>
      </c>
      <c r="D14" s="52">
        <f t="shared" si="3"/>
        <v>67737.598240764273</v>
      </c>
      <c r="E14" s="52">
        <f t="shared" si="4"/>
        <v>405.07628630684763</v>
      </c>
      <c r="F14" s="52">
        <f>EXP((LN(B14)/Data!$D$20)+Ogden!$B$6)</f>
        <v>161.92629904008027</v>
      </c>
      <c r="G14" s="52">
        <f>EXP((LN(C14)/Data!$D$21)+Ogden!$B$7)</f>
        <v>74.146973862413731</v>
      </c>
      <c r="H14" s="52">
        <f>EXP((LN(D14)/Data!$D$22)+Ogden!$B$8)</f>
        <v>107.84179974319034</v>
      </c>
      <c r="I14" s="52">
        <f>(EXP($B$6)/(1+(1/Data!$D$20)))*($B$2^(1+(1/Data!$D$20))-B14^(1+(1/Data!$D$20)))</f>
        <v>-11942331.433497442</v>
      </c>
      <c r="J14" s="52">
        <f>(EXP($B$7)/(1+(1/Data!$D$21)))*($B$3^(1+(1/Data!$D$21))-C14^(1+(1/Data!$D$21)))</f>
        <v>-4067108.1080605057</v>
      </c>
      <c r="K14" s="52">
        <f>(EXP($B$8)/(1+(1/Data!$D$22)))*($B$4^(1+(1/Data!$D$22))-D14^(1+(1/Data!$D$22)))</f>
        <v>-6720855.9911286924</v>
      </c>
    </row>
    <row r="15" spans="1:11">
      <c r="A15" s="47">
        <f t="shared" si="0"/>
        <v>1.8500000000000008</v>
      </c>
      <c r="B15" s="52">
        <f t="shared" si="1"/>
        <v>97196.886118326569</v>
      </c>
      <c r="C15" s="52">
        <f t="shared" si="2"/>
        <v>46862.784378478886</v>
      </c>
      <c r="D15" s="52">
        <f t="shared" si="3"/>
        <v>65955.029866007317</v>
      </c>
      <c r="E15" s="52">
        <f t="shared" si="4"/>
        <v>405.07628630684763</v>
      </c>
      <c r="F15" s="52">
        <f>EXP((LN(B15)/Data!$D$20)+Ogden!$B$6)</f>
        <v>168.21430363133538</v>
      </c>
      <c r="G15" s="52">
        <f>EXP((LN(C15)/Data!$D$21)+Ogden!$B$7)</f>
        <v>79.567058951600572</v>
      </c>
      <c r="H15" s="52">
        <f>EXP((LN(D15)/Data!$D$22)+Ogden!$B$8)</f>
        <v>113.93765496162025</v>
      </c>
      <c r="I15" s="52">
        <f>(EXP($B$6)/(1+(1/Data!$D$20)))*($B$2^(1+(1/Data!$D$20))-B15^(1+(1/Data!$D$20)))</f>
        <v>-11508790.330741467</v>
      </c>
      <c r="J15" s="52">
        <f>(EXP($B$7)/(1+(1/Data!$D$21)))*($B$3^(1+(1/Data!$D$21))-C15^(1+(1/Data!$D$21)))</f>
        <v>-3969819.5627900143</v>
      </c>
      <c r="K15" s="52">
        <f>(EXP($B$8)/(1+(1/Data!$D$22)))*($B$4^(1+(1/Data!$D$22))-D15^(1+(1/Data!$D$22)))</f>
        <v>-6523261.4053494679</v>
      </c>
    </row>
    <row r="16" spans="1:11">
      <c r="A16" s="47">
        <f t="shared" si="0"/>
        <v>1.8000000000000007</v>
      </c>
      <c r="B16" s="52">
        <f t="shared" si="1"/>
        <v>94569.943250263692</v>
      </c>
      <c r="C16" s="52">
        <f t="shared" si="2"/>
        <v>45596.22263851999</v>
      </c>
      <c r="D16" s="52">
        <f t="shared" si="3"/>
        <v>64172.461491250368</v>
      </c>
      <c r="E16" s="52">
        <f t="shared" si="4"/>
        <v>405.07628630684763</v>
      </c>
      <c r="F16" s="52">
        <f>EXP((LN(B16)/Data!$D$20)+Ogden!$B$6)</f>
        <v>174.92899960331556</v>
      </c>
      <c r="G16" s="52">
        <f>EXP((LN(C16)/Data!$D$21)+Ogden!$B$7)</f>
        <v>85.548565620183197</v>
      </c>
      <c r="H16" s="52">
        <f>EXP((LN(D16)/Data!$D$22)+Ogden!$B$8)</f>
        <v>120.55958870575198</v>
      </c>
      <c r="I16" s="52">
        <f>(EXP($B$6)/(1+(1/Data!$D$20)))*($B$2^(1+(1/Data!$D$20))-B16^(1+(1/Data!$D$20)))</f>
        <v>-11058179.209915657</v>
      </c>
      <c r="J16" s="52">
        <f>(EXP($B$7)/(1+(1/Data!$D$21)))*($B$3^(1+(1/Data!$D$21))-C16^(1+(1/Data!$D$21)))</f>
        <v>-3865318.0491550653</v>
      </c>
      <c r="K16" s="52">
        <f>(EXP($B$8)/(1+(1/Data!$D$22)))*($B$4^(1+(1/Data!$D$22))-D16^(1+(1/Data!$D$22)))</f>
        <v>-6314340.2364840265</v>
      </c>
    </row>
    <row r="17" spans="1:11">
      <c r="A17" s="47">
        <f t="shared" si="0"/>
        <v>1.7500000000000007</v>
      </c>
      <c r="B17" s="52">
        <f t="shared" si="1"/>
        <v>91943.000382200815</v>
      </c>
      <c r="C17" s="52">
        <f t="shared" si="2"/>
        <v>44329.660898561102</v>
      </c>
      <c r="D17" s="52">
        <f t="shared" si="3"/>
        <v>62389.893116493411</v>
      </c>
      <c r="E17" s="52">
        <f t="shared" si="4"/>
        <v>405.07628630684763</v>
      </c>
      <c r="F17" s="52">
        <f>EXP((LN(B17)/Data!$D$20)+Ogden!$B$6)</f>
        <v>182.11243753872205</v>
      </c>
      <c r="G17" s="52">
        <f>EXP((LN(C17)/Data!$D$21)+Ogden!$B$7)</f>
        <v>92.167757085684485</v>
      </c>
      <c r="H17" s="52">
        <f>EXP((LN(D17)/Data!$D$22)+Ogden!$B$8)</f>
        <v>127.76957230126649</v>
      </c>
      <c r="I17" s="52">
        <f>(EXP($B$6)/(1+(1/Data!$D$20)))*($B$2^(1+(1/Data!$D$20))-B17^(1+(1/Data!$D$20)))</f>
        <v>-10589323.0624467</v>
      </c>
      <c r="J17" s="52">
        <f>(EXP($B$7)/(1+(1/Data!$D$21)))*($B$3^(1+(1/Data!$D$21))-C17^(1+(1/Data!$D$21)))</f>
        <v>-3752845.4417902138</v>
      </c>
      <c r="K17" s="52">
        <f>(EXP($B$8)/(1+(1/Data!$D$22)))*($B$4^(1+(1/Data!$D$22))-D17^(1+(1/Data!$D$22)))</f>
        <v>-6093100.7569487011</v>
      </c>
    </row>
    <row r="18" spans="1:11">
      <c r="A18" s="47">
        <f t="shared" si="0"/>
        <v>1.7000000000000006</v>
      </c>
      <c r="B18" s="52">
        <f t="shared" si="1"/>
        <v>89316.057514137923</v>
      </c>
      <c r="C18" s="52">
        <f t="shared" si="2"/>
        <v>43063.099158602214</v>
      </c>
      <c r="D18" s="52">
        <f t="shared" si="3"/>
        <v>60607.324741736455</v>
      </c>
      <c r="E18" s="52">
        <f t="shared" si="4"/>
        <v>405.07628630684763</v>
      </c>
      <c r="F18" s="52">
        <f>EXP((LN(B18)/Data!$D$20)+Ogden!$B$6)</f>
        <v>189.81217905657448</v>
      </c>
      <c r="G18" s="52">
        <f>EXP((LN(C18)/Data!$D$21)+Ogden!$B$7)</f>
        <v>99.513863752741074</v>
      </c>
      <c r="H18" s="52">
        <f>EXP((LN(D18)/Data!$D$22)+Ogden!$B$8)</f>
        <v>135.63894542933133</v>
      </c>
      <c r="I18" s="52">
        <f>(EXP($B$6)/(1+(1/Data!$D$20)))*($B$2^(1+(1/Data!$D$20))-B18^(1+(1/Data!$D$20)))</f>
        <v>-10100929.358805945</v>
      </c>
      <c r="J18" s="52">
        <f>(EXP($B$7)/(1+(1/Data!$D$21)))*($B$3^(1+(1/Data!$D$21))-C18^(1+(1/Data!$D$21)))</f>
        <v>-3631539.0643157489</v>
      </c>
      <c r="K18" s="52">
        <f>(EXP($B$8)/(1+(1/Data!$D$22)))*($B$4^(1+(1/Data!$D$22))-D18^(1+(1/Data!$D$22)))</f>
        <v>-5858432.6557538537</v>
      </c>
    </row>
    <row r="19" spans="1:11">
      <c r="A19" s="47">
        <f t="shared" si="0"/>
        <v>1.6500000000000006</v>
      </c>
      <c r="B19" s="52">
        <f t="shared" si="1"/>
        <v>86689.114646075046</v>
      </c>
      <c r="C19" s="52">
        <f t="shared" si="2"/>
        <v>41796.537418643326</v>
      </c>
      <c r="D19" s="52">
        <f t="shared" si="3"/>
        <v>58824.756366979498</v>
      </c>
      <c r="E19" s="52">
        <f t="shared" si="4"/>
        <v>405.07628630684763</v>
      </c>
      <c r="F19" s="52">
        <f>EXP((LN(B19)/Data!$D$20)+Ogden!$B$6)</f>
        <v>198.08220913470109</v>
      </c>
      <c r="G19" s="52">
        <f>EXP((LN(C19)/Data!$D$21)+Ogden!$B$7)</f>
        <v>107.69175884024872</v>
      </c>
      <c r="H19" s="52">
        <f>EXP((LN(D19)/Data!$D$22)+Ogden!$B$8)</f>
        <v>144.25016421460649</v>
      </c>
      <c r="I19" s="52">
        <f>(EXP($B$6)/(1+(1/Data!$D$20)))*($B$2^(1+(1/Data!$D$20))-B19^(1+(1/Data!$D$20)))</f>
        <v>-9591572.4092474561</v>
      </c>
      <c r="J19" s="52">
        <f>(EXP($B$7)/(1+(1/Data!$D$21)))*($B$3^(1+(1/Data!$D$21))-C19^(1+(1/Data!$D$21)))</f>
        <v>-3500413.6320985719</v>
      </c>
      <c r="K19" s="52">
        <f>(EXP($B$8)/(1+(1/Data!$D$22)))*($B$4^(1+(1/Data!$D$22))-D19^(1+(1/Data!$D$22)))</f>
        <v>-5609088.8324702671</v>
      </c>
    </row>
    <row r="20" spans="1:11">
      <c r="A20" s="47">
        <f t="shared" si="0"/>
        <v>1.6000000000000005</v>
      </c>
      <c r="B20" s="52">
        <f t="shared" si="1"/>
        <v>84062.171778012169</v>
      </c>
      <c r="C20" s="52">
        <f t="shared" si="2"/>
        <v>40529.975678684437</v>
      </c>
      <c r="D20" s="52">
        <f t="shared" si="3"/>
        <v>57042.187992222542</v>
      </c>
      <c r="E20" s="52">
        <f t="shared" si="4"/>
        <v>405.07628630684763</v>
      </c>
      <c r="F20" s="52">
        <f>EXP((LN(B20)/Data!$D$20)+Ogden!$B$6)</f>
        <v>206.9840329027862</v>
      </c>
      <c r="G20" s="52">
        <f>EXP((LN(C20)/Data!$D$21)+Ogden!$B$7)</f>
        <v>116.82528943059604</v>
      </c>
      <c r="H20" s="52">
        <f>EXP((LN(D20)/Data!$D$22)+Ogden!$B$8)</f>
        <v>153.69894134054061</v>
      </c>
      <c r="I20" s="52">
        <f>(EXP($B$6)/(1+(1/Data!$D$20)))*($B$2^(1+(1/Data!$D$20))-B20^(1+(1/Data!$D$20)))</f>
        <v>-9059675.094221836</v>
      </c>
      <c r="J20" s="52">
        <f>(EXP($B$7)/(1+(1/Data!$D$21)))*($B$3^(1+(1/Data!$D$21))-C20^(1+(1/Data!$D$21)))</f>
        <v>-3358339.4082312761</v>
      </c>
      <c r="K20" s="52">
        <f>(EXP($B$8)/(1+(1/Data!$D$22)))*($B$4^(1+(1/Data!$D$22))-D20^(1+(1/Data!$D$22)))</f>
        <v>-5343663.7391482107</v>
      </c>
    </row>
    <row r="21" spans="1:11">
      <c r="A21" s="47">
        <f t="shared" ref="A21:A30" si="5">A22+5%</f>
        <v>1.5500000000000005</v>
      </c>
      <c r="B21" s="52">
        <f t="shared" si="1"/>
        <v>81435.228909949277</v>
      </c>
      <c r="C21" s="52">
        <f t="shared" si="2"/>
        <v>39263.413938725549</v>
      </c>
      <c r="D21" s="52">
        <f t="shared" si="3"/>
        <v>55259.619617465592</v>
      </c>
      <c r="E21" s="52">
        <f t="shared" si="4"/>
        <v>405.07628630684763</v>
      </c>
      <c r="F21" s="52">
        <f>EXP((LN(B21)/Data!$D$20)+Ogden!$B$6)</f>
        <v>216.58800140594991</v>
      </c>
      <c r="G21" s="52">
        <f>EXP((LN(C21)/Data!$D$21)+Ogden!$B$7)</f>
        <v>127.06145047427756</v>
      </c>
      <c r="H21" s="52">
        <f>EXP((LN(D21)/Data!$D$22)+Ogden!$B$8)</f>
        <v>164.09688183968839</v>
      </c>
      <c r="I21" s="52">
        <f>(EXP($B$6)/(1+(1/Data!$D$20)))*($B$2^(1+(1/Data!$D$20))-B21^(1+(1/Data!$D$20)))</f>
        <v>-8503487.4238100611</v>
      </c>
      <c r="J21" s="52">
        <f>(EXP($B$7)/(1+(1/Data!$D$21)))*($B$3^(1+(1/Data!$D$21))-C21^(1+(1/Data!$D$21)))</f>
        <v>-3204015.6293888902</v>
      </c>
      <c r="K21" s="52">
        <f>(EXP($B$8)/(1+(1/Data!$D$22)))*($B$4^(1+(1/Data!$D$22))-D21^(1+(1/Data!$D$22)))</f>
        <v>-5060567.4830520386</v>
      </c>
    </row>
    <row r="22" spans="1:11">
      <c r="A22" s="47">
        <f t="shared" si="5"/>
        <v>1.5000000000000004</v>
      </c>
      <c r="B22" s="52">
        <f t="shared" si="1"/>
        <v>78808.2860418864</v>
      </c>
      <c r="C22" s="52">
        <f t="shared" si="2"/>
        <v>37996.852198766661</v>
      </c>
      <c r="D22" s="52">
        <f t="shared" si="3"/>
        <v>53477.051242708636</v>
      </c>
      <c r="E22" s="52">
        <f t="shared" si="4"/>
        <v>405.07628630684763</v>
      </c>
      <c r="F22" s="52">
        <f>EXP((LN(B22)/Data!$D$20)+Ogden!$B$6)</f>
        <v>226.9749234269303</v>
      </c>
      <c r="G22" s="52">
        <f>EXP((LN(C22)/Data!$D$21)+Ogden!$B$7)</f>
        <v>138.5756511869651</v>
      </c>
      <c r="H22" s="52">
        <f>EXP((LN(D22)/Data!$D$22)+Ogden!$B$8)</f>
        <v>175.57475005044753</v>
      </c>
      <c r="I22" s="52">
        <f>(EXP($B$6)/(1+(1/Data!$D$20)))*($B$2^(1+(1/Data!$D$20))-B22^(1+(1/Data!$D$20)))</f>
        <v>-7921061.2528567491</v>
      </c>
      <c r="J22" s="52">
        <f>(EXP($B$7)/(1+(1/Data!$D$21)))*($B$3^(1+(1/Data!$D$21))-C22^(1+(1/Data!$D$21)))</f>
        <v>-3035937.9835531786</v>
      </c>
      <c r="K22" s="52">
        <f>(EXP($B$8)/(1+(1/Data!$D$22)))*($B$4^(1+(1/Data!$D$22))-D22^(1+(1/Data!$D$22)))</f>
        <v>-4757994.6913382951</v>
      </c>
    </row>
    <row r="23" spans="1:11">
      <c r="A23" s="47">
        <f t="shared" si="5"/>
        <v>1.4500000000000004</v>
      </c>
      <c r="B23" s="52">
        <f t="shared" si="1"/>
        <v>76181.343173823523</v>
      </c>
      <c r="C23" s="52">
        <f t="shared" si="2"/>
        <v>36730.290458807765</v>
      </c>
      <c r="D23" s="52">
        <f t="shared" si="3"/>
        <v>51694.48286795168</v>
      </c>
      <c r="E23" s="52">
        <f t="shared" si="4"/>
        <v>405.07628630684763</v>
      </c>
      <c r="F23" s="52">
        <f>EXP((LN(B23)/Data!$D$20)+Ogden!$B$6)</f>
        <v>238.23803716462263</v>
      </c>
      <c r="G23" s="52">
        <f>EXP((LN(C23)/Data!$D$21)+Ogden!$B$7)</f>
        <v>151.57840852777576</v>
      </c>
      <c r="H23" s="52">
        <f>EXP((LN(D23)/Data!$D$22)+Ogden!$B$8)</f>
        <v>188.28654631819472</v>
      </c>
      <c r="I23" s="52">
        <f>(EXP($B$6)/(1+(1/Data!$D$20)))*($B$2^(1+(1/Data!$D$20))-B23^(1+(1/Data!$D$20)))</f>
        <v>-7310220.3076166129</v>
      </c>
      <c r="J23" s="52">
        <f>(EXP($B$7)/(1+(1/Data!$D$21)))*($B$3^(1+(1/Data!$D$21))-C23^(1+(1/Data!$D$21)))</f>
        <v>-2852358.5545952944</v>
      </c>
      <c r="K23" s="52">
        <f>(EXP($B$8)/(1+(1/Data!$D$22)))*($B$4^(1+(1/Data!$D$22))-D23^(1+(1/Data!$D$22)))</f>
        <v>-4433886.8608411886</v>
      </c>
    </row>
    <row r="24" spans="1:11">
      <c r="A24" s="47">
        <f t="shared" si="5"/>
        <v>1.4000000000000004</v>
      </c>
      <c r="B24" s="52">
        <f t="shared" si="1"/>
        <v>73554.400305760631</v>
      </c>
      <c r="C24" s="52">
        <f t="shared" si="2"/>
        <v>35463.728718848877</v>
      </c>
      <c r="D24" s="52">
        <f t="shared" si="3"/>
        <v>49911.914493194723</v>
      </c>
      <c r="E24" s="52">
        <f t="shared" si="4"/>
        <v>405.07628630684763</v>
      </c>
      <c r="F24" s="52">
        <f>EXP((LN(B24)/Data!$D$20)+Ogden!$B$6)</f>
        <v>250.48543794413962</v>
      </c>
      <c r="G24" s="52">
        <f>EXP((LN(C24)/Data!$D$21)+Ogden!$B$7)</f>
        <v>166.32392103205112</v>
      </c>
      <c r="H24" s="52">
        <f>EXP((LN(D24)/Data!$D$22)+Ogden!$B$8)</f>
        <v>202.41463087054368</v>
      </c>
      <c r="I24" s="52">
        <f>(EXP($B$6)/(1+(1/Data!$D$20)))*($B$2^(1+(1/Data!$D$20))-B24^(1+(1/Data!$D$20)))</f>
        <v>-6668524.4579248615</v>
      </c>
      <c r="J24" s="52">
        <f>(EXP($B$7)/(1+(1/Data!$D$21)))*($B$3^(1+(1/Data!$D$21))-C24^(1+(1/Data!$D$21)))</f>
        <v>-2651236.1538921525</v>
      </c>
      <c r="K24" s="52">
        <f>(EXP($B$8)/(1+(1/Data!$D$22)))*($B$4^(1+(1/Data!$D$22))-D24^(1+(1/Data!$D$22)))</f>
        <v>-4085886.5481107584</v>
      </c>
    </row>
    <row r="25" spans="1:11">
      <c r="A25" s="47">
        <f t="shared" si="5"/>
        <v>1.3500000000000003</v>
      </c>
      <c r="B25" s="52">
        <f t="shared" si="1"/>
        <v>70927.457437697754</v>
      </c>
      <c r="C25" s="52">
        <f t="shared" si="2"/>
        <v>34197.166978889989</v>
      </c>
      <c r="D25" s="52">
        <f t="shared" si="3"/>
        <v>48129.346118437767</v>
      </c>
      <c r="E25" s="52">
        <f t="shared" si="4"/>
        <v>405.07628630684763</v>
      </c>
      <c r="F25" s="52">
        <f>EXP((LN(B25)/Data!$D$20)+Ogden!$B$6)</f>
        <v>263.84308838435834</v>
      </c>
      <c r="G25" s="52">
        <f>EXP((LN(C25)/Data!$D$21)+Ogden!$B$7)</f>
        <v>183.12114298753232</v>
      </c>
      <c r="H25" s="52">
        <f>EXP((LN(D25)/Data!$D$22)+Ogden!$B$8)</f>
        <v>218.17621349341732</v>
      </c>
      <c r="I25" s="52">
        <f>(EXP($B$6)/(1+(1/Data!$D$20)))*($B$2^(1+(1/Data!$D$20))-B25^(1+(1/Data!$D$20)))</f>
        <v>-5993226.878545857</v>
      </c>
      <c r="J25" s="52">
        <f>(EXP($B$7)/(1+(1/Data!$D$21)))*($B$3^(1+(1/Data!$D$21))-C25^(1+(1/Data!$D$21)))</f>
        <v>-2430174.2855517208</v>
      </c>
      <c r="K25" s="52">
        <f>(EXP($B$8)/(1+(1/Data!$D$22)))*($B$4^(1+(1/Data!$D$22))-D25^(1+(1/Data!$D$22)))</f>
        <v>-3711281.2631815304</v>
      </c>
    </row>
    <row r="26" spans="1:11">
      <c r="A26" s="47">
        <f t="shared" si="5"/>
        <v>1.3000000000000003</v>
      </c>
      <c r="B26" s="52">
        <f t="shared" si="1"/>
        <v>68300.514569634877</v>
      </c>
      <c r="C26" s="52">
        <f t="shared" si="2"/>
        <v>32930.605238931101</v>
      </c>
      <c r="D26" s="52">
        <f t="shared" si="3"/>
        <v>46346.77774368081</v>
      </c>
      <c r="E26" s="52">
        <f t="shared" si="4"/>
        <v>405.07628630684763</v>
      </c>
      <c r="F26" s="52">
        <f>EXP((LN(B26)/Data!$D$20)+Ogden!$B$6)</f>
        <v>278.45857875567862</v>
      </c>
      <c r="G26" s="52">
        <f>EXP((LN(C26)/Data!$D$21)+Ogden!$B$7)</f>
        <v>202.34821600209679</v>
      </c>
      <c r="H26" s="52">
        <f>EXP((LN(D26)/Data!$D$22)+Ogden!$B$8)</f>
        <v>235.83164086881374</v>
      </c>
      <c r="I26" s="52">
        <f>(EXP($B$6)/(1+(1/Data!$D$20)))*($B$2^(1+(1/Data!$D$20))-B26^(1+(1/Data!$D$20)))</f>
        <v>-5281222.3598431312</v>
      </c>
      <c r="J26" s="52">
        <f>(EXP($B$7)/(1+(1/Data!$D$21)))*($B$3^(1+(1/Data!$D$21))-C26^(1+(1/Data!$D$21)))</f>
        <v>-2186343.0653748591</v>
      </c>
      <c r="K26" s="52">
        <f>(EXP($B$8)/(1+(1/Data!$D$22)))*($B$4^(1+(1/Data!$D$22))-D26^(1+(1/Data!$D$22)))</f>
        <v>-3306934.2673248001</v>
      </c>
    </row>
    <row r="27" spans="1:11">
      <c r="A27" s="47">
        <f t="shared" si="5"/>
        <v>1.2500000000000002</v>
      </c>
      <c r="B27" s="52">
        <f t="shared" si="1"/>
        <v>65673.571701572</v>
      </c>
      <c r="C27" s="52">
        <f t="shared" si="2"/>
        <v>31664.043498972213</v>
      </c>
      <c r="D27" s="52">
        <f t="shared" si="3"/>
        <v>44564.209368923854</v>
      </c>
      <c r="E27" s="52">
        <f t="shared" si="4"/>
        <v>405.07628630684763</v>
      </c>
      <c r="F27" s="52">
        <f>EXP((LN(B27)/Data!$D$20)+Ogden!$B$6)</f>
        <v>294.50586227261732</v>
      </c>
      <c r="G27" s="52">
        <f>EXP((LN(C27)/Data!$D$21)+Ogden!$B$7)</f>
        <v>224.4714562152862</v>
      </c>
      <c r="H27" s="52">
        <f>EXP((LN(D27)/Data!$D$22)+Ogden!$B$8)</f>
        <v>255.69507316846261</v>
      </c>
      <c r="I27" s="52">
        <f>(EXP($B$6)/(1+(1/Data!$D$20)))*($B$2^(1+(1/Data!$D$20))-B27^(1+(1/Data!$D$20)))</f>
        <v>-4528984.5164885409</v>
      </c>
      <c r="J27" s="52">
        <f>(EXP($B$7)/(1+(1/Data!$D$21)))*($B$3^(1+(1/Data!$D$21))-C27^(1+(1/Data!$D$21)))</f>
        <v>-1916380.1254029481</v>
      </c>
      <c r="K27" s="52">
        <f>(EXP($B$8)/(1+(1/Data!$D$22)))*($B$4^(1+(1/Data!$D$22))-D27^(1+(1/Data!$D$22)))</f>
        <v>-2869198.5711335363</v>
      </c>
    </row>
    <row r="28" spans="1:11">
      <c r="A28" s="47">
        <f t="shared" si="5"/>
        <v>1.2000000000000002</v>
      </c>
      <c r="B28" s="52">
        <f t="shared" si="1"/>
        <v>63046.628833509109</v>
      </c>
      <c r="C28" s="52">
        <f t="shared" si="2"/>
        <v>30397.481759013321</v>
      </c>
      <c r="D28" s="52">
        <f t="shared" si="3"/>
        <v>42781.640994166897</v>
      </c>
      <c r="E28" s="52">
        <f t="shared" si="4"/>
        <v>405.07628630684763</v>
      </c>
      <c r="F28" s="52">
        <f>EXP((LN(B28)/Data!$D$20)+Ogden!$B$6)</f>
        <v>312.1912696646192</v>
      </c>
      <c r="G28" s="52">
        <f>EXP((LN(C28)/Data!$D$21)+Ogden!$B$7)</f>
        <v>250.07059294671424</v>
      </c>
      <c r="H28" s="52">
        <f>EXP((LN(D28)/Data!$D$22)+Ogden!$B$8)</f>
        <v>278.14836961223068</v>
      </c>
      <c r="I28" s="52">
        <f>(EXP($B$6)/(1+(1/Data!$D$20)))*($B$2^(1+(1/Data!$D$20))-B28^(1+(1/Data!$D$20)))</f>
        <v>-3732488.9538911064</v>
      </c>
      <c r="J28" s="52">
        <f>(EXP($B$7)/(1+(1/Data!$D$21)))*($B$3^(1+(1/Data!$D$21))-C28^(1+(1/Data!$D$21)))</f>
        <v>-1616263.7232600262</v>
      </c>
      <c r="K28" s="52">
        <f>(EXP($B$8)/(1+(1/Data!$D$22)))*($B$4^(1+(1/Data!$D$22))-D28^(1+(1/Data!$D$22)))</f>
        <v>-2393809.1836731983</v>
      </c>
    </row>
    <row r="29" spans="1:11">
      <c r="A29" s="47">
        <f t="shared" si="5"/>
        <v>1.1500000000000001</v>
      </c>
      <c r="B29" s="52">
        <f t="shared" si="1"/>
        <v>60419.685965446231</v>
      </c>
      <c r="C29" s="52">
        <f t="shared" si="2"/>
        <v>29130.920019054432</v>
      </c>
      <c r="D29" s="52">
        <f t="shared" si="3"/>
        <v>40999.072619409948</v>
      </c>
      <c r="E29" s="52">
        <f t="shared" si="4"/>
        <v>405.07628630684763</v>
      </c>
      <c r="F29" s="52">
        <f>EXP((LN(B29)/Data!$D$20)+Ogden!$B$6)</f>
        <v>331.76121988486972</v>
      </c>
      <c r="G29" s="52">
        <f>EXP((LN(C29)/Data!$D$21)+Ogden!$B$7)</f>
        <v>279.87269031514001</v>
      </c>
      <c r="H29" s="52">
        <f>EXP((LN(D29)/Data!$D$22)+Ogden!$B$8)</f>
        <v>303.65933280364942</v>
      </c>
      <c r="I29" s="52">
        <f>(EXP($B$6)/(1+(1/Data!$D$20)))*($B$2^(1+(1/Data!$D$20))-B29^(1+(1/Data!$D$20)))</f>
        <v>-2887118.5134078437</v>
      </c>
      <c r="J29" s="52">
        <f>(EXP($B$7)/(1+(1/Data!$D$21)))*($B$3^(1+(1/Data!$D$21))-C29^(1+(1/Data!$D$21)))</f>
        <v>-1281148.6925843211</v>
      </c>
      <c r="K29" s="52">
        <f>(EXP($B$8)/(1+(1/Data!$D$22)))*($B$4^(1+(1/Data!$D$22))-D29^(1+(1/Data!$D$22)))</f>
        <v>-1875746.9264347039</v>
      </c>
    </row>
    <row r="30" spans="1:11">
      <c r="A30" s="47">
        <f t="shared" si="5"/>
        <v>1.1000000000000001</v>
      </c>
      <c r="B30" s="52">
        <f t="shared" si="1"/>
        <v>57792.743097383347</v>
      </c>
      <c r="C30" s="52">
        <f t="shared" si="2"/>
        <v>27864.358279095544</v>
      </c>
      <c r="D30" s="52">
        <f t="shared" si="3"/>
        <v>39216.504244652991</v>
      </c>
      <c r="E30" s="52">
        <f t="shared" si="4"/>
        <v>405.07628630684763</v>
      </c>
      <c r="F30" s="52">
        <f>EXP((LN(B30)/Data!$D$20)+Ogden!$B$6)</f>
        <v>353.51220499727111</v>
      </c>
      <c r="G30" s="52">
        <f>EXP((LN(C30)/Data!$D$21)+Ogden!$B$7)</f>
        <v>314.79828788972497</v>
      </c>
      <c r="H30" s="52">
        <f>EXP((LN(D30)/Data!$D$22)+Ogden!$B$8)</f>
        <v>332.80594619907691</v>
      </c>
      <c r="I30" s="52">
        <f>(EXP($B$6)/(1+(1/Data!$D$20)))*($B$2^(1+(1/Data!$D$20))-B30^(1+(1/Data!$D$20)))</f>
        <v>-1987545.4235153659</v>
      </c>
      <c r="J30" s="52">
        <f>(EXP($B$7)/(1+(1/Data!$D$21)))*($B$3^(1+(1/Data!$D$21))-C30^(1+(1/Data!$D$21)))</f>
        <v>-905152.13979348459</v>
      </c>
      <c r="K30" s="52">
        <f>(EXP($B$8)/(1+(1/Data!$D$22)))*($B$4^(1+(1/Data!$D$22))-D30^(1+(1/Data!$D$22)))</f>
        <v>-1309064.6724094816</v>
      </c>
    </row>
    <row r="31" spans="1:11">
      <c r="A31" s="47">
        <f>A32+5%</f>
        <v>1.05</v>
      </c>
      <c r="B31" s="52">
        <f t="shared" si="1"/>
        <v>55165.80022932047</v>
      </c>
      <c r="C31" s="52">
        <f t="shared" si="2"/>
        <v>26597.796539136652</v>
      </c>
      <c r="D31" s="52">
        <f t="shared" si="3"/>
        <v>37433.935869896035</v>
      </c>
      <c r="E31" s="52">
        <f t="shared" si="4"/>
        <v>405.07628630684763</v>
      </c>
      <c r="F31" s="52">
        <f>EXP((LN(B31)/Data!$D$20)+Ogden!$B$6)</f>
        <v>377.80386152301361</v>
      </c>
      <c r="G31" s="52">
        <f>EXP((LN(C31)/Data!$D$21)+Ogden!$B$7)</f>
        <v>356.02498188901893</v>
      </c>
      <c r="H31" s="52">
        <f>EXP((LN(D31)/Data!$D$22)+Ogden!$B$8)</f>
        <v>366.30896134515427</v>
      </c>
      <c r="I31" s="52">
        <f>(EXP($B$6)/(1+(1/Data!$D$20)))*($B$2^(1+(1/Data!$D$20))-B31^(1+(1/Data!$D$20)))</f>
        <v>-1027583.3774708761</v>
      </c>
      <c r="J31" s="52">
        <f>(EXP($B$7)/(1+(1/Data!$D$21)))*($B$3^(1+(1/Data!$D$21))-C31^(1+(1/Data!$D$21)))</f>
        <v>-481070.32282646396</v>
      </c>
      <c r="K31" s="52">
        <f>(EXP($B$8)/(1+(1/Data!$D$22)))*($B$4^(1+(1/Data!$D$22))-D31^(1+(1/Data!$D$22)))</f>
        <v>-686663.35704361787</v>
      </c>
    </row>
    <row r="32" spans="1:11">
      <c r="A32" s="47">
        <v>1</v>
      </c>
      <c r="B32" s="52">
        <f>B2</f>
        <v>52538.857361257586</v>
      </c>
      <c r="C32" s="52">
        <f>B3</f>
        <v>25331.234799177764</v>
      </c>
      <c r="D32" s="52">
        <f>B4</f>
        <v>35651.367495139079</v>
      </c>
      <c r="E32" s="52">
        <f t="shared" si="4"/>
        <v>405.07628630684763</v>
      </c>
      <c r="F32" s="52">
        <f>EXP((LN(B32)/Data!$D$20)+Ogden!$B$6)</f>
        <v>405.07628630684763</v>
      </c>
      <c r="G32" s="52">
        <f>EXP((LN(C32)/Data!$D$21)+Ogden!$B$7)</f>
        <v>405.0762863068469</v>
      </c>
      <c r="H32" s="52">
        <f>EXP((LN(D32)/Data!$D$22)+Ogden!$B$8)</f>
        <v>405.0762863068469</v>
      </c>
      <c r="I32" s="38">
        <f>(EXP($B$6)/(1+(1/Data!$D$20)))*($B$2^(1+(1/Data!$D$20))-B32^(1+(1/Data!$D$20)))</f>
        <v>0</v>
      </c>
      <c r="J32" s="38">
        <f>(EXP($B$7)/(1+(1/Data!$D$21)))*($B$3^(1+(1/Data!$D$21))-C32^(1+(1/Data!$D$21)))</f>
        <v>0</v>
      </c>
      <c r="K32" s="38">
        <f>(EXP($B$8)/(1+(1/Data!$D$22)))*($B$4^(1+(1/Data!$D$22))-D32^(1+(1/Data!$D$22)))</f>
        <v>0</v>
      </c>
    </row>
    <row r="33" spans="1:11">
      <c r="A33" s="47">
        <v>0.95</v>
      </c>
      <c r="B33" s="52">
        <f>$B$32*A33</f>
        <v>49911.914493194701</v>
      </c>
      <c r="C33" s="52">
        <f>$C$32*A33</f>
        <v>24064.673059218876</v>
      </c>
      <c r="D33" s="52">
        <f>$D$32*A33</f>
        <v>33868.799120382122</v>
      </c>
      <c r="E33" s="52">
        <f t="shared" si="4"/>
        <v>405.07628630684763</v>
      </c>
      <c r="F33" s="52">
        <f>EXP((LN(B33)/Data!$D$20)+Ogden!$B$6)</f>
        <v>435.87327414057728</v>
      </c>
      <c r="G33" s="52">
        <f>EXP((LN(C33)/Data!$D$21)+Ogden!$B$7)</f>
        <v>463.94775857939919</v>
      </c>
      <c r="H33" s="52">
        <f>EXP((LN(D33)/Data!$D$22)+Ogden!$B$8)</f>
        <v>450.2643165726596</v>
      </c>
      <c r="I33" s="52">
        <f>(EXP($B$6)/(1+(1/Data!$D$20)))*($B$2^(1+(1/Data!$D$20))-B33^(1+(1/Data!$D$20)))/1000000</f>
        <v>1.1037235114964545</v>
      </c>
      <c r="J33" s="52">
        <f>(EXP($B$7)/(1+(1/Data!$D$21)))*($B$3^(1+(1/Data!$D$21))-C33^(1+(1/Data!$D$21)))/1000000</f>
        <v>0.54917481246400535</v>
      </c>
      <c r="K33" s="52">
        <f>(EXP($B$8)/(1+(1/Data!$D$22)))*($B$4^(1+(1/Data!$D$22))-D33^(1+(1/Data!$D$22)))/1000000</f>
        <v>0.76129757098299822</v>
      </c>
    </row>
    <row r="34" spans="1:11">
      <c r="A34" s="47">
        <v>0.9</v>
      </c>
      <c r="B34" s="52">
        <f t="shared" ref="B34:B51" si="6">$B$32*A34</f>
        <v>47284.971625131831</v>
      </c>
      <c r="C34" s="52">
        <f t="shared" ref="C34:C51" si="7">$C$32*A34</f>
        <v>22798.111319259988</v>
      </c>
      <c r="D34" s="52">
        <f t="shared" ref="D34:D51" si="8">$D$32*A34</f>
        <v>32086.230745625173</v>
      </c>
      <c r="E34" s="52">
        <f t="shared" si="4"/>
        <v>405.07628630684763</v>
      </c>
      <c r="F34" s="52">
        <f>EXP((LN(B34)/Data!$D$20)+Ogden!$B$6)</f>
        <v>470.87394852617655</v>
      </c>
      <c r="G34" s="52">
        <f>EXP((LN(C34)/Data!$D$21)+Ogden!$B$7)</f>
        <v>535.28907791726022</v>
      </c>
      <c r="H34" s="52">
        <f>EXP((LN(D34)/Data!$D$22)+Ogden!$B$8)</f>
        <v>503.36401046852978</v>
      </c>
      <c r="I34" s="52">
        <f>(EXP($B$6)/(1+(1/Data!$D$20)))*($B$2^(1+(1/Data!$D$20))-B34^(1+(1/Data!$D$20)))/1000000</f>
        <v>2.2937041595314938</v>
      </c>
      <c r="J34" s="52">
        <f>(EXP($B$7)/(1+(1/Data!$D$21)))*($B$3^(1+(1/Data!$D$21))-C34^(1+(1/Data!$D$21)))/1000000</f>
        <v>1.1804888139396703</v>
      </c>
      <c r="K34" s="52">
        <f>(EXP($B$8)/(1+(1/Data!$D$22)))*($B$4^(1+(1/Data!$D$22))-D34^(1+(1/Data!$D$22)))/1000000</f>
        <v>1.609945956288978</v>
      </c>
    </row>
    <row r="35" spans="1:11">
      <c r="A35" s="47">
        <v>0.85</v>
      </c>
      <c r="B35" s="52">
        <f t="shared" si="6"/>
        <v>44658.028757068947</v>
      </c>
      <c r="C35" s="52">
        <f t="shared" si="7"/>
        <v>21531.5495793011</v>
      </c>
      <c r="D35" s="52">
        <f t="shared" si="8"/>
        <v>30303.662370868216</v>
      </c>
      <c r="E35" s="52">
        <f t="shared" si="4"/>
        <v>405.07628630684763</v>
      </c>
      <c r="F35" s="52">
        <f>EXP((LN(B35)/Data!$D$20)+Ogden!$B$6)</f>
        <v>510.9364967124219</v>
      </c>
      <c r="G35" s="52">
        <f>EXP((LN(C35)/Data!$D$21)+Ogden!$B$7)</f>
        <v>622.6718587508534</v>
      </c>
      <c r="H35" s="52">
        <f>EXP((LN(D35)/Data!$D$22)+Ogden!$B$8)</f>
        <v>566.32379290601205</v>
      </c>
      <c r="I35" s="52">
        <f>(EXP($B$6)/(1+(1/Data!$D$20)))*($B$2^(1+(1/Data!$D$20))-B35^(1+(1/Data!$D$20)))/1000000</f>
        <v>3.5820669185372984</v>
      </c>
      <c r="J35" s="52">
        <f>(EXP($B$7)/(1+(1/Data!$D$21)))*($B$3^(1+(1/Data!$D$21))-C35^(1+(1/Data!$D$21)))/1000000</f>
        <v>1.9118823582023912</v>
      </c>
      <c r="K35" s="52">
        <f>(EXP($B$8)/(1+(1/Data!$D$22)))*($B$4^(1+(1/Data!$D$22))-D35^(1+(1/Data!$D$22)))/1000000</f>
        <v>2.5617054583865322</v>
      </c>
    </row>
    <row r="36" spans="1:11">
      <c r="A36" s="47">
        <v>0.8</v>
      </c>
      <c r="B36" s="52">
        <f t="shared" si="6"/>
        <v>42031.08588900607</v>
      </c>
      <c r="C36" s="52">
        <f t="shared" si="7"/>
        <v>20264.987839342211</v>
      </c>
      <c r="D36" s="52">
        <f t="shared" si="8"/>
        <v>28521.093996111264</v>
      </c>
      <c r="E36" s="52">
        <f t="shared" si="4"/>
        <v>405.07628630684763</v>
      </c>
      <c r="F36" s="52">
        <f>EXP((LN(B36)/Data!$D$20)+Ogden!$B$6)</f>
        <v>557.15969951136401</v>
      </c>
      <c r="G36" s="52">
        <f>EXP((LN(C36)/Data!$D$21)+Ogden!$B$7)</f>
        <v>730.99181737732204</v>
      </c>
      <c r="H36" s="52">
        <f>EXP((LN(D36)/Data!$D$22)+Ogden!$B$8)</f>
        <v>641.72842947207744</v>
      </c>
      <c r="I36" s="52">
        <f>(EXP($B$6)/(1+(1/Data!$D$20)))*($B$2^(1+(1/Data!$D$20))-B36^(1+(1/Data!$D$20)))/1000000</f>
        <v>4.9834912338203106</v>
      </c>
      <c r="J36" s="52">
        <f>(EXP($B$7)/(1+(1/Data!$D$21)))*($B$3^(1+(1/Data!$D$21))-C36^(1+(1/Data!$D$21)))/1000000</f>
        <v>2.766606168780597</v>
      </c>
      <c r="K36" s="52">
        <f>(EXP($B$8)/(1+(1/Data!$D$22)))*($B$4^(1+(1/Data!$D$22))-D36^(1+(1/Data!$D$22)))/1000000</f>
        <v>3.6363447679132839</v>
      </c>
    </row>
    <row r="37" spans="1:11">
      <c r="A37" s="47">
        <v>0.75</v>
      </c>
      <c r="B37" s="52">
        <f t="shared" si="6"/>
        <v>39404.143020943186</v>
      </c>
      <c r="C37" s="52">
        <f t="shared" si="7"/>
        <v>18998.426099383323</v>
      </c>
      <c r="D37" s="52">
        <f t="shared" si="8"/>
        <v>26738.525621354311</v>
      </c>
      <c r="E37" s="52">
        <f t="shared" si="4"/>
        <v>405.07628630684763</v>
      </c>
      <c r="F37" s="52">
        <f>EXP((LN(B37)/Data!$D$20)+Ogden!$B$6)</f>
        <v>610.97118632603872</v>
      </c>
      <c r="G37" s="52">
        <f>EXP((LN(C37)/Data!$D$21)+Ogden!$B$7)</f>
        <v>867.08680628251068</v>
      </c>
      <c r="H37" s="52">
        <f>EXP((LN(D37)/Data!$D$22)+Ogden!$B$8)</f>
        <v>733.06496207535906</v>
      </c>
      <c r="I37" s="52">
        <f>(EXP($B$6)/(1+(1/Data!$D$20)))*($B$2^(1+(1/Data!$D$20))-B37^(1+(1/Data!$D$20)))/1000000</f>
        <v>6.5159518222474562</v>
      </c>
      <c r="J37" s="52">
        <f>(EXP($B$7)/(1+(1/Data!$D$21)))*($B$3^(1+(1/Data!$D$21))-C37^(1+(1/Data!$D$21)))/1000000</f>
        <v>3.7752610777439872</v>
      </c>
      <c r="K37" s="52">
        <f>(EXP($B$8)/(1+(1/Data!$D$22)))*($B$4^(1+(1/Data!$D$22))-D37^(1+(1/Data!$D$22)))/1000000</f>
        <v>4.8589962545254464</v>
      </c>
    </row>
    <row r="38" spans="1:11">
      <c r="A38" s="47">
        <v>0.7</v>
      </c>
      <c r="B38" s="52">
        <f t="shared" si="6"/>
        <v>36777.200152880308</v>
      </c>
      <c r="C38" s="52">
        <f t="shared" si="7"/>
        <v>17731.864359424435</v>
      </c>
      <c r="D38" s="52">
        <f t="shared" si="8"/>
        <v>24955.957246597354</v>
      </c>
      <c r="E38" s="52">
        <f t="shared" si="4"/>
        <v>405.07628630684763</v>
      </c>
      <c r="F38" s="52">
        <f>EXP((LN(B38)/Data!$D$20)+Ogden!$B$6)</f>
        <v>674.2567983612355</v>
      </c>
      <c r="G38" s="52">
        <f>EXP((LN(C38)/Data!$D$21)+Ogden!$B$7)</f>
        <v>1040.7115265977641</v>
      </c>
      <c r="H38" s="52">
        <f>EXP((LN(D38)/Data!$D$22)+Ogden!$B$8)</f>
        <v>845.12763743065727</v>
      </c>
      <c r="I38" s="52">
        <f>(EXP($B$6)/(1+(1/Data!$D$20)))*($B$2^(1+(1/Data!$D$20))-B38^(1+(1/Data!$D$20)))/1000000</f>
        <v>8.2017413358254458</v>
      </c>
      <c r="J38" s="52">
        <f>(EXP($B$7)/(1+(1/Data!$D$21)))*($B$3^(1+(1/Data!$D$21))-C38^(1+(1/Data!$D$21)))/1000000</f>
        <v>4.9788270649669792</v>
      </c>
      <c r="K38" s="52">
        <f>(EXP($B$8)/(1+(1/Data!$D$22)))*($B$4^(1+(1/Data!$D$22))-D38^(1+(1/Data!$D$22)))/1000000</f>
        <v>6.2620992929295083</v>
      </c>
    </row>
    <row r="39" spans="1:11">
      <c r="A39" s="47">
        <v>0.65</v>
      </c>
      <c r="B39" s="52">
        <f t="shared" si="6"/>
        <v>34150.257284817431</v>
      </c>
      <c r="C39" s="52">
        <f t="shared" si="7"/>
        <v>16465.302619465547</v>
      </c>
      <c r="D39" s="52">
        <f t="shared" si="8"/>
        <v>23173.388871840401</v>
      </c>
      <c r="E39" s="52">
        <f t="shared" si="4"/>
        <v>405.07628630684763</v>
      </c>
      <c r="F39" s="52">
        <f>EXP((LN(B39)/Data!$D$20)+Ogden!$B$6)</f>
        <v>749.55490957480026</v>
      </c>
      <c r="G39" s="52">
        <f>EXP((LN(C39)/Data!$D$21)+Ogden!$B$7)</f>
        <v>1266.1204682596178</v>
      </c>
      <c r="H39" s="52">
        <f>EXP((LN(D39)/Data!$D$22)+Ogden!$B$8)</f>
        <v>984.65133978543849</v>
      </c>
      <c r="I39" s="52">
        <f>(EXP($B$6)/(1+(1/Data!$D$20)))*($B$2^(1+(1/Data!$D$20))-B39^(1+(1/Data!$D$20)))/1000000</f>
        <v>10.068911496872914</v>
      </c>
      <c r="J39" s="52">
        <f>(EXP($B$7)/(1+(1/Data!$D$21)))*($B$3^(1+(1/Data!$D$21))-C39^(1+(1/Data!$D$21)))/1000000</f>
        <v>6.4332768905045663</v>
      </c>
      <c r="K39" s="52">
        <f>(EXP($B$8)/(1+(1/Data!$D$22)))*($B$4^(1+(1/Data!$D$22))-D39^(1+(1/Data!$D$22)))/1000000</f>
        <v>7.8882517550825639</v>
      </c>
    </row>
    <row r="40" spans="1:11">
      <c r="A40" s="47">
        <v>0.6</v>
      </c>
      <c r="B40" s="52">
        <f t="shared" si="6"/>
        <v>31523.314416754551</v>
      </c>
      <c r="C40" s="52">
        <f t="shared" si="7"/>
        <v>15198.740879506659</v>
      </c>
      <c r="D40" s="52">
        <f t="shared" si="8"/>
        <v>21390.820497083445</v>
      </c>
      <c r="E40" s="52">
        <f t="shared" si="4"/>
        <v>405.07628630684763</v>
      </c>
      <c r="F40" s="52">
        <f>EXP((LN(B40)/Data!$D$20)+Ogden!$B$6)</f>
        <v>840.35657995950191</v>
      </c>
      <c r="G40" s="52">
        <f>EXP((LN(C40)/Data!$D$21)+Ogden!$B$7)</f>
        <v>1564.7259091049916</v>
      </c>
      <c r="H40" s="52">
        <f>EXP((LN(D40)/Data!$D$22)+Ogden!$B$8)</f>
        <v>1161.3334147565436</v>
      </c>
      <c r="I40" s="52">
        <f>(EXP($B$6)/(1+(1/Data!$D$20)))*($B$2^(1+(1/Data!$D$20))-B40^(1+(1/Data!$D$20)))/1000000</f>
        <v>12.153352086279909</v>
      </c>
      <c r="J40" s="52">
        <f>(EXP($B$7)/(1+(1/Data!$D$21)))*($B$3^(1+(1/Data!$D$21))-C40^(1+(1/Data!$D$21)))/1000000</f>
        <v>8.2168091050314729</v>
      </c>
      <c r="K40" s="52">
        <f>(EXP($B$8)/(1+(1/Data!$D$22)))*($B$4^(1+(1/Data!$D$22))-D40^(1+(1/Data!$D$22)))/1000000</f>
        <v>9.7945053724870821</v>
      </c>
    </row>
    <row r="41" spans="1:11">
      <c r="A41" s="47">
        <v>0.55000000000000004</v>
      </c>
      <c r="B41" s="52">
        <f t="shared" si="6"/>
        <v>28896.371548691674</v>
      </c>
      <c r="C41" s="52">
        <f t="shared" si="7"/>
        <v>13932.179139547772</v>
      </c>
      <c r="D41" s="52">
        <f t="shared" si="8"/>
        <v>19608.252122326496</v>
      </c>
      <c r="E41" s="52">
        <f t="shared" si="4"/>
        <v>405.07628630684763</v>
      </c>
      <c r="F41" s="52">
        <f>EXP((LN(B41)/Data!$D$20)+Ogden!$B$6)</f>
        <v>951.58428960743277</v>
      </c>
      <c r="G41" s="52">
        <f>EXP((LN(C41)/Data!$D$21)+Ogden!$B$7)</f>
        <v>1969.7359509516727</v>
      </c>
      <c r="H41" s="52">
        <f>EXP((LN(D41)/Data!$D$22)+Ogden!$B$8)</f>
        <v>1389.5413677580711</v>
      </c>
      <c r="I41" s="52">
        <f>(EXP($B$6)/(1+(1/Data!$D$20)))*($B$2^(1+(1/Data!$D$20))-B41^(1+(1/Data!$D$20)))/1000000</f>
        <v>14.501871919945206</v>
      </c>
      <c r="J41" s="52">
        <f>(EXP($B$7)/(1+(1/Data!$D$21)))*($B$3^(1+(1/Data!$D$21))-C41^(1+(1/Data!$D$21)))/1000000</f>
        <v>10.441570333057738</v>
      </c>
      <c r="K41" s="52">
        <f>(EXP($B$8)/(1+(1/Data!$D$22)))*($B$4^(1+(1/Data!$D$22))-D41^(1+(1/Data!$D$22)))/1000000</f>
        <v>12.059034280494913</v>
      </c>
    </row>
    <row r="42" spans="1:11">
      <c r="A42" s="47">
        <v>0.5</v>
      </c>
      <c r="B42" s="52">
        <f t="shared" si="6"/>
        <v>26269.428680628793</v>
      </c>
      <c r="C42" s="52">
        <f t="shared" si="7"/>
        <v>12665.617399588882</v>
      </c>
      <c r="D42" s="52">
        <f t="shared" si="8"/>
        <v>17825.683747569539</v>
      </c>
      <c r="E42" s="52">
        <f t="shared" si="4"/>
        <v>405.07628630684763</v>
      </c>
      <c r="F42" s="52">
        <f>EXP((LN(B42)/Data!$D$20)+Ogden!$B$6)</f>
        <v>1090.3845035423699</v>
      </c>
      <c r="G42" s="52">
        <f>EXP((LN(C42)/Data!$D$21)+Ogden!$B$7)</f>
        <v>2534.6177368540648</v>
      </c>
      <c r="H42" s="52">
        <f>EXP((LN(D42)/Data!$D$22)+Ogden!$B$8)</f>
        <v>1691.2866592367852</v>
      </c>
      <c r="I42" s="52">
        <f>(EXP($B$6)/(1+(1/Data!$D$20)))*($B$2^(1+(1/Data!$D$20))-B42^(1+(1/Data!$D$20)))/1000000</f>
        <v>17.176909688320084</v>
      </c>
      <c r="J42" s="52">
        <f>(EXP($B$7)/(1+(1/Data!$D$21)))*($B$3^(1+(1/Data!$D$21))-C42^(1+(1/Data!$D$21)))/1000000</f>
        <v>13.273400713686433</v>
      </c>
      <c r="K42" s="52">
        <f>(EXP($B$8)/(1+(1/Data!$D$22)))*($B$4^(1+(1/Data!$D$22))-D42^(1+(1/Data!$D$22)))/1000000</f>
        <v>14.791857320705191</v>
      </c>
    </row>
    <row r="43" spans="1:11">
      <c r="A43" s="47">
        <v>0.45</v>
      </c>
      <c r="B43" s="52">
        <f t="shared" si="6"/>
        <v>23642.485812565916</v>
      </c>
      <c r="C43" s="52">
        <f t="shared" si="7"/>
        <v>11399.055659629994</v>
      </c>
      <c r="D43" s="52">
        <f t="shared" si="8"/>
        <v>16043.115372812586</v>
      </c>
      <c r="E43" s="52">
        <f t="shared" si="4"/>
        <v>405.07628630684763</v>
      </c>
      <c r="F43" s="52">
        <f>EXP((LN(B43)/Data!$D$20)+Ogden!$B$6)</f>
        <v>1267.4986760538766</v>
      </c>
      <c r="G43" s="52">
        <f>EXP((LN(C43)/Data!$D$21)+Ogden!$B$7)</f>
        <v>3349.3769867476135</v>
      </c>
      <c r="H43" s="52">
        <f>EXP((LN(D43)/Data!$D$22)+Ogden!$B$8)</f>
        <v>2101.6605129051291</v>
      </c>
      <c r="I43" s="52">
        <f>(EXP($B$6)/(1+(1/Data!$D$20)))*($B$2^(1+(1/Data!$D$20))-B43^(1+(1/Data!$D$20)))/1000000</f>
        <v>20.264006558475113</v>
      </c>
      <c r="J43" s="52">
        <f>(EXP($B$7)/(1+(1/Data!$D$21)))*($B$3^(1+(1/Data!$D$21))-C43^(1+(1/Data!$D$21)))/1000000</f>
        <v>16.966640712068845</v>
      </c>
      <c r="K43" s="52">
        <f>(EXP($B$8)/(1+(1/Data!$D$22)))*($B$4^(1+(1/Data!$D$22))-D43^(1+(1/Data!$D$22)))/1000000</f>
        <v>18.152804641009705</v>
      </c>
    </row>
    <row r="44" spans="1:11">
      <c r="A44" s="47">
        <v>0.4</v>
      </c>
      <c r="B44" s="52">
        <f t="shared" si="6"/>
        <v>21015.542944503035</v>
      </c>
      <c r="C44" s="52">
        <f t="shared" si="7"/>
        <v>10132.493919671106</v>
      </c>
      <c r="D44" s="52">
        <f t="shared" si="8"/>
        <v>14260.546998055632</v>
      </c>
      <c r="E44" s="52">
        <f t="shared" si="4"/>
        <v>405.07628630684763</v>
      </c>
      <c r="F44" s="52">
        <f>EXP((LN(B44)/Data!$D$20)+Ogden!$B$6)</f>
        <v>1499.7626937986615</v>
      </c>
      <c r="G44" s="52">
        <f>EXP((LN(C44)/Data!$D$21)+Ogden!$B$7)</f>
        <v>4573.9157991990078</v>
      </c>
      <c r="H44" s="52">
        <f>EXP((LN(D44)/Data!$D$22)+Ogden!$B$8)</f>
        <v>2679.3637848179246</v>
      </c>
      <c r="I44" s="52">
        <f>(EXP($B$6)/(1+(1/Data!$D$20)))*($B$2^(1+(1/Data!$D$20))-B44^(1+(1/Data!$D$20)))/1000000</f>
        <v>23.884191499900528</v>
      </c>
      <c r="J44" s="52">
        <f>(EXP($B$7)/(1+(1/Data!$D$21)))*($B$3^(1+(1/Data!$D$21))-C44^(1+(1/Data!$D$21)))/1000000</f>
        <v>21.928917345150435</v>
      </c>
      <c r="K44" s="52">
        <f>(EXP($B$8)/(1+(1/Data!$D$22)))*($B$4^(1+(1/Data!$D$22))-D44^(1+(1/Data!$D$22)))/1000000</f>
        <v>22.38314518703385</v>
      </c>
    </row>
    <row r="45" spans="1:11">
      <c r="A45" s="47">
        <v>0.35</v>
      </c>
      <c r="B45" s="52">
        <f t="shared" si="6"/>
        <v>18388.600076440154</v>
      </c>
      <c r="C45" s="52">
        <f t="shared" si="7"/>
        <v>8865.9321797122175</v>
      </c>
      <c r="D45" s="52">
        <f t="shared" si="8"/>
        <v>12477.978623298677</v>
      </c>
      <c r="E45" s="52">
        <f t="shared" si="4"/>
        <v>405.07628630684763</v>
      </c>
      <c r="F45" s="52">
        <f>EXP((LN(B45)/Data!$D$20)+Ogden!$B$6)</f>
        <v>1814.9647095961257</v>
      </c>
      <c r="G45" s="52">
        <f>EXP((LN(C45)/Data!$D$21)+Ogden!$B$7)</f>
        <v>6511.8743886799775</v>
      </c>
      <c r="H45" s="52">
        <f>EXP((LN(D45)/Data!$D$22)+Ogden!$B$8)</f>
        <v>3528.6022580350154</v>
      </c>
      <c r="I45" s="52">
        <f>(EXP($B$6)/(1+(1/Data!$D$20)))*($B$2^(1+(1/Data!$D$20))-B45^(1+(1/Data!$D$20)))/1000000</f>
        <v>28.215634932128335</v>
      </c>
      <c r="J45" s="52">
        <f>(EXP($B$7)/(1+(1/Data!$D$21)))*($B$3^(1+(1/Data!$D$21))-C45^(1+(1/Data!$D$21)))/1000000</f>
        <v>28.850001732037711</v>
      </c>
      <c r="K45" s="52">
        <f>(EXP($B$8)/(1+(1/Data!$D$22)))*($B$4^(1+(1/Data!$D$22))-D45^(1+(1/Data!$D$22)))/1000000</f>
        <v>27.864709707977653</v>
      </c>
    </row>
    <row r="46" spans="1:11">
      <c r="A46" s="47">
        <v>0.3</v>
      </c>
      <c r="B46" s="52">
        <f t="shared" si="6"/>
        <v>15761.657208377275</v>
      </c>
      <c r="C46" s="52">
        <f t="shared" si="7"/>
        <v>7599.3704397533293</v>
      </c>
      <c r="D46" s="52">
        <f t="shared" si="8"/>
        <v>10695.410248541722</v>
      </c>
      <c r="E46" s="52">
        <f t="shared" si="4"/>
        <v>405.07628630684763</v>
      </c>
      <c r="F46" s="52">
        <f>EXP((LN(B46)/Data!$D$20)+Ogden!$B$6)</f>
        <v>2262.0721656947239</v>
      </c>
      <c r="G46" s="52">
        <f>EXP((LN(C46)/Data!$D$21)+Ogden!$B$7)</f>
        <v>9790.7040638966264</v>
      </c>
      <c r="H46" s="52">
        <f>EXP((LN(D46)/Data!$D$22)+Ogden!$B$8)</f>
        <v>4848.8341028578498</v>
      </c>
      <c r="I46" s="52">
        <f>(EXP($B$6)/(1+(1/Data!$D$20)))*($B$2^(1+(1/Data!$D$20))-B46^(1+(1/Data!$D$20)))/1000000</f>
        <v>33.534108602373095</v>
      </c>
      <c r="J46" s="52">
        <f>(EXP($B$7)/(1+(1/Data!$D$21)))*($B$3^(1+(1/Data!$D$21))-C46^(1+(1/Data!$D$21)))/1000000</f>
        <v>38.980250018338829</v>
      </c>
      <c r="K46" s="52">
        <f>(EXP($B$8)/(1+(1/Data!$D$22)))*($B$4^(1+(1/Data!$D$22))-D46^(1+(1/Data!$D$22)))/1000000</f>
        <v>35.239013609881574</v>
      </c>
    </row>
    <row r="47" spans="1:11">
      <c r="A47" s="47">
        <v>0.25</v>
      </c>
      <c r="B47" s="52">
        <f t="shared" si="6"/>
        <v>13134.714340314396</v>
      </c>
      <c r="C47" s="52">
        <f t="shared" si="7"/>
        <v>6332.8086997944411</v>
      </c>
      <c r="D47" s="52">
        <f t="shared" si="8"/>
        <v>8912.8418737847696</v>
      </c>
      <c r="E47" s="52">
        <f t="shared" si="4"/>
        <v>405.07628630684763</v>
      </c>
      <c r="F47" s="52">
        <f>EXP((LN(B47)/Data!$D$20)+Ogden!$B$6)</f>
        <v>2935.097426722024</v>
      </c>
      <c r="G47" s="52">
        <f>EXP((LN(C47)/Data!$D$21)+Ogden!$B$7)</f>
        <v>15859.449908921104</v>
      </c>
      <c r="H47" s="52">
        <f>EXP((LN(D47)/Data!$D$22)+Ogden!$B$8)</f>
        <v>7061.5107830467332</v>
      </c>
      <c r="I47" s="52">
        <f>(EXP($B$6)/(1+(1/Data!$D$20)))*($B$2^(1+(1/Data!$D$20))-B47^(1+(1/Data!$D$20)))/1000000</f>
        <v>40.295315746658623</v>
      </c>
      <c r="J47" s="52">
        <f>(EXP($B$7)/(1+(1/Data!$D$21)))*($B$3^(1+(1/Data!$D$21))-C47^(1+(1/Data!$D$21)))/1000000</f>
        <v>54.800142730616457</v>
      </c>
      <c r="K47" s="52">
        <f>(EXP($B$8)/(1+(1/Data!$D$22)))*($B$4^(1+(1/Data!$D$22))-D47^(1+(1/Data!$D$22)))/1000000</f>
        <v>45.671560474807009</v>
      </c>
    </row>
    <row r="48" spans="1:11">
      <c r="A48" s="47">
        <v>0.2</v>
      </c>
      <c r="B48" s="52">
        <f t="shared" si="6"/>
        <v>10507.771472251517</v>
      </c>
      <c r="C48" s="52">
        <f t="shared" si="7"/>
        <v>5066.2469598355528</v>
      </c>
      <c r="D48" s="52">
        <f t="shared" si="8"/>
        <v>7130.2734990278159</v>
      </c>
      <c r="E48" s="52">
        <f t="shared" si="4"/>
        <v>405.07628630684763</v>
      </c>
      <c r="F48" s="52">
        <f>EXP((LN(B48)/Data!$D$20)+Ogden!$B$6)</f>
        <v>4037.061796972881</v>
      </c>
      <c r="G48" s="52">
        <f>EXP((LN(C48)/Data!$D$21)+Ogden!$B$7)</f>
        <v>28619.616855934641</v>
      </c>
      <c r="H48" s="52">
        <f>EXP((LN(D48)/Data!$D$22)+Ogden!$B$8)</f>
        <v>11186.960031207722</v>
      </c>
      <c r="I48" s="52">
        <f>(EXP($B$6)/(1+(1/Data!$D$20)))*($B$2^(1+(1/Data!$D$20))-B48^(1+(1/Data!$D$20)))/1000000</f>
        <v>49.322647628904299</v>
      </c>
      <c r="J48" s="52">
        <f>(EXP($B$7)/(1+(1/Data!$D$21)))*($B$3^(1+(1/Data!$D$21))-C48^(1+(1/Data!$D$21)))/1000000</f>
        <v>81.879518538764287</v>
      </c>
      <c r="K48" s="52">
        <f>(EXP($B$8)/(1+(1/Data!$D$22)))*($B$4^(1+(1/Data!$D$22))-D48^(1+(1/Data!$D$22)))/1000000</f>
        <v>61.519246859763854</v>
      </c>
    </row>
    <row r="49" spans="1:11">
      <c r="A49" s="47">
        <v>0.15</v>
      </c>
      <c r="B49" s="52">
        <f t="shared" si="6"/>
        <v>7880.8286041886377</v>
      </c>
      <c r="C49" s="52">
        <f t="shared" si="7"/>
        <v>3799.6852198766646</v>
      </c>
      <c r="D49" s="52">
        <f t="shared" si="8"/>
        <v>5347.7051242708612</v>
      </c>
      <c r="E49" s="52">
        <f t="shared" si="4"/>
        <v>405.07628630684763</v>
      </c>
      <c r="F49" s="52">
        <f>EXP((LN(B49)/Data!$D$20)+Ogden!$B$6)</f>
        <v>6089.0467271136431</v>
      </c>
      <c r="G49" s="52">
        <f>EXP((LN(C49)/Data!$D$21)+Ogden!$B$7)</f>
        <v>61261.774671854226</v>
      </c>
      <c r="H49" s="52">
        <f>EXP((LN(D49)/Data!$D$22)+Ogden!$B$8)</f>
        <v>20244.997567702001</v>
      </c>
      <c r="I49" s="52">
        <f>(EXP($B$6)/(1+(1/Data!$D$20)))*($B$2^(1+(1/Data!$D$20))-B49^(1+(1/Data!$D$20)))/1000000</f>
        <v>62.310472916008344</v>
      </c>
      <c r="J49" s="52">
        <f>(EXP($B$7)/(1+(1/Data!$D$21)))*($B$3^(1+(1/Data!$D$21))-C49^(1+(1/Data!$D$21)))/1000000</f>
        <v>135.22577909686112</v>
      </c>
      <c r="K49" s="52">
        <f>(EXP($B$8)/(1+(1/Data!$D$22)))*($B$4^(1+(1/Data!$D$22))-D49^(1+(1/Data!$D$22)))/1000000</f>
        <v>88.357350559563628</v>
      </c>
    </row>
    <row r="50" spans="1:11">
      <c r="A50" s="47">
        <v>0.1</v>
      </c>
      <c r="B50" s="52">
        <f t="shared" si="6"/>
        <v>5253.8857361257587</v>
      </c>
      <c r="C50" s="52">
        <f t="shared" si="7"/>
        <v>2533.1234799177764</v>
      </c>
      <c r="D50" s="52">
        <f t="shared" si="8"/>
        <v>3565.1367495139079</v>
      </c>
      <c r="E50" s="52">
        <f t="shared" si="4"/>
        <v>405.07628630684763</v>
      </c>
      <c r="F50" s="52">
        <f>EXP((LN(B50)/Data!$D$20)+Ogden!$B$6)</f>
        <v>10866.964500429058</v>
      </c>
      <c r="G50" s="52">
        <f>EXP((LN(C50)/Data!$D$21)+Ogden!$B$7)</f>
        <v>179076.85776024501</v>
      </c>
      <c r="H50" s="52">
        <f>EXP((LN(D50)/Data!$D$22)+Ogden!$B$8)</f>
        <v>46708.131030569806</v>
      </c>
      <c r="I50" s="52">
        <f>(EXP($B$6)/(1+(1/Data!$D$20)))*($B$2^(1+(1/Data!$D$20))-B50^(1+(1/Data!$D$20)))/1000000</f>
        <v>83.56027063320019</v>
      </c>
      <c r="J50" s="52">
        <f>(EXP($B$7)/(1+(1/Data!$D$21)))*($B$3^(1+(1/Data!$D$21))-C50^(1+(1/Data!$D$21)))/1000000</f>
        <v>269.43907491982281</v>
      </c>
      <c r="K50" s="52">
        <f>(EXP($B$8)/(1+(1/Data!$D$22)))*($B$4^(1+(1/Data!$D$22))-D50^(1+(1/Data!$D$22)))/1000000</f>
        <v>143.22035957743532</v>
      </c>
    </row>
    <row r="51" spans="1:11">
      <c r="A51" s="47">
        <v>0.05</v>
      </c>
      <c r="B51" s="52">
        <f t="shared" si="6"/>
        <v>2626.9428680628794</v>
      </c>
      <c r="C51" s="52">
        <f t="shared" si="7"/>
        <v>1266.5617399588882</v>
      </c>
      <c r="D51" s="52">
        <f t="shared" si="8"/>
        <v>1782.568374756954</v>
      </c>
      <c r="E51" s="52">
        <f t="shared" si="4"/>
        <v>405.07628630684763</v>
      </c>
      <c r="F51" s="52">
        <f>EXP((LN(B51)/Data!$D$20)+Ogden!$B$6)</f>
        <v>29251.699228912847</v>
      </c>
      <c r="G51" s="52">
        <f>EXP((LN(C51)/Data!$D$21)+Ogden!$B$7)</f>
        <v>1120508.3962762139</v>
      </c>
      <c r="H51" s="52">
        <f>EXP((LN(D51)/Data!$D$22)+Ogden!$B$8)</f>
        <v>195017.1895030314</v>
      </c>
      <c r="I51" s="52">
        <f>(EXP($B$6)/(1+(1/Data!$D$20)))*($B$2^(1+(1/Data!$D$20))-B51^(1+(1/Data!$D$20)))/1000000</f>
        <v>129.64069402995608</v>
      </c>
      <c r="J51" s="52">
        <f>(EXP($B$7)/(1+(1/Data!$D$21)))*($B$3^(1+(1/Data!$D$21))-C51^(1+(1/Data!$D$21)))/1000000</f>
        <v>856.23197589922052</v>
      </c>
      <c r="K51" s="52">
        <f>(EXP($B$8)/(1+(1/Data!$D$22)))*($B$4^(1+(1/Data!$D$22))-D51^(1+(1/Data!$D$22)))/1000000</f>
        <v>313.78082763644045</v>
      </c>
    </row>
    <row r="52" spans="1:11">
      <c r="A52" s="44"/>
      <c r="B52">
        <v>0</v>
      </c>
      <c r="E52" s="32">
        <f>E51</f>
        <v>405.07628630684763</v>
      </c>
    </row>
    <row r="53" spans="1:11">
      <c r="A53" s="46" t="s">
        <v>200</v>
      </c>
    </row>
    <row r="54" spans="1:11">
      <c r="A54" s="49" t="s">
        <v>194</v>
      </c>
      <c r="B54" s="49">
        <f>Data!$C$7*Data!$C$10</f>
        <v>29761.155688454695</v>
      </c>
      <c r="C54" s="49"/>
      <c r="D54" s="49"/>
      <c r="E54" s="49"/>
      <c r="F54" s="31"/>
      <c r="G54" s="31"/>
      <c r="H54" s="31"/>
      <c r="I54" s="31"/>
      <c r="J54" s="31"/>
      <c r="K54" s="31"/>
    </row>
    <row r="55" spans="1:11">
      <c r="A55" s="49"/>
      <c r="B55" s="51"/>
      <c r="C55" s="51"/>
      <c r="D55" s="51"/>
      <c r="E55" s="51"/>
      <c r="F55" s="31"/>
      <c r="G55" s="31"/>
      <c r="H55" s="55"/>
      <c r="I55" s="55"/>
      <c r="J55" s="31"/>
      <c r="K55" s="31"/>
    </row>
    <row r="56" spans="1:11">
      <c r="A56" s="49" t="s">
        <v>180</v>
      </c>
      <c r="B56" s="49" t="s">
        <v>203</v>
      </c>
      <c r="C56" s="49" t="s">
        <v>204</v>
      </c>
      <c r="D56" s="49" t="s">
        <v>205</v>
      </c>
      <c r="E56" s="49" t="s">
        <v>181</v>
      </c>
      <c r="F56" s="49" t="s">
        <v>182</v>
      </c>
      <c r="G56" s="49" t="s">
        <v>183</v>
      </c>
      <c r="I56" s="31"/>
      <c r="J56" s="31"/>
      <c r="K56" s="31"/>
    </row>
    <row r="57" spans="1:11">
      <c r="A57" s="50">
        <v>1</v>
      </c>
      <c r="B57" s="49">
        <f>(B32+$B$54*(1/12))/1000</f>
        <v>55.018953668628811</v>
      </c>
      <c r="C57" s="49">
        <f>(C32+$B$54*(1/12))/1000</f>
        <v>27.811331106548991</v>
      </c>
      <c r="D57" s="49">
        <f>(D32+$B$54*(1/12))/1000</f>
        <v>38.131463802510304</v>
      </c>
      <c r="E57" s="49">
        <f>I32</f>
        <v>0</v>
      </c>
      <c r="F57" s="49">
        <f>J32</f>
        <v>0</v>
      </c>
      <c r="G57" s="49">
        <f>K32</f>
        <v>0</v>
      </c>
    </row>
    <row r="58" spans="1:11">
      <c r="A58" s="50">
        <v>0.95</v>
      </c>
      <c r="B58" s="49">
        <f t="shared" ref="B58:D76" si="9">(B33+$B$54*(1/12))/1000</f>
        <v>52.392010800565927</v>
      </c>
      <c r="C58" s="49">
        <f t="shared" si="9"/>
        <v>26.544769366590103</v>
      </c>
      <c r="D58" s="49">
        <f t="shared" si="9"/>
        <v>36.348895427753348</v>
      </c>
      <c r="E58" s="49">
        <f t="shared" ref="E58:E76" si="10">I33</f>
        <v>1.1037235114964545</v>
      </c>
      <c r="F58" s="49">
        <f t="shared" ref="F58:F76" si="11">J33</f>
        <v>0.54917481246400535</v>
      </c>
      <c r="G58" s="49">
        <f t="shared" ref="G58:G76" si="12">K33</f>
        <v>0.76129757098299822</v>
      </c>
    </row>
    <row r="59" spans="1:11">
      <c r="A59" s="50">
        <v>0.9</v>
      </c>
      <c r="B59" s="49">
        <f t="shared" si="9"/>
        <v>49.765067932503058</v>
      </c>
      <c r="C59" s="49">
        <f t="shared" si="9"/>
        <v>25.278207626631215</v>
      </c>
      <c r="D59" s="49">
        <f t="shared" si="9"/>
        <v>34.5663270529964</v>
      </c>
      <c r="E59" s="49">
        <f t="shared" si="10"/>
        <v>2.2937041595314938</v>
      </c>
      <c r="F59" s="49">
        <f t="shared" si="11"/>
        <v>1.1804888139396703</v>
      </c>
      <c r="G59" s="49">
        <f t="shared" si="12"/>
        <v>1.609945956288978</v>
      </c>
    </row>
    <row r="60" spans="1:11">
      <c r="A60" s="50">
        <v>0.85</v>
      </c>
      <c r="B60" s="49">
        <f t="shared" si="9"/>
        <v>47.138125064440175</v>
      </c>
      <c r="C60" s="49">
        <f t="shared" si="9"/>
        <v>24.011645886672326</v>
      </c>
      <c r="D60" s="49">
        <f t="shared" si="9"/>
        <v>32.783758678239444</v>
      </c>
      <c r="E60" s="49">
        <f t="shared" si="10"/>
        <v>3.5820669185372984</v>
      </c>
      <c r="F60" s="49">
        <f t="shared" si="11"/>
        <v>1.9118823582023912</v>
      </c>
      <c r="G60" s="49">
        <f t="shared" si="12"/>
        <v>2.5617054583865322</v>
      </c>
    </row>
    <row r="61" spans="1:11">
      <c r="A61" s="50">
        <v>0.8</v>
      </c>
      <c r="B61" s="49">
        <f t="shared" si="9"/>
        <v>44.511182196377298</v>
      </c>
      <c r="C61" s="49">
        <f t="shared" si="9"/>
        <v>22.745084146713438</v>
      </c>
      <c r="D61" s="49">
        <f t="shared" si="9"/>
        <v>31.001190303482485</v>
      </c>
      <c r="E61" s="49">
        <f t="shared" si="10"/>
        <v>4.9834912338203106</v>
      </c>
      <c r="F61" s="49">
        <f t="shared" si="11"/>
        <v>2.766606168780597</v>
      </c>
      <c r="G61" s="49">
        <f t="shared" si="12"/>
        <v>3.6363447679132839</v>
      </c>
    </row>
    <row r="62" spans="1:11">
      <c r="A62" s="50">
        <v>0.75</v>
      </c>
      <c r="B62" s="49">
        <f t="shared" si="9"/>
        <v>41.884239328314415</v>
      </c>
      <c r="C62" s="49">
        <f t="shared" si="9"/>
        <v>21.47852240675455</v>
      </c>
      <c r="D62" s="49">
        <f t="shared" si="9"/>
        <v>29.218621928725536</v>
      </c>
      <c r="E62" s="49">
        <f t="shared" si="10"/>
        <v>6.5159518222474562</v>
      </c>
      <c r="F62" s="49">
        <f t="shared" si="11"/>
        <v>3.7752610777439872</v>
      </c>
      <c r="G62" s="49">
        <f t="shared" si="12"/>
        <v>4.8589962545254464</v>
      </c>
    </row>
    <row r="63" spans="1:11">
      <c r="A63" s="50">
        <v>0.7</v>
      </c>
      <c r="B63" s="49">
        <f t="shared" si="9"/>
        <v>39.257296460251538</v>
      </c>
      <c r="C63" s="49">
        <f t="shared" si="9"/>
        <v>20.211960666795662</v>
      </c>
      <c r="D63" s="49">
        <f t="shared" si="9"/>
        <v>27.436053553968581</v>
      </c>
      <c r="E63" s="49">
        <f t="shared" si="10"/>
        <v>8.2017413358254458</v>
      </c>
      <c r="F63" s="49">
        <f t="shared" si="11"/>
        <v>4.9788270649669792</v>
      </c>
      <c r="G63" s="49">
        <f t="shared" si="12"/>
        <v>6.2620992929295083</v>
      </c>
    </row>
    <row r="64" spans="1:11">
      <c r="A64" s="50">
        <v>0.65</v>
      </c>
      <c r="B64" s="49">
        <f t="shared" si="9"/>
        <v>36.630353592188655</v>
      </c>
      <c r="C64" s="49">
        <f t="shared" si="9"/>
        <v>18.945398926836774</v>
      </c>
      <c r="D64" s="49">
        <f t="shared" si="9"/>
        <v>25.653485179211625</v>
      </c>
      <c r="E64" s="49">
        <f t="shared" si="10"/>
        <v>10.068911496872914</v>
      </c>
      <c r="F64" s="49">
        <f t="shared" si="11"/>
        <v>6.4332768905045663</v>
      </c>
      <c r="G64" s="49">
        <f t="shared" si="12"/>
        <v>7.8882517550825639</v>
      </c>
    </row>
    <row r="65" spans="1:9">
      <c r="A65" s="50">
        <v>0.6</v>
      </c>
      <c r="B65" s="49">
        <f t="shared" si="9"/>
        <v>34.003410724125771</v>
      </c>
      <c r="C65" s="49">
        <f t="shared" si="9"/>
        <v>17.678837186877885</v>
      </c>
      <c r="D65" s="49">
        <f t="shared" si="9"/>
        <v>23.870916804454669</v>
      </c>
      <c r="E65" s="49">
        <f t="shared" si="10"/>
        <v>12.153352086279909</v>
      </c>
      <c r="F65" s="49">
        <f t="shared" si="11"/>
        <v>8.2168091050314729</v>
      </c>
      <c r="G65" s="49">
        <f t="shared" si="12"/>
        <v>9.7945053724870821</v>
      </c>
    </row>
    <row r="66" spans="1:9">
      <c r="A66" s="50">
        <v>0.55000000000000004</v>
      </c>
      <c r="B66" s="49">
        <f t="shared" si="9"/>
        <v>31.376467856062895</v>
      </c>
      <c r="C66" s="49">
        <f t="shared" si="9"/>
        <v>16.412275446918997</v>
      </c>
      <c r="D66" s="49">
        <f t="shared" si="9"/>
        <v>22.088348429697717</v>
      </c>
      <c r="E66" s="49">
        <f t="shared" si="10"/>
        <v>14.501871919945206</v>
      </c>
      <c r="F66" s="49">
        <f t="shared" si="11"/>
        <v>10.441570333057738</v>
      </c>
      <c r="G66" s="49">
        <f t="shared" si="12"/>
        <v>12.059034280494913</v>
      </c>
    </row>
    <row r="67" spans="1:9">
      <c r="A67" s="50">
        <v>0.5</v>
      </c>
      <c r="B67" s="49">
        <f t="shared" si="9"/>
        <v>28.749524988000019</v>
      </c>
      <c r="C67" s="49">
        <f t="shared" si="9"/>
        <v>15.145713706960107</v>
      </c>
      <c r="D67" s="49">
        <f t="shared" si="9"/>
        <v>20.305780054940762</v>
      </c>
      <c r="E67" s="49">
        <f t="shared" si="10"/>
        <v>17.176909688320084</v>
      </c>
      <c r="F67" s="49">
        <f t="shared" si="11"/>
        <v>13.273400713686433</v>
      </c>
      <c r="G67" s="49">
        <f t="shared" si="12"/>
        <v>14.791857320705191</v>
      </c>
    </row>
    <row r="68" spans="1:9">
      <c r="A68" s="50">
        <v>0.45</v>
      </c>
      <c r="B68" s="49">
        <f t="shared" si="9"/>
        <v>26.122582119937142</v>
      </c>
      <c r="C68" s="49">
        <f t="shared" si="9"/>
        <v>13.879151967001219</v>
      </c>
      <c r="D68" s="49">
        <f t="shared" si="9"/>
        <v>18.523211680183813</v>
      </c>
      <c r="E68" s="49">
        <f t="shared" si="10"/>
        <v>20.264006558475113</v>
      </c>
      <c r="F68" s="49">
        <f t="shared" si="11"/>
        <v>16.966640712068845</v>
      </c>
      <c r="G68" s="49">
        <f t="shared" si="12"/>
        <v>18.152804641009705</v>
      </c>
    </row>
    <row r="69" spans="1:9">
      <c r="A69" s="50">
        <v>0.4</v>
      </c>
      <c r="B69" s="49">
        <f t="shared" si="9"/>
        <v>23.495639251874259</v>
      </c>
      <c r="C69" s="49">
        <f t="shared" si="9"/>
        <v>12.612590227042331</v>
      </c>
      <c r="D69" s="49">
        <f t="shared" si="9"/>
        <v>16.740643305426858</v>
      </c>
      <c r="E69" s="49">
        <f t="shared" si="10"/>
        <v>23.884191499900528</v>
      </c>
      <c r="F69" s="49">
        <f t="shared" si="11"/>
        <v>21.928917345150435</v>
      </c>
      <c r="G69" s="49">
        <f t="shared" si="12"/>
        <v>22.38314518703385</v>
      </c>
    </row>
    <row r="70" spans="1:9">
      <c r="A70" s="50">
        <v>0.35</v>
      </c>
      <c r="B70" s="49">
        <f t="shared" si="9"/>
        <v>20.868696383811379</v>
      </c>
      <c r="C70" s="49">
        <f t="shared" si="9"/>
        <v>11.346028487083442</v>
      </c>
      <c r="D70" s="49">
        <f t="shared" si="9"/>
        <v>14.958074930669902</v>
      </c>
      <c r="E70" s="49">
        <f t="shared" si="10"/>
        <v>28.215634932128335</v>
      </c>
      <c r="F70" s="49">
        <f t="shared" si="11"/>
        <v>28.850001732037711</v>
      </c>
      <c r="G70" s="49">
        <f t="shared" si="12"/>
        <v>27.864709707977653</v>
      </c>
    </row>
    <row r="71" spans="1:9">
      <c r="A71" s="50">
        <v>0.3</v>
      </c>
      <c r="B71" s="49">
        <f t="shared" si="9"/>
        <v>18.241753515748499</v>
      </c>
      <c r="C71" s="49">
        <f t="shared" si="9"/>
        <v>10.079466747124554</v>
      </c>
      <c r="D71" s="49">
        <f t="shared" si="9"/>
        <v>13.175506555912946</v>
      </c>
      <c r="E71" s="49">
        <f t="shared" si="10"/>
        <v>33.534108602373095</v>
      </c>
      <c r="F71" s="49">
        <f t="shared" si="11"/>
        <v>38.980250018338829</v>
      </c>
      <c r="G71" s="49">
        <f t="shared" si="12"/>
        <v>35.239013609881574</v>
      </c>
    </row>
    <row r="72" spans="1:9">
      <c r="A72" s="50">
        <v>0.25</v>
      </c>
      <c r="B72" s="49">
        <f t="shared" si="9"/>
        <v>15.614810647685621</v>
      </c>
      <c r="C72" s="49">
        <f t="shared" si="9"/>
        <v>8.812905007165666</v>
      </c>
      <c r="D72" s="49">
        <f t="shared" si="9"/>
        <v>11.392938181155994</v>
      </c>
      <c r="E72" s="49">
        <f t="shared" si="10"/>
        <v>40.295315746658623</v>
      </c>
      <c r="F72" s="49">
        <f t="shared" si="11"/>
        <v>54.800142730616457</v>
      </c>
      <c r="G72" s="49">
        <f t="shared" si="12"/>
        <v>45.671560474807009</v>
      </c>
    </row>
    <row r="73" spans="1:9">
      <c r="A73" s="50">
        <v>0.2</v>
      </c>
      <c r="B73" s="49">
        <f t="shared" si="9"/>
        <v>12.987867779622743</v>
      </c>
      <c r="C73" s="49">
        <f t="shared" si="9"/>
        <v>7.5463432672067778</v>
      </c>
      <c r="D73" s="49">
        <f t="shared" si="9"/>
        <v>9.6103698063990421</v>
      </c>
      <c r="E73" s="49">
        <f t="shared" si="10"/>
        <v>49.322647628904299</v>
      </c>
      <c r="F73" s="49">
        <f t="shared" si="11"/>
        <v>81.879518538764287</v>
      </c>
      <c r="G73" s="49">
        <f t="shared" si="12"/>
        <v>61.519246859763854</v>
      </c>
    </row>
    <row r="74" spans="1:9">
      <c r="A74" s="50">
        <v>0.15</v>
      </c>
      <c r="B74" s="49">
        <f t="shared" si="9"/>
        <v>10.360924911559861</v>
      </c>
      <c r="C74" s="49">
        <f t="shared" si="9"/>
        <v>6.2797815272478896</v>
      </c>
      <c r="D74" s="49">
        <f t="shared" si="9"/>
        <v>7.8278014316420856</v>
      </c>
      <c r="E74" s="49">
        <f t="shared" si="10"/>
        <v>62.310472916008344</v>
      </c>
      <c r="F74" s="49">
        <f t="shared" si="11"/>
        <v>135.22577909686112</v>
      </c>
      <c r="G74" s="49">
        <f t="shared" si="12"/>
        <v>88.357350559563628</v>
      </c>
    </row>
    <row r="75" spans="1:9">
      <c r="A75" s="50">
        <v>0.1</v>
      </c>
      <c r="B75" s="49">
        <f t="shared" si="9"/>
        <v>7.733982043496983</v>
      </c>
      <c r="C75" s="49">
        <f t="shared" si="9"/>
        <v>5.0132197872890014</v>
      </c>
      <c r="D75" s="49">
        <f t="shared" si="9"/>
        <v>6.0452330568851318</v>
      </c>
      <c r="E75" s="49">
        <f t="shared" si="10"/>
        <v>83.56027063320019</v>
      </c>
      <c r="F75" s="49">
        <f t="shared" si="11"/>
        <v>269.43907491982281</v>
      </c>
      <c r="G75" s="49">
        <f t="shared" si="12"/>
        <v>143.22035957743532</v>
      </c>
    </row>
    <row r="76" spans="1:9">
      <c r="A76" s="50">
        <v>0.05</v>
      </c>
      <c r="B76" s="49">
        <f t="shared" si="9"/>
        <v>5.1070391754341031</v>
      </c>
      <c r="C76" s="49">
        <f t="shared" si="9"/>
        <v>3.7466580473301128</v>
      </c>
      <c r="D76" s="49">
        <f t="shared" si="9"/>
        <v>4.262664682128178</v>
      </c>
      <c r="E76" s="49">
        <f t="shared" si="10"/>
        <v>129.64069402995608</v>
      </c>
      <c r="F76" s="49">
        <f t="shared" si="11"/>
        <v>856.23197589922052</v>
      </c>
      <c r="G76" s="49">
        <f t="shared" si="12"/>
        <v>313.78082763644045</v>
      </c>
    </row>
    <row r="77" spans="1:9">
      <c r="A77" s="44"/>
    </row>
    <row r="78" spans="1:9">
      <c r="A78" s="42"/>
    </row>
    <row r="80" spans="1:9">
      <c r="H80" s="44"/>
      <c r="I80" s="44"/>
    </row>
    <row r="81" spans="1:9">
      <c r="H81" s="44"/>
      <c r="I81" s="44"/>
    </row>
    <row r="82" spans="1:9">
      <c r="H82" s="44"/>
      <c r="I82" s="44"/>
    </row>
    <row r="83" spans="1:9">
      <c r="B83" s="17"/>
      <c r="C83" s="17"/>
      <c r="D83" s="17"/>
      <c r="E83" s="17"/>
      <c r="H83" s="44"/>
      <c r="I83" s="44"/>
    </row>
    <row r="84" spans="1:9">
      <c r="B84" s="17"/>
      <c r="C84" s="17"/>
      <c r="D84" s="17"/>
      <c r="E84" s="17"/>
      <c r="H84" s="44"/>
      <c r="I84" s="44"/>
    </row>
    <row r="85" spans="1:9">
      <c r="B85" s="17"/>
      <c r="C85" s="17"/>
      <c r="D85" s="17"/>
      <c r="E85" s="17"/>
      <c r="H85" s="44"/>
      <c r="I85" s="44"/>
    </row>
    <row r="86" spans="1:9">
      <c r="B86" s="17"/>
      <c r="C86" s="17"/>
      <c r="D86" s="17"/>
      <c r="E86" s="17"/>
      <c r="H86" s="44"/>
      <c r="I86" s="44"/>
    </row>
    <row r="88" spans="1:9">
      <c r="A88" s="44"/>
    </row>
    <row r="89" spans="1:9">
      <c r="A89" s="44"/>
    </row>
    <row r="90" spans="1:9">
      <c r="A90" s="44"/>
    </row>
    <row r="91" spans="1:9">
      <c r="A91" s="44"/>
    </row>
    <row r="92" spans="1:9">
      <c r="A92" s="44"/>
    </row>
    <row r="93" spans="1:9">
      <c r="A93" s="44"/>
    </row>
    <row r="94" spans="1:9">
      <c r="A94" s="44"/>
    </row>
    <row r="95" spans="1:9">
      <c r="A95" s="44"/>
    </row>
    <row r="96" spans="1:9">
      <c r="A96" s="44"/>
    </row>
    <row r="97" spans="1:1">
      <c r="A97" s="44"/>
    </row>
    <row r="98" spans="1:1">
      <c r="A98" s="44"/>
    </row>
    <row r="99" spans="1:1">
      <c r="A99" s="44"/>
    </row>
    <row r="100" spans="1:1">
      <c r="A100" s="44"/>
    </row>
    <row r="101" spans="1:1">
      <c r="A101" s="44"/>
    </row>
    <row r="102" spans="1:1">
      <c r="A102" s="44"/>
    </row>
    <row r="103" spans="1:1">
      <c r="A103" s="44"/>
    </row>
    <row r="104" spans="1:1">
      <c r="A104" s="44"/>
    </row>
    <row r="105" spans="1:1">
      <c r="A105" s="44"/>
    </row>
    <row r="106" spans="1:1">
      <c r="A106" s="44"/>
    </row>
    <row r="107" spans="1:1">
      <c r="A107" s="44"/>
    </row>
  </sheetData>
  <mergeCells count="1">
    <mergeCell ref="E9:H9"/>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6"/>
  <sheetViews>
    <sheetView topLeftCell="A40" zoomScaleNormal="100" workbookViewId="0">
      <selection activeCell="D51" sqref="D51"/>
    </sheetView>
  </sheetViews>
  <sheetFormatPr defaultRowHeight="15"/>
  <cols>
    <col min="1" max="1" width="14" bestFit="1" customWidth="1"/>
    <col min="2" max="2" width="13.7109375" bestFit="1" customWidth="1"/>
    <col min="3" max="3" width="14" bestFit="1" customWidth="1"/>
    <col min="4" max="4" width="12.28515625" bestFit="1" customWidth="1"/>
    <col min="5" max="5" width="12.28515625" customWidth="1"/>
    <col min="6" max="6" width="15.28515625" bestFit="1" customWidth="1"/>
    <col min="7" max="7" width="17.5703125" bestFit="1" customWidth="1"/>
    <col min="8" max="8" width="14" bestFit="1" customWidth="1"/>
    <col min="9" max="9" width="15.7109375" bestFit="1" customWidth="1"/>
    <col min="10" max="10" width="15.28515625" bestFit="1" customWidth="1"/>
    <col min="11" max="11" width="14.42578125" bestFit="1" customWidth="1"/>
    <col min="12" max="12" width="3.28515625" customWidth="1"/>
  </cols>
  <sheetData>
    <row r="1" spans="1:11">
      <c r="A1" s="45" t="s">
        <v>208</v>
      </c>
    </row>
    <row r="2" spans="1:11">
      <c r="A2" s="38" t="s">
        <v>187</v>
      </c>
      <c r="B2" s="38">
        <f>Data!$D$7*Data!$D$9*Data!D12</f>
        <v>78165.31309494171</v>
      </c>
      <c r="C2" s="38"/>
      <c r="D2" s="38"/>
      <c r="E2" s="38"/>
      <c r="F2" s="38"/>
      <c r="G2" s="38"/>
      <c r="H2" s="38"/>
      <c r="I2" s="38"/>
      <c r="J2" s="38"/>
      <c r="K2" s="38"/>
    </row>
    <row r="3" spans="1:11">
      <c r="A3" s="38" t="s">
        <v>188</v>
      </c>
      <c r="B3" s="38">
        <f>Data!$D$7*Data!$D$9*Data!D13</f>
        <v>37686.847385061177</v>
      </c>
      <c r="C3" s="38"/>
      <c r="D3" s="38"/>
      <c r="E3" s="38"/>
      <c r="F3" s="38"/>
      <c r="G3" s="38"/>
      <c r="H3" s="47"/>
      <c r="I3" s="47"/>
      <c r="J3" s="38"/>
      <c r="K3" s="38"/>
    </row>
    <row r="4" spans="1:11">
      <c r="A4" s="38" t="s">
        <v>189</v>
      </c>
      <c r="B4" s="38">
        <f>Data!$D$7*Data!$D$9*Data!D14</f>
        <v>53040.748171567589</v>
      </c>
      <c r="C4" s="38"/>
      <c r="D4" s="38"/>
      <c r="E4" s="38"/>
      <c r="F4" s="38"/>
      <c r="G4" s="38"/>
      <c r="H4" s="47"/>
      <c r="I4" s="47"/>
      <c r="J4" s="38"/>
      <c r="K4" s="38"/>
    </row>
    <row r="5" spans="1:11">
      <c r="A5" s="38"/>
      <c r="B5" s="38"/>
      <c r="C5" s="38"/>
      <c r="D5" s="38"/>
      <c r="E5" s="38"/>
      <c r="F5" s="38"/>
      <c r="G5" s="38"/>
      <c r="H5" s="47"/>
      <c r="I5" s="47"/>
      <c r="J5" s="38"/>
      <c r="K5" s="38"/>
    </row>
    <row r="6" spans="1:11">
      <c r="A6" s="38" t="s">
        <v>185</v>
      </c>
      <c r="B6" s="48">
        <f>LN(Data!D3)-(LN(B2)/Data!$D$20)</f>
        <v>22.277621472829381</v>
      </c>
      <c r="C6" s="48"/>
      <c r="D6" s="48"/>
      <c r="E6" s="48"/>
      <c r="F6" s="38"/>
      <c r="G6" s="38"/>
      <c r="H6" s="47"/>
      <c r="I6" s="47"/>
      <c r="J6" s="38"/>
      <c r="K6" s="38"/>
    </row>
    <row r="7" spans="1:11">
      <c r="A7" s="38" t="s">
        <v>186</v>
      </c>
      <c r="B7" s="48">
        <f>LN(Data!D3)-(LN(B3)/Data!$D$21)</f>
        <v>34.058342519364757</v>
      </c>
      <c r="C7" s="48"/>
      <c r="D7" s="48"/>
      <c r="E7" s="48"/>
      <c r="F7" s="38"/>
      <c r="G7" s="38"/>
      <c r="H7" s="47"/>
      <c r="I7" s="47"/>
      <c r="J7" s="38"/>
      <c r="K7" s="38"/>
    </row>
    <row r="8" spans="1:11">
      <c r="A8" s="38" t="s">
        <v>184</v>
      </c>
      <c r="B8" s="48">
        <f>LN(Data!D3)-(LN(B4)/Data!$D$22)</f>
        <v>28.613053282935255</v>
      </c>
      <c r="C8" s="48"/>
      <c r="D8" s="48"/>
      <c r="E8" s="48"/>
      <c r="F8" s="38"/>
      <c r="G8" s="38"/>
      <c r="H8" s="47"/>
      <c r="I8" s="47"/>
      <c r="J8" s="38"/>
      <c r="K8" s="38"/>
    </row>
    <row r="9" spans="1:11">
      <c r="A9" s="38"/>
      <c r="B9" s="48"/>
      <c r="C9" s="48"/>
      <c r="D9" s="48"/>
      <c r="E9" s="62" t="s">
        <v>142</v>
      </c>
      <c r="F9" s="63"/>
      <c r="G9" s="63"/>
      <c r="H9" s="63"/>
      <c r="I9" s="47"/>
      <c r="J9" s="38"/>
      <c r="K9" s="38"/>
    </row>
    <row r="10" spans="1:11">
      <c r="A10" s="38" t="s">
        <v>180</v>
      </c>
      <c r="B10" s="38" t="str">
        <f>A2</f>
        <v>Q_sum, af</v>
      </c>
      <c r="C10" s="38" t="str">
        <f>A3</f>
        <v>Q_wint, af</v>
      </c>
      <c r="D10" s="38" t="str">
        <f>A4</f>
        <v>Q_int, af</v>
      </c>
      <c r="E10" s="38" t="s">
        <v>191</v>
      </c>
      <c r="F10" s="38" t="s">
        <v>14</v>
      </c>
      <c r="G10" s="38" t="s">
        <v>15</v>
      </c>
      <c r="H10" s="38" t="s">
        <v>206</v>
      </c>
      <c r="I10" s="38" t="s">
        <v>14</v>
      </c>
      <c r="J10" s="38" t="s">
        <v>15</v>
      </c>
      <c r="K10" s="38" t="s">
        <v>206</v>
      </c>
    </row>
    <row r="11" spans="1:11">
      <c r="A11" s="47">
        <f t="shared" ref="A11:A30" si="0">A12+5%</f>
        <v>2.0000000000000009</v>
      </c>
      <c r="B11" s="52">
        <f t="shared" ref="B11:B30" si="1">$B$31*A11</f>
        <v>156330.62618988348</v>
      </c>
      <c r="C11" s="52">
        <f t="shared" ref="C11:C30" si="2">$C$31*A11</f>
        <v>75373.694770122383</v>
      </c>
      <c r="D11" s="52">
        <f t="shared" ref="D11:D30" si="3">$D$31*A11</f>
        <v>106081.49634313522</v>
      </c>
      <c r="E11" s="52">
        <f>$F$31</f>
        <v>484.20355422088215</v>
      </c>
      <c r="F11" s="52">
        <f>EXP((LN(B11)/Data!$D$20)+SLC!$B$6)</f>
        <v>179.8809290880105</v>
      </c>
      <c r="G11" s="52">
        <f>EXP((LN(C11)/Data!$D$21)+SLC!$B$7)</f>
        <v>77.384204611389364</v>
      </c>
      <c r="H11" s="52">
        <f>EXP((LN(D11)/Data!$D$22)+SLC!$B$8)</f>
        <v>115.97051066959911</v>
      </c>
      <c r="I11" s="52">
        <f>(EXP($B$6)/(1+(1/Data!$D$20)))*($B$2^(1+(1/Data!$D$20))-B11^(1+(1/Data!$D$20)))</f>
        <v>-22696389.644628223</v>
      </c>
      <c r="J11" s="52">
        <f>(EXP($B$7)/(1+(1/Data!$D$21)))*($B$3^(1+(1/Data!$D$21))-C11^(1+(1/Data!$D$21)))</f>
        <v>-7545033.1646392616</v>
      </c>
      <c r="K11" s="52">
        <f>(EXP($B$8)/(1+(1/Data!$D$22)))*($B$4^(1+(1/Data!$D$22))-D11^(1+(1/Data!$D$22)))</f>
        <v>-12600764.733308911</v>
      </c>
    </row>
    <row r="12" spans="1:11">
      <c r="A12" s="47">
        <f t="shared" si="0"/>
        <v>1.9500000000000008</v>
      </c>
      <c r="B12" s="52">
        <f t="shared" si="1"/>
        <v>152422.36053513639</v>
      </c>
      <c r="C12" s="52">
        <f t="shared" si="2"/>
        <v>73489.35240086932</v>
      </c>
      <c r="D12" s="52">
        <f t="shared" si="3"/>
        <v>103429.45893455684</v>
      </c>
      <c r="E12" s="52">
        <f t="shared" ref="E12:E51" si="4">$F$31</f>
        <v>484.20355422088215</v>
      </c>
      <c r="F12" s="52">
        <f>EXP((LN(B12)/Data!$D$20)+SLC!$B$6)</f>
        <v>186.50600259333956</v>
      </c>
      <c r="G12" s="52">
        <f>EXP((LN(C12)/Data!$D$21)+SLC!$B$7)</f>
        <v>82.744786808708824</v>
      </c>
      <c r="H12" s="52">
        <f>EXP((LN(D12)/Data!$D$22)+SLC!$B$8)</f>
        <v>122.18516088800534</v>
      </c>
      <c r="I12" s="52">
        <f>(EXP($B$6)/(1+(1/Data!$D$20)))*($B$2^(1+(1/Data!$D$20))-B12^(1+(1/Data!$D$20)))</f>
        <v>-21980553.578922767</v>
      </c>
      <c r="J12" s="52">
        <f>(EXP($B$7)/(1+(1/Data!$D$21)))*($B$3^(1+(1/Data!$D$21))-C12^(1+(1/Data!$D$21)))</f>
        <v>-7394241.9280583877</v>
      </c>
      <c r="K12" s="52">
        <f>(EXP($B$8)/(1+(1/Data!$D$22)))*($B$4^(1+(1/Data!$D$22))-D12^(1+(1/Data!$D$22)))</f>
        <v>-12285072.321988087</v>
      </c>
    </row>
    <row r="13" spans="1:11">
      <c r="A13" s="47">
        <f t="shared" si="0"/>
        <v>1.9000000000000008</v>
      </c>
      <c r="B13" s="52">
        <f t="shared" si="1"/>
        <v>148514.09488038931</v>
      </c>
      <c r="C13" s="52">
        <f t="shared" si="2"/>
        <v>71605.010031616272</v>
      </c>
      <c r="D13" s="52">
        <f t="shared" si="3"/>
        <v>100777.42152597847</v>
      </c>
      <c r="E13" s="52">
        <f t="shared" si="4"/>
        <v>484.20355422088215</v>
      </c>
      <c r="F13" s="52">
        <f>EXP((LN(B13)/Data!$D$20)+SLC!$B$6)</f>
        <v>193.55684883920281</v>
      </c>
      <c r="G13" s="52">
        <f>EXP((LN(C13)/Data!$D$21)+SLC!$B$7)</f>
        <v>88.630782626726329</v>
      </c>
      <c r="H13" s="52">
        <f>EXP((LN(D13)/Data!$D$22)+SLC!$B$8)</f>
        <v>128.90752802467063</v>
      </c>
      <c r="I13" s="52">
        <f>(EXP($B$6)/(1+(1/Data!$D$20)))*($B$2^(1+(1/Data!$D$20))-B13^(1+(1/Data!$D$20)))</f>
        <v>-21238005.142909929</v>
      </c>
      <c r="J13" s="52">
        <f>(EXP($B$7)/(1+(1/Data!$D$21)))*($B$3^(1+(1/Data!$D$21))-C13^(1+(1/Data!$D$21)))</f>
        <v>-7232864.3193972902</v>
      </c>
      <c r="K13" s="52">
        <f>(EXP($B$8)/(1+(1/Data!$D$22)))*($B$4^(1+(1/Data!$D$22))-D13^(1+(1/Data!$D$22)))</f>
        <v>-11952236.872607581</v>
      </c>
    </row>
    <row r="14" spans="1:11">
      <c r="A14" s="47">
        <f t="shared" si="0"/>
        <v>1.8500000000000008</v>
      </c>
      <c r="B14" s="52">
        <f t="shared" si="1"/>
        <v>144605.82922564223</v>
      </c>
      <c r="C14" s="52">
        <f t="shared" si="2"/>
        <v>69720.667662363208</v>
      </c>
      <c r="D14" s="52">
        <f t="shared" si="3"/>
        <v>98125.384117400085</v>
      </c>
      <c r="E14" s="52">
        <f t="shared" si="4"/>
        <v>484.20355422088215</v>
      </c>
      <c r="F14" s="52">
        <f>EXP((LN(B14)/Data!$D$20)+SLC!$B$6)</f>
        <v>201.07314706490683</v>
      </c>
      <c r="G14" s="52">
        <f>EXP((LN(C14)/Data!$D$21)+SLC!$B$7)</f>
        <v>95.109622670144731</v>
      </c>
      <c r="H14" s="52">
        <f>EXP((LN(D14)/Data!$D$22)+SLC!$B$8)</f>
        <v>136.19414257742724</v>
      </c>
      <c r="I14" s="52">
        <f>(EXP($B$6)/(1+(1/Data!$D$20)))*($B$2^(1+(1/Data!$D$20))-B14^(1+(1/Data!$D$20)))</f>
        <v>-20467004.25239975</v>
      </c>
      <c r="J14" s="52">
        <f>(EXP($B$7)/(1+(1/Data!$D$21)))*($B$3^(1+(1/Data!$D$21))-C14^(1+(1/Data!$D$21)))</f>
        <v>-7059848.3018543776</v>
      </c>
      <c r="K14" s="52">
        <f>(EXP($B$8)/(1+(1/Data!$D$22)))*($B$4^(1+(1/Data!$D$22))-D14^(1+(1/Data!$D$22)))</f>
        <v>-11600838.583893253</v>
      </c>
    </row>
    <row r="15" spans="1:11">
      <c r="A15" s="47">
        <f t="shared" si="0"/>
        <v>1.8000000000000007</v>
      </c>
      <c r="B15" s="52">
        <f t="shared" si="1"/>
        <v>140697.56357089514</v>
      </c>
      <c r="C15" s="52">
        <f t="shared" si="2"/>
        <v>67836.325293110145</v>
      </c>
      <c r="D15" s="52">
        <f t="shared" si="3"/>
        <v>95473.3467088217</v>
      </c>
      <c r="E15" s="52">
        <f t="shared" si="4"/>
        <v>484.20355422088215</v>
      </c>
      <c r="F15" s="52">
        <f>EXP((LN(B15)/Data!$D$20)+SLC!$B$6)</f>
        <v>209.09948621397982</v>
      </c>
      <c r="G15" s="52">
        <f>EXP((LN(C15)/Data!$D$21)+SLC!$B$7)</f>
        <v>102.259551921569</v>
      </c>
      <c r="H15" s="52">
        <f>EXP((LN(D15)/Data!$D$22)+SLC!$B$8)</f>
        <v>144.10959940151534</v>
      </c>
      <c r="I15" s="52">
        <f>(EXP($B$6)/(1+(1/Data!$D$20)))*($B$2^(1+(1/Data!$D$20))-B15^(1+(1/Data!$D$20)))</f>
        <v>-19665646.380627111</v>
      </c>
      <c r="J15" s="52">
        <f>(EXP($B$7)/(1+(1/Data!$D$21)))*($B$3^(1+(1/Data!$D$21))-C15^(1+(1/Data!$D$21)))</f>
        <v>-6874004.8845635569</v>
      </c>
      <c r="K15" s="52">
        <f>(EXP($B$8)/(1+(1/Data!$D$22)))*($B$4^(1+(1/Data!$D$22))-D15^(1+(1/Data!$D$22)))</f>
        <v>-11229297.324672999</v>
      </c>
    </row>
    <row r="16" spans="1:11">
      <c r="A16" s="47">
        <f t="shared" si="0"/>
        <v>1.7500000000000007</v>
      </c>
      <c r="B16" s="52">
        <f t="shared" si="1"/>
        <v>136789.29791614803</v>
      </c>
      <c r="C16" s="52">
        <f t="shared" si="2"/>
        <v>65951.982923857082</v>
      </c>
      <c r="D16" s="52">
        <f t="shared" si="3"/>
        <v>92821.309300243316</v>
      </c>
      <c r="E16" s="52">
        <f t="shared" si="4"/>
        <v>484.20355422088215</v>
      </c>
      <c r="F16" s="52">
        <f>EXP((LN(B16)/Data!$D$20)+SLC!$B$6)</f>
        <v>217.68613099528858</v>
      </c>
      <c r="G16" s="52">
        <f>EXP((LN(C16)/Data!$D$21)+SLC!$B$7)</f>
        <v>110.17173079257911</v>
      </c>
      <c r="H16" s="52">
        <f>EXP((LN(D16)/Data!$D$22)+SLC!$B$8)</f>
        <v>152.72797525029969</v>
      </c>
      <c r="I16" s="52">
        <f>(EXP($B$6)/(1+(1/Data!$D$20)))*($B$2^(1+(1/Data!$D$20))-B16^(1+(1/Data!$D$20)))</f>
        <v>-18831841.915671505</v>
      </c>
      <c r="J16" s="52">
        <f>(EXP($B$7)/(1+(1/Data!$D$21)))*($B$3^(1+(1/Data!$D$21))-C16^(1+(1/Data!$D$21)))</f>
        <v>-6673985.8324251026</v>
      </c>
      <c r="K16" s="52">
        <f>(EXP($B$8)/(1+(1/Data!$D$22)))*($B$4^(1+(1/Data!$D$22))-D16^(1+(1/Data!$D$22)))</f>
        <v>-10835849.426299779</v>
      </c>
    </row>
    <row r="17" spans="1:11">
      <c r="A17" s="47">
        <f t="shared" si="0"/>
        <v>1.7000000000000006</v>
      </c>
      <c r="B17" s="52">
        <f t="shared" si="1"/>
        <v>132881.03226140095</v>
      </c>
      <c r="C17" s="52">
        <f t="shared" si="2"/>
        <v>64067.640554604026</v>
      </c>
      <c r="D17" s="52">
        <f t="shared" si="3"/>
        <v>90169.271891664932</v>
      </c>
      <c r="E17" s="52">
        <f t="shared" si="4"/>
        <v>484.20355422088215</v>
      </c>
      <c r="F17" s="52">
        <f>EXP((LN(B17)/Data!$D$20)+SLC!$B$6)</f>
        <v>226.88993367531526</v>
      </c>
      <c r="G17" s="52">
        <f>EXP((LN(C17)/Data!$D$21)+SLC!$B$7)</f>
        <v>118.95281988151208</v>
      </c>
      <c r="H17" s="52">
        <f>EXP((LN(D17)/Data!$D$22)+SLC!$B$8)</f>
        <v>162.13454523947246</v>
      </c>
      <c r="I17" s="52">
        <f>(EXP($B$6)/(1+(1/Data!$D$20)))*($B$2^(1+(1/Data!$D$20))-B17^(1+(1/Data!$D$20)))</f>
        <v>-17963292.248678267</v>
      </c>
      <c r="J17" s="52">
        <f>(EXP($B$7)/(1+(1/Data!$D$21)))*($B$3^(1+(1/Data!$D$21))-C17^(1+(1/Data!$D$21)))</f>
        <v>-6458256.9788912022</v>
      </c>
      <c r="K17" s="52">
        <f>(EXP($B$8)/(1+(1/Data!$D$22)))*($B$4^(1+(1/Data!$D$22))-D17^(1+(1/Data!$D$22)))</f>
        <v>-10418520.333751455</v>
      </c>
    </row>
    <row r="18" spans="1:11">
      <c r="A18" s="47">
        <f t="shared" si="0"/>
        <v>1.6500000000000006</v>
      </c>
      <c r="B18" s="52">
        <f t="shared" si="1"/>
        <v>128972.76660665387</v>
      </c>
      <c r="C18" s="52">
        <f t="shared" si="2"/>
        <v>62183.298185350963</v>
      </c>
      <c r="D18" s="52">
        <f t="shared" si="3"/>
        <v>87517.234483086548</v>
      </c>
      <c r="E18" s="52">
        <f t="shared" si="4"/>
        <v>484.20355422088215</v>
      </c>
      <c r="F18" s="52">
        <f>EXP((LN(B18)/Data!$D$20)+SLC!$B$6)</f>
        <v>236.77542461296338</v>
      </c>
      <c r="G18" s="52">
        <f>EXP((LN(C18)/Data!$D$21)+SLC!$B$7)</f>
        <v>128.72817825540861</v>
      </c>
      <c r="H18" s="52">
        <f>EXP((LN(D18)/Data!$D$22)+SLC!$B$8)</f>
        <v>172.42787240512493</v>
      </c>
      <c r="I18" s="52">
        <f>(EXP($B$6)/(1+(1/Data!$D$20)))*($B$2^(1+(1/Data!$D$20))-B18^(1+(1/Data!$D$20)))</f>
        <v>-17057461.961305968</v>
      </c>
      <c r="J18" s="52">
        <f>(EXP($B$7)/(1+(1/Data!$D$21)))*($B$3^(1+(1/Data!$D$21))-C18^(1+(1/Data!$D$21)))</f>
        <v>-6225066.1133301267</v>
      </c>
      <c r="K18" s="52">
        <f>(EXP($B$8)/(1+(1/Data!$D$22)))*($B$4^(1+(1/Data!$D$22))-D18^(1+(1/Data!$D$22)))</f>
        <v>-9975092.2283820175</v>
      </c>
    </row>
    <row r="19" spans="1:11">
      <c r="A19" s="47">
        <f t="shared" si="0"/>
        <v>1.6000000000000005</v>
      </c>
      <c r="B19" s="52">
        <f t="shared" si="1"/>
        <v>125064.50095190678</v>
      </c>
      <c r="C19" s="52">
        <f t="shared" si="2"/>
        <v>60298.955816097907</v>
      </c>
      <c r="D19" s="52">
        <f t="shared" si="3"/>
        <v>84865.197074508178</v>
      </c>
      <c r="E19" s="52">
        <f t="shared" si="4"/>
        <v>484.20355422088215</v>
      </c>
      <c r="F19" s="52">
        <f>EXP((LN(B19)/Data!$D$20)+SLC!$B$6)</f>
        <v>247.41612329925977</v>
      </c>
      <c r="G19" s="52">
        <f>EXP((LN(C19)/Data!$D$21)+SLC!$B$7)</f>
        <v>139.64584518366044</v>
      </c>
      <c r="H19" s="52">
        <f>EXP((LN(D19)/Data!$D$22)+SLC!$B$8)</f>
        <v>183.72236586740601</v>
      </c>
      <c r="I19" s="52">
        <f>(EXP($B$6)/(1+(1/Data!$D$20)))*($B$2^(1+(1/Data!$D$20))-B19^(1+(1/Data!$D$20)))</f>
        <v>-16111546.335456803</v>
      </c>
      <c r="J19" s="52">
        <f>(EXP($B$7)/(1+(1/Data!$D$21)))*($B$3^(1+(1/Data!$D$21))-C19^(1+(1/Data!$D$21)))</f>
        <v>-5972404.1340531949</v>
      </c>
      <c r="K19" s="52">
        <f>(EXP($B$8)/(1+(1/Data!$D$22)))*($B$4^(1+(1/Data!$D$22))-D19^(1+(1/Data!$D$22)))</f>
        <v>-9503065.5116205364</v>
      </c>
    </row>
    <row r="20" spans="1:11">
      <c r="A20" s="47">
        <f t="shared" si="0"/>
        <v>1.5500000000000005</v>
      </c>
      <c r="B20" s="52">
        <f t="shared" si="1"/>
        <v>121156.23529715968</v>
      </c>
      <c r="C20" s="52">
        <f t="shared" si="2"/>
        <v>58414.613446844844</v>
      </c>
      <c r="D20" s="52">
        <f t="shared" si="3"/>
        <v>82213.159665929794</v>
      </c>
      <c r="E20" s="52">
        <f t="shared" si="4"/>
        <v>484.20355422088215</v>
      </c>
      <c r="F20" s="52">
        <f>EXP((LN(B20)/Data!$D$20)+SLC!$B$6)</f>
        <v>258.89612309449416</v>
      </c>
      <c r="G20" s="52">
        <f>EXP((LN(C20)/Data!$D$21)+SLC!$B$7)</f>
        <v>151.88152948924252</v>
      </c>
      <c r="H20" s="52">
        <f>EXP((LN(D20)/Data!$D$22)+SLC!$B$8)</f>
        <v>196.15143149395092</v>
      </c>
      <c r="I20" s="52">
        <f>(EXP($B$6)/(1+(1/Data!$D$20)))*($B$2^(1+(1/Data!$D$20))-B20^(1+(1/Data!$D$20)))</f>
        <v>-15122433.223799668</v>
      </c>
      <c r="J20" s="52">
        <f>(EXP($B$7)/(1+(1/Data!$D$21)))*($B$3^(1+(1/Data!$D$21))-C20^(1+(1/Data!$D$21)))</f>
        <v>-5697957.7893859511</v>
      </c>
      <c r="K20" s="52">
        <f>(EXP($B$8)/(1+(1/Data!$D$22)))*($B$4^(1+(1/Data!$D$22))-D20^(1+(1/Data!$D$22)))</f>
        <v>-8999612.74978837</v>
      </c>
    </row>
    <row r="21" spans="1:11">
      <c r="A21" s="47">
        <f t="shared" si="0"/>
        <v>1.5000000000000004</v>
      </c>
      <c r="B21" s="52">
        <f t="shared" si="1"/>
        <v>117247.9696424126</v>
      </c>
      <c r="C21" s="52">
        <f t="shared" si="2"/>
        <v>56530.27107759178</v>
      </c>
      <c r="D21" s="52">
        <f t="shared" si="3"/>
        <v>79561.12225735141</v>
      </c>
      <c r="E21" s="52">
        <f t="shared" si="4"/>
        <v>484.20355422088215</v>
      </c>
      <c r="F21" s="52">
        <f>EXP((LN(B21)/Data!$D$20)+SLC!$B$6)</f>
        <v>271.31201790242778</v>
      </c>
      <c r="G21" s="52">
        <f>EXP((LN(C21)/Data!$D$21)+SLC!$B$7)</f>
        <v>165.64490467944736</v>
      </c>
      <c r="H21" s="52">
        <f>EXP((LN(D21)/Data!$D$22)+SLC!$B$8)</f>
        <v>209.87137702124411</v>
      </c>
      <c r="I21" s="52">
        <f>(EXP($B$6)/(1+(1/Data!$D$20)))*($B$2^(1+(1/Data!$D$20))-B21^(1+(1/Data!$D$20)))</f>
        <v>-14086658.083664406</v>
      </c>
      <c r="J21" s="52">
        <f>(EXP($B$7)/(1+(1/Data!$D$21)))*($B$3^(1+(1/Data!$D$21))-C21^(1+(1/Data!$D$21)))</f>
        <v>-5399051.840698706</v>
      </c>
      <c r="K21" s="52">
        <f>(EXP($B$8)/(1+(1/Data!$D$22)))*($B$4^(1+(1/Data!$D$22))-D21^(1+(1/Data!$D$22)))</f>
        <v>-8461523.3036609702</v>
      </c>
    </row>
    <row r="22" spans="1:11">
      <c r="A22" s="47">
        <f t="shared" si="0"/>
        <v>1.4500000000000004</v>
      </c>
      <c r="B22" s="52">
        <f t="shared" si="1"/>
        <v>113339.7039876655</v>
      </c>
      <c r="C22" s="52">
        <f t="shared" si="2"/>
        <v>54645.928708338724</v>
      </c>
      <c r="D22" s="52">
        <f t="shared" si="3"/>
        <v>76909.084848773025</v>
      </c>
      <c r="E22" s="52">
        <f t="shared" si="4"/>
        <v>484.20355422088215</v>
      </c>
      <c r="F22" s="52">
        <f>EXP((LN(B22)/Data!$D$20)+SLC!$B$6)</f>
        <v>284.77525899488199</v>
      </c>
      <c r="G22" s="52">
        <f>EXP((LN(C22)/Data!$D$21)+SLC!$B$7)</f>
        <v>181.18760992268395</v>
      </c>
      <c r="H22" s="52">
        <f>EXP((LN(D22)/Data!$D$22)+SLC!$B$8)</f>
        <v>225.06628509520814</v>
      </c>
      <c r="I22" s="52">
        <f>(EXP($B$6)/(1+(1/Data!$D$20)))*($B$2^(1+(1/Data!$D$20))-B22^(1+(1/Data!$D$20)))</f>
        <v>-13000350.673025783</v>
      </c>
      <c r="J22" s="52">
        <f>(EXP($B$7)/(1+(1/Data!$D$21)))*($B$3^(1+(1/Data!$D$21))-C22^(1+(1/Data!$D$21)))</f>
        <v>-5072577.8286474254</v>
      </c>
      <c r="K22" s="52">
        <f>(EXP($B$8)/(1+(1/Data!$D$22)))*($B$4^(1+(1/Data!$D$22))-D22^(1+(1/Data!$D$22)))</f>
        <v>-7885136.3720734064</v>
      </c>
    </row>
    <row r="23" spans="1:11">
      <c r="A23" s="47">
        <f t="shared" si="0"/>
        <v>1.4000000000000004</v>
      </c>
      <c r="B23" s="52">
        <f t="shared" si="1"/>
        <v>109431.43833291842</v>
      </c>
      <c r="C23" s="52">
        <f t="shared" si="2"/>
        <v>52761.586339085661</v>
      </c>
      <c r="D23" s="52">
        <f t="shared" si="3"/>
        <v>74257.047440194641</v>
      </c>
      <c r="E23" s="52">
        <f t="shared" si="4"/>
        <v>484.20355422088215</v>
      </c>
      <c r="F23" s="52">
        <f>EXP((LN(B23)/Data!$D$20)+SLC!$B$6)</f>
        <v>299.4150569486855</v>
      </c>
      <c r="G23" s="52">
        <f>EXP((LN(C23)/Data!$D$21)+SLC!$B$7)</f>
        <v>198.81349868668235</v>
      </c>
      <c r="H23" s="52">
        <f>EXP((LN(D23)/Data!$D$22)+SLC!$B$8)</f>
        <v>241.95413804001996</v>
      </c>
      <c r="I23" s="52">
        <f>(EXP($B$6)/(1+(1/Data!$D$20)))*($B$2^(1+(1/Data!$D$20))-B23^(1+(1/Data!$D$20)))</f>
        <v>-11859171.512840124</v>
      </c>
      <c r="J23" s="52">
        <f>(EXP($B$7)/(1+(1/Data!$D$21)))*($B$3^(1+(1/Data!$D$21))-C23^(1+(1/Data!$D$21)))</f>
        <v>-4714905.743906362</v>
      </c>
      <c r="K23" s="52">
        <f>(EXP($B$8)/(1+(1/Data!$D$22)))*($B$4^(1+(1/Data!$D$22))-D23^(1+(1/Data!$D$22)))</f>
        <v>-7266259.5243942346</v>
      </c>
    </row>
    <row r="24" spans="1:11">
      <c r="A24" s="47">
        <f t="shared" si="0"/>
        <v>1.3500000000000003</v>
      </c>
      <c r="B24" s="52">
        <f t="shared" si="1"/>
        <v>105523.17267817134</v>
      </c>
      <c r="C24" s="52">
        <f t="shared" si="2"/>
        <v>50877.243969832598</v>
      </c>
      <c r="D24" s="52">
        <f t="shared" si="3"/>
        <v>71605.010031616257</v>
      </c>
      <c r="E24" s="52">
        <f t="shared" si="4"/>
        <v>484.20355422088215</v>
      </c>
      <c r="F24" s="52">
        <f>EXP((LN(B24)/Data!$D$20)+SLC!$B$6)</f>
        <v>315.38197981687438</v>
      </c>
      <c r="G24" s="52">
        <f>EXP((LN(C24)/Data!$D$21)+SLC!$B$7)</f>
        <v>218.89187613512192</v>
      </c>
      <c r="H24" s="52">
        <f>EXP((LN(D24)/Data!$D$22)+SLC!$B$8)</f>
        <v>260.79457522216603</v>
      </c>
      <c r="I24" s="52">
        <f>(EXP($B$6)/(1+(1/Data!$D$20)))*($B$2^(1+(1/Data!$D$20))-B24^(1+(1/Data!$D$20)))</f>
        <v>-10658235.703638181</v>
      </c>
      <c r="J24" s="52">
        <f>(EXP($B$7)/(1+(1/Data!$D$21)))*($B$3^(1+(1/Data!$D$21))-C24^(1+(1/Data!$D$21)))</f>
        <v>-4321773.7057562415</v>
      </c>
      <c r="K24" s="52">
        <f>(EXP($B$8)/(1+(1/Data!$D$22)))*($B$4^(1+(1/Data!$D$22))-D24^(1+(1/Data!$D$22)))</f>
        <v>-6600068.9223169154</v>
      </c>
    </row>
    <row r="25" spans="1:11">
      <c r="A25" s="47">
        <f t="shared" si="0"/>
        <v>1.3000000000000003</v>
      </c>
      <c r="B25" s="52">
        <f t="shared" si="1"/>
        <v>101614.90702342424</v>
      </c>
      <c r="C25" s="52">
        <f t="shared" si="2"/>
        <v>48992.901600579542</v>
      </c>
      <c r="D25" s="52">
        <f t="shared" si="3"/>
        <v>68952.972623037887</v>
      </c>
      <c r="E25" s="52">
        <f t="shared" si="4"/>
        <v>484.20355422088215</v>
      </c>
      <c r="F25" s="52">
        <f>EXP((LN(B25)/Data!$D$20)+SLC!$B$6)</f>
        <v>332.85244803162834</v>
      </c>
      <c r="G25" s="52">
        <f>EXP((LN(C25)/Data!$D$21)+SLC!$B$7)</f>
        <v>241.87474974590805</v>
      </c>
      <c r="H25" s="52">
        <f>EXP((LN(D25)/Data!$D$22)+SLC!$B$8)</f>
        <v>281.89879922993782</v>
      </c>
      <c r="I25" s="52">
        <f>(EXP($B$6)/(1+(1/Data!$D$20)))*($B$2^(1+(1/Data!$D$20))-B25^(1+(1/Data!$D$20)))</f>
        <v>-9392021.0022467356</v>
      </c>
      <c r="J25" s="52">
        <f>(EXP($B$7)/(1+(1/Data!$D$21)))*($B$3^(1+(1/Data!$D$21))-C25^(1+(1/Data!$D$21)))</f>
        <v>-3888149.1043159245</v>
      </c>
      <c r="K25" s="52">
        <f>(EXP($B$8)/(1+(1/Data!$D$22)))*($B$4^(1+(1/Data!$D$22))-D25^(1+(1/Data!$D$22)))</f>
        <v>-5880986.2519567851</v>
      </c>
    </row>
    <row r="26" spans="1:11">
      <c r="A26" s="47">
        <f t="shared" si="0"/>
        <v>1.2500000000000002</v>
      </c>
      <c r="B26" s="52">
        <f t="shared" si="1"/>
        <v>97706.641368677156</v>
      </c>
      <c r="C26" s="52">
        <f t="shared" si="2"/>
        <v>47108.559231326479</v>
      </c>
      <c r="D26" s="52">
        <f t="shared" si="3"/>
        <v>66300.935214459503</v>
      </c>
      <c r="E26" s="52">
        <f t="shared" si="4"/>
        <v>484.20355422088215</v>
      </c>
      <c r="F26" s="52">
        <f>EXP((LN(B26)/Data!$D$20)+SLC!$B$6)</f>
        <v>352.03439468502108</v>
      </c>
      <c r="G26" s="52">
        <f>EXP((LN(C26)/Data!$D$21)+SLC!$B$7)</f>
        <v>268.3195254689544</v>
      </c>
      <c r="H26" s="52">
        <f>EXP((LN(D26)/Data!$D$22)+SLC!$B$8)</f>
        <v>305.64233802408552</v>
      </c>
      <c r="I26" s="52">
        <f>(EXP($B$6)/(1+(1/Data!$D$20)))*($B$2^(1+(1/Data!$D$20))-B26^(1+(1/Data!$D$20)))</f>
        <v>-8054256.155003815</v>
      </c>
      <c r="J26" s="52">
        <f>(EXP($B$7)/(1+(1/Data!$D$21)))*($B$3^(1+(1/Data!$D$21))-C26^(1+(1/Data!$D$21)))</f>
        <v>-3408052.3711573663</v>
      </c>
      <c r="K26" s="52">
        <f>(EXP($B$8)/(1+(1/Data!$D$22)))*($B$4^(1+(1/Data!$D$22))-D26^(1+(1/Data!$D$22)))</f>
        <v>-5102525.7797520971</v>
      </c>
    </row>
    <row r="27" spans="1:11">
      <c r="A27" s="47">
        <f t="shared" si="0"/>
        <v>1.2000000000000002</v>
      </c>
      <c r="B27" s="52">
        <f t="shared" si="1"/>
        <v>93798.375713930072</v>
      </c>
      <c r="C27" s="52">
        <f t="shared" si="2"/>
        <v>45224.216862073423</v>
      </c>
      <c r="D27" s="52">
        <f t="shared" si="3"/>
        <v>63648.897805881119</v>
      </c>
      <c r="E27" s="52">
        <f t="shared" si="4"/>
        <v>484.20355422088215</v>
      </c>
      <c r="F27" s="52">
        <f>EXP((LN(B27)/Data!$D$20)+SLC!$B$6)</f>
        <v>373.17445498113108</v>
      </c>
      <c r="G27" s="52">
        <f>EXP((LN(C27)/Data!$D$21)+SLC!$B$7)</f>
        <v>298.91917647136734</v>
      </c>
      <c r="H27" s="52">
        <f>EXP((LN(D27)/Data!$D$22)+SLC!$B$8)</f>
        <v>332.48164288976608</v>
      </c>
      <c r="I27" s="52">
        <f>(EXP($B$6)/(1+(1/Data!$D$20)))*($B$2^(1+(1/Data!$D$20))-B27^(1+(1/Data!$D$20)))</f>
        <v>-6637784.2584610451</v>
      </c>
      <c r="J27" s="52">
        <f>(EXP($B$7)/(1+(1/Data!$D$21)))*($B$3^(1+(1/Data!$D$21))-C27^(1+(1/Data!$D$21)))</f>
        <v>-2874331.3194785942</v>
      </c>
      <c r="K27" s="52">
        <f>(EXP($B$8)/(1+(1/Data!$D$22)))*($B$4^(1+(1/Data!$D$22))-D27^(1+(1/Data!$D$22)))</f>
        <v>-4257102.730493186</v>
      </c>
    </row>
    <row r="28" spans="1:11">
      <c r="A28" s="47">
        <f t="shared" si="0"/>
        <v>1.1500000000000001</v>
      </c>
      <c r="B28" s="52">
        <f t="shared" si="1"/>
        <v>89890.110059182975</v>
      </c>
      <c r="C28" s="52">
        <f t="shared" si="2"/>
        <v>43339.87449282036</v>
      </c>
      <c r="D28" s="52">
        <f t="shared" si="3"/>
        <v>60996.860397302735</v>
      </c>
      <c r="E28" s="52">
        <f t="shared" si="4"/>
        <v>484.20355422088215</v>
      </c>
      <c r="F28" s="52">
        <f>EXP((LN(B28)/Data!$D$20)+SLC!$B$6)</f>
        <v>396.56718314837144</v>
      </c>
      <c r="G28" s="52">
        <f>EXP((LN(C28)/Data!$D$21)+SLC!$B$7)</f>
        <v>334.54279097764345</v>
      </c>
      <c r="H28" s="52">
        <f>EXP((LN(D28)/Data!$D$22)+SLC!$B$8)</f>
        <v>362.97589660553649</v>
      </c>
      <c r="I28" s="52">
        <f>(EXP($B$6)/(1+(1/Data!$D$20)))*($B$2^(1+(1/Data!$D$20))-B28^(1+(1/Data!$D$20)))</f>
        <v>-5134394.2493470069</v>
      </c>
      <c r="J28" s="52">
        <f>(EXP($B$7)/(1+(1/Data!$D$21)))*($B$3^(1+(1/Data!$D$21))-C28^(1+(1/Data!$D$21)))</f>
        <v>-2278369.4016077258</v>
      </c>
      <c r="K28" s="52">
        <f>(EXP($B$8)/(1+(1/Data!$D$22)))*($B$4^(1+(1/Data!$D$22))-D28^(1+(1/Data!$D$22)))</f>
        <v>-3335791.0967600392</v>
      </c>
    </row>
    <row r="29" spans="1:11">
      <c r="A29" s="47">
        <f t="shared" si="0"/>
        <v>1.1000000000000001</v>
      </c>
      <c r="B29" s="52">
        <f t="shared" si="1"/>
        <v>85981.844404435891</v>
      </c>
      <c r="C29" s="52">
        <f t="shared" si="2"/>
        <v>41455.532123567296</v>
      </c>
      <c r="D29" s="52">
        <f t="shared" si="3"/>
        <v>58344.822988724351</v>
      </c>
      <c r="E29" s="52">
        <f t="shared" si="4"/>
        <v>484.20355422088215</v>
      </c>
      <c r="F29" s="52">
        <f>EXP((LN(B29)/Data!$D$20)+SLC!$B$6)</f>
        <v>422.56698776604361</v>
      </c>
      <c r="G29" s="52">
        <f>EXP((LN(C29)/Data!$D$21)+SLC!$B$7)</f>
        <v>376.290725997697</v>
      </c>
      <c r="H29" s="52">
        <f>EXP((LN(D29)/Data!$D$22)+SLC!$B$8)</f>
        <v>397.81598543976156</v>
      </c>
      <c r="I29" s="52">
        <f>(EXP($B$6)/(1+(1/Data!$D$20)))*($B$2^(1+(1/Data!$D$20))-B29^(1+(1/Data!$D$20)))</f>
        <v>-3534611.3245513481</v>
      </c>
      <c r="J29" s="52">
        <f>(EXP($B$7)/(1+(1/Data!$D$21)))*($B$3^(1+(1/Data!$D$21))-C29^(1+(1/Data!$D$21)))</f>
        <v>-1609704.5963846461</v>
      </c>
      <c r="K29" s="52">
        <f>(EXP($B$8)/(1+(1/Data!$D$22)))*($B$4^(1+(1/Data!$D$22))-D29^(1+(1/Data!$D$22)))</f>
        <v>-2328014.6259424938</v>
      </c>
    </row>
    <row r="30" spans="1:11">
      <c r="A30" s="47">
        <f t="shared" si="0"/>
        <v>1.05</v>
      </c>
      <c r="B30" s="52">
        <f t="shared" si="1"/>
        <v>82073.578749688793</v>
      </c>
      <c r="C30" s="52">
        <f t="shared" si="2"/>
        <v>39571.18975431424</v>
      </c>
      <c r="D30" s="52">
        <f t="shared" si="3"/>
        <v>55692.785580145974</v>
      </c>
      <c r="E30" s="52">
        <f t="shared" si="4"/>
        <v>484.20355422088215</v>
      </c>
      <c r="F30" s="52">
        <f>EXP((LN(B30)/Data!$D$20)+SLC!$B$6)</f>
        <v>451.60375645698406</v>
      </c>
      <c r="G30" s="52">
        <f>EXP((LN(C30)/Data!$D$21)+SLC!$B$7)</f>
        <v>425.57060842486277</v>
      </c>
      <c r="H30" s="52">
        <f>EXP((LN(D30)/Data!$D$22)+SLC!$B$8)</f>
        <v>437.86345195217621</v>
      </c>
      <c r="I30" s="52">
        <f>(EXP($B$6)/(1+(1/Data!$D$20)))*($B$2^(1+(1/Data!$D$20))-B30^(1+(1/Data!$D$20)))</f>
        <v>-1827433.8789728989</v>
      </c>
      <c r="J30" s="52">
        <f>(EXP($B$7)/(1+(1/Data!$D$21)))*($B$3^(1+(1/Data!$D$21))-C30^(1+(1/Data!$D$21)))</f>
        <v>-855525.91193645424</v>
      </c>
      <c r="K30" s="52">
        <f>(EXP($B$8)/(1+(1/Data!$D$22)))*($B$4^(1+(1/Data!$D$22))-D30^(1+(1/Data!$D$22)))</f>
        <v>-1221148.4825680966</v>
      </c>
    </row>
    <row r="31" spans="1:11">
      <c r="A31" s="47">
        <v>1</v>
      </c>
      <c r="B31" s="52">
        <f>B2</f>
        <v>78165.31309494171</v>
      </c>
      <c r="C31" s="52">
        <f>B3</f>
        <v>37686.847385061177</v>
      </c>
      <c r="D31" s="52">
        <f>B4</f>
        <v>53040.748171567589</v>
      </c>
      <c r="E31" s="52">
        <f t="shared" si="4"/>
        <v>484.20355422088215</v>
      </c>
      <c r="F31" s="52">
        <f>EXP((LN(B31)/Data!$D$20)+SLC!$B$6)</f>
        <v>484.20355422088215</v>
      </c>
      <c r="G31" s="52">
        <f>EXP((LN(C31)/Data!$D$21)+SLC!$B$7)</f>
        <v>484.20355422088386</v>
      </c>
      <c r="H31" s="52">
        <f>EXP((LN(D31)/Data!$D$22)+SLC!$B$8)</f>
        <v>484.20355422088215</v>
      </c>
      <c r="I31" s="38">
        <f>(EXP($B$6)/(1+(1/Data!$D$20)))*($B$2^(1+(1/Data!$D$20))-B31^(1+(1/Data!$D$20)))</f>
        <v>0</v>
      </c>
      <c r="J31" s="38">
        <f>(EXP($B$7)/(1+(1/Data!$D$21)))*($B$3^(1+(1/Data!$D$21))-C31^(1+(1/Data!$D$21)))</f>
        <v>0</v>
      </c>
      <c r="K31" s="38">
        <f>(EXP($B$8)/(1+(1/Data!$D$22)))*($B$4^(1+(1/Data!$D$22))-D31^(1+(1/Data!$D$22)))</f>
        <v>0</v>
      </c>
    </row>
    <row r="32" spans="1:11">
      <c r="A32" s="47">
        <v>0.95</v>
      </c>
      <c r="B32" s="52">
        <f>$B$31*A32</f>
        <v>74257.047440194627</v>
      </c>
      <c r="C32" s="52">
        <f>$C$31*A32</f>
        <v>35802.505015808114</v>
      </c>
      <c r="D32" s="52">
        <f>$D$31*A32</f>
        <v>50388.710762989205</v>
      </c>
      <c r="E32" s="52">
        <f t="shared" si="4"/>
        <v>484.20355422088215</v>
      </c>
      <c r="F32" s="52">
        <f>EXP((LN(B32)/Data!$D$20)+SLC!$B$6)</f>
        <v>521.01640027599092</v>
      </c>
      <c r="G32" s="52">
        <f>EXP((LN(C32)/Data!$D$21)+SLC!$B$7)</f>
        <v>554.57493136684695</v>
      </c>
      <c r="H32" s="52">
        <f>EXP((LN(D32)/Data!$D$22)+SLC!$B$8)</f>
        <v>538.21857707604124</v>
      </c>
      <c r="I32" s="52">
        <f>(EXP($B$6)/(1+(1/Data!$D$20)))*($B$2^(1+(1/Data!$D$20))-B32^(1+(1/Data!$D$20)))/1000000</f>
        <v>1.9628399817946904</v>
      </c>
      <c r="J32" s="52">
        <f>(EXP($B$7)/(1+(1/Data!$D$21)))*($B$3^(1+(1/Data!$D$21))-C32^(1+(1/Data!$D$21)))/1000000</f>
        <v>0.97664158430172054</v>
      </c>
      <c r="K32" s="52">
        <f>(EXP($B$8)/(1+(1/Data!$D$22)))*($B$4^(1+(1/Data!$D$22))-D32^(1+(1/Data!$D$22)))/1000000</f>
        <v>1.3538764870040283</v>
      </c>
    </row>
    <row r="33" spans="1:11">
      <c r="A33" s="47">
        <v>0.9</v>
      </c>
      <c r="B33" s="52">
        <f t="shared" ref="B33:B50" si="5">$B$31*A33</f>
        <v>70348.781785447543</v>
      </c>
      <c r="C33" s="52">
        <f t="shared" ref="C33:C50" si="6">$C$31*A33</f>
        <v>33918.162646555058</v>
      </c>
      <c r="D33" s="52">
        <f t="shared" ref="D33:D50" si="7">$D$31*A33</f>
        <v>47736.673354410828</v>
      </c>
      <c r="E33" s="52">
        <f t="shared" si="4"/>
        <v>484.20355422088215</v>
      </c>
      <c r="F33" s="52">
        <f>EXP((LN(B33)/Data!$D$20)+SLC!$B$6)</f>
        <v>562.85407754944447</v>
      </c>
      <c r="G33" s="52">
        <f>EXP((LN(C33)/Data!$D$21)+SLC!$B$7)</f>
        <v>639.85200522654247</v>
      </c>
      <c r="H33" s="52">
        <f>EXP((LN(D33)/Data!$D$22)+SLC!$B$8)</f>
        <v>601.69072141417178</v>
      </c>
      <c r="I33" s="52">
        <f>(EXP($B$6)/(1+(1/Data!$D$20)))*($B$2^(1+(1/Data!$D$20))-B33^(1+(1/Data!$D$20)))/1000000</f>
        <v>4.0790779428383068</v>
      </c>
      <c r="J33" s="52">
        <f>(EXP($B$7)/(1+(1/Data!$D$21)))*($B$3^(1+(1/Data!$D$21))-C33^(1+(1/Data!$D$21)))/1000000</f>
        <v>2.0993578717197492</v>
      </c>
      <c r="K33" s="52">
        <f>(EXP($B$8)/(1+(1/Data!$D$22)))*($B$4^(1+(1/Data!$D$22))-D33^(1+(1/Data!$D$22)))/1000000</f>
        <v>2.863095928117243</v>
      </c>
    </row>
    <row r="34" spans="1:11">
      <c r="A34" s="47">
        <v>0.85</v>
      </c>
      <c r="B34" s="52">
        <f t="shared" si="5"/>
        <v>66440.516130700446</v>
      </c>
      <c r="C34" s="52">
        <f t="shared" si="6"/>
        <v>32033.820277301998</v>
      </c>
      <c r="D34" s="52">
        <f t="shared" si="7"/>
        <v>45084.635945832451</v>
      </c>
      <c r="E34" s="52">
        <f t="shared" si="4"/>
        <v>484.20355422088215</v>
      </c>
      <c r="F34" s="52">
        <f>EXP((LN(B34)/Data!$D$20)+SLC!$B$6)</f>
        <v>610.74241087989992</v>
      </c>
      <c r="G34" s="52">
        <f>EXP((LN(C34)/Data!$D$21)+SLC!$B$7)</f>
        <v>744.30406644959703</v>
      </c>
      <c r="H34" s="52">
        <f>EXP((LN(D34)/Data!$D$22)+SLC!$B$8)</f>
        <v>676.94901586320964</v>
      </c>
      <c r="I34" s="52">
        <f>(EXP($B$6)/(1+(1/Data!$D$20)))*($B$2^(1+(1/Data!$D$20))-B34^(1+(1/Data!$D$20)))/1000000</f>
        <v>6.3702766969567417</v>
      </c>
      <c r="J34" s="52">
        <f>(EXP($B$7)/(1+(1/Data!$D$21)))*($B$3^(1+(1/Data!$D$21))-C34^(1+(1/Data!$D$21)))/1000000</f>
        <v>3.4000536312573155</v>
      </c>
      <c r="K34" s="52">
        <f>(EXP($B$8)/(1+(1/Data!$D$22)))*($B$4^(1+(1/Data!$D$22))-D34^(1+(1/Data!$D$22)))/1000000</f>
        <v>4.5556861323769642</v>
      </c>
    </row>
    <row r="35" spans="1:11">
      <c r="A35" s="47">
        <v>0.8</v>
      </c>
      <c r="B35" s="52">
        <f t="shared" si="5"/>
        <v>62532.250475953369</v>
      </c>
      <c r="C35" s="52">
        <f t="shared" si="6"/>
        <v>30149.477908048942</v>
      </c>
      <c r="D35" s="52">
        <f t="shared" si="7"/>
        <v>42432.598537254074</v>
      </c>
      <c r="E35" s="52">
        <f t="shared" si="4"/>
        <v>484.20355422088215</v>
      </c>
      <c r="F35" s="52">
        <f>EXP((LN(B35)/Data!$D$20)+SLC!$B$6)</f>
        <v>665.99481601764921</v>
      </c>
      <c r="G35" s="52">
        <f>EXP((LN(C35)/Data!$D$21)+SLC!$B$7)</f>
        <v>873.78315651972321</v>
      </c>
      <c r="H35" s="52">
        <f>EXP((LN(D35)/Data!$D$22)+SLC!$B$8)</f>
        <v>767.0831319895816</v>
      </c>
      <c r="I35" s="52">
        <f>(EXP($B$6)/(1+(1/Data!$D$20)))*($B$2^(1+(1/Data!$D$20))-B35^(1+(1/Data!$D$20)))/1000000</f>
        <v>8.8625418782676881</v>
      </c>
      <c r="J35" s="52">
        <f>(EXP($B$7)/(1+(1/Data!$D$21)))*($B$3^(1+(1/Data!$D$21))-C35^(1+(1/Data!$D$21)))/1000000</f>
        <v>4.9200774880655977</v>
      </c>
      <c r="K35" s="52">
        <f>(EXP($B$8)/(1+(1/Data!$D$22)))*($B$4^(1+(1/Data!$D$22))-D35^(1+(1/Data!$D$22)))/1000000</f>
        <v>6.4668033467665165</v>
      </c>
    </row>
    <row r="36" spans="1:11">
      <c r="A36" s="47">
        <v>0.75</v>
      </c>
      <c r="B36" s="52">
        <f t="shared" si="5"/>
        <v>58623.984821206279</v>
      </c>
      <c r="C36" s="52">
        <f t="shared" si="6"/>
        <v>28265.135538795883</v>
      </c>
      <c r="D36" s="52">
        <f t="shared" si="7"/>
        <v>39780.56112867569</v>
      </c>
      <c r="E36" s="52">
        <f t="shared" si="4"/>
        <v>484.20355422088215</v>
      </c>
      <c r="F36" s="52">
        <f>EXP((LN(B36)/Data!$D$20)+SLC!$B$6)</f>
        <v>730.31779431670191</v>
      </c>
      <c r="G36" s="52">
        <f>EXP((LN(C36)/Data!$D$21)+SLC!$B$7)</f>
        <v>1036.462828391768</v>
      </c>
      <c r="H36" s="52">
        <f>EXP((LN(D36)/Data!$D$22)+SLC!$B$8)</f>
        <v>876.26126759444071</v>
      </c>
      <c r="I36" s="52">
        <f>(EXP($B$6)/(1+(1/Data!$D$20)))*($B$2^(1+(1/Data!$D$20))-B36^(1+(1/Data!$D$20)))/1000000</f>
        <v>11.587839366414073</v>
      </c>
      <c r="J36" s="52">
        <f>(EXP($B$7)/(1+(1/Data!$D$21)))*($B$3^(1+(1/Data!$D$21))-C36^(1+(1/Data!$D$21)))/1000000</f>
        <v>6.7138493544114928</v>
      </c>
      <c r="K36" s="52">
        <f>(EXP($B$8)/(1+(1/Data!$D$22)))*($B$4^(1+(1/Data!$D$22))-D36^(1+(1/Data!$D$22)))/1000000</f>
        <v>8.6411424785562723</v>
      </c>
    </row>
    <row r="37" spans="1:11">
      <c r="A37" s="47">
        <v>0.7</v>
      </c>
      <c r="B37" s="52">
        <f t="shared" si="5"/>
        <v>54715.719166459196</v>
      </c>
      <c r="C37" s="52">
        <f t="shared" si="6"/>
        <v>26380.793169542823</v>
      </c>
      <c r="D37" s="52">
        <f t="shared" si="7"/>
        <v>37128.523720097313</v>
      </c>
      <c r="E37" s="52">
        <f t="shared" si="4"/>
        <v>484.20355422088215</v>
      </c>
      <c r="F37" s="52">
        <f>EXP((LN(B37)/Data!$D$20)+SLC!$B$6)</f>
        <v>805.96556564852779</v>
      </c>
      <c r="G37" s="52">
        <f>EXP((LN(C37)/Data!$D$21)+SLC!$B$7)</f>
        <v>1244.0032584765049</v>
      </c>
      <c r="H37" s="52">
        <f>EXP((LN(D37)/Data!$D$22)+SLC!$B$8)</f>
        <v>1010.2141735945551</v>
      </c>
      <c r="I37" s="52">
        <f>(EXP($B$6)/(1+(1/Data!$D$20)))*($B$2^(1+(1/Data!$D$20))-B37^(1+(1/Data!$D$20)))/1000000</f>
        <v>14.585813971172453</v>
      </c>
      <c r="J37" s="52">
        <f>(EXP($B$7)/(1+(1/Data!$D$21)))*($B$3^(1+(1/Data!$D$21))-C37^(1+(1/Data!$D$21)))/1000000</f>
        <v>8.8542472129717176</v>
      </c>
      <c r="K37" s="52">
        <f>(EXP($B$8)/(1+(1/Data!$D$22)))*($B$4^(1+(1/Data!$D$22))-D37^(1+(1/Data!$D$22)))/1000000</f>
        <v>11.136393067739627</v>
      </c>
    </row>
    <row r="38" spans="1:11">
      <c r="A38" s="47">
        <v>0.65</v>
      </c>
      <c r="B38" s="52">
        <f t="shared" si="5"/>
        <v>50807.453511712112</v>
      </c>
      <c r="C38" s="52">
        <f t="shared" si="6"/>
        <v>24496.450800289767</v>
      </c>
      <c r="D38" s="52">
        <f t="shared" si="7"/>
        <v>34476.486311518936</v>
      </c>
      <c r="E38" s="52">
        <f t="shared" si="4"/>
        <v>484.20355422088215</v>
      </c>
      <c r="F38" s="52">
        <f>EXP((LN(B38)/Data!$D$20)+SLC!$B$6)</f>
        <v>895.97234784784018</v>
      </c>
      <c r="G38" s="52">
        <f>EXP((LN(C38)/Data!$D$21)+SLC!$B$7)</f>
        <v>1513.4433970265027</v>
      </c>
      <c r="H38" s="52">
        <f>EXP((LN(D38)/Data!$D$22)+SLC!$B$8)</f>
        <v>1176.9923209755805</v>
      </c>
      <c r="I38" s="52">
        <f>(EXP($B$6)/(1+(1/Data!$D$20)))*($B$2^(1+(1/Data!$D$20))-B38^(1+(1/Data!$D$20)))/1000000</f>
        <v>17.906352318633022</v>
      </c>
      <c r="J38" s="52">
        <f>(EXP($B$7)/(1+(1/Data!$D$21)))*($B$3^(1+(1/Data!$D$21))-C38^(1+(1/Data!$D$21)))/1000000</f>
        <v>11.440811909060058</v>
      </c>
      <c r="K38" s="52">
        <f>(EXP($B$8)/(1+(1/Data!$D$22)))*($B$4^(1+(1/Data!$D$22))-D38^(1+(1/Data!$D$22)))/1000000</f>
        <v>14.028310324154884</v>
      </c>
    </row>
    <row r="39" spans="1:11">
      <c r="A39" s="47">
        <v>0.6</v>
      </c>
      <c r="B39" s="52">
        <f t="shared" si="5"/>
        <v>46899.187856965022</v>
      </c>
      <c r="C39" s="52">
        <f t="shared" si="6"/>
        <v>22612.108431036704</v>
      </c>
      <c r="D39" s="52">
        <f t="shared" si="7"/>
        <v>31824.448902940552</v>
      </c>
      <c r="E39" s="52">
        <f t="shared" si="4"/>
        <v>484.20355422088215</v>
      </c>
      <c r="F39" s="52">
        <f>EXP((LN(B39)/Data!$D$20)+SLC!$B$6)</f>
        <v>1004.5111416891581</v>
      </c>
      <c r="G39" s="52">
        <f>EXP((LN(C39)/Data!$D$21)+SLC!$B$7)</f>
        <v>1870.3781785839178</v>
      </c>
      <c r="H39" s="52">
        <f>EXP((LN(D39)/Data!$D$22)+SLC!$B$8)</f>
        <v>1388.1873268548513</v>
      </c>
      <c r="I39" s="52">
        <f>(EXP($B$6)/(1+(1/Data!$D$20)))*($B$2^(1+(1/Data!$D$20))-B39^(1+(1/Data!$D$20)))/1000000</f>
        <v>21.61328008264929</v>
      </c>
      <c r="J39" s="52">
        <f>(EXP($B$7)/(1+(1/Data!$D$21)))*($B$3^(1+(1/Data!$D$21))-C39^(1+(1/Data!$D$21)))/1000000</f>
        <v>14.612610192803924</v>
      </c>
      <c r="K39" s="52">
        <f>(EXP($B$8)/(1+(1/Data!$D$22)))*($B$4^(1+(1/Data!$D$22))-D39^(1+(1/Data!$D$22)))/1000000</f>
        <v>17.418353914518736</v>
      </c>
    </row>
    <row r="40" spans="1:11">
      <c r="A40" s="47">
        <v>0.55000000000000004</v>
      </c>
      <c r="B40" s="52">
        <f t="shared" si="5"/>
        <v>42990.922202217946</v>
      </c>
      <c r="C40" s="52">
        <f t="shared" si="6"/>
        <v>20727.766061783648</v>
      </c>
      <c r="D40" s="52">
        <f t="shared" si="7"/>
        <v>29172.411494362175</v>
      </c>
      <c r="E40" s="52">
        <f t="shared" si="4"/>
        <v>484.20355422088215</v>
      </c>
      <c r="F40" s="52">
        <f>EXP((LN(B40)/Data!$D$20)+SLC!$B$6)</f>
        <v>1137.4659804687856</v>
      </c>
      <c r="G40" s="52">
        <f>EXP((LN(C40)/Data!$D$21)+SLC!$B$7)</f>
        <v>2354.5025482063907</v>
      </c>
      <c r="H40" s="52">
        <f>EXP((LN(D40)/Data!$D$22)+SLC!$B$8)</f>
        <v>1660.9732333127479</v>
      </c>
      <c r="I40" s="52">
        <f>(EXP($B$6)/(1+(1/Data!$D$20)))*($B$2^(1+(1/Data!$D$20))-B40^(1+(1/Data!$D$20)))/1000000</f>
        <v>25.789841132169865</v>
      </c>
      <c r="J40" s="52">
        <f>(EXP($B$7)/(1+(1/Data!$D$21)))*($B$3^(1+(1/Data!$D$21))-C40^(1+(1/Data!$D$21)))/1000000</f>
        <v>18.569081394904224</v>
      </c>
      <c r="K40" s="52">
        <f>(EXP($B$8)/(1+(1/Data!$D$22)))*($B$4^(1+(1/Data!$D$22))-D40^(1+(1/Data!$D$22)))/1000000</f>
        <v>21.445547169232633</v>
      </c>
    </row>
    <row r="41" spans="1:11">
      <c r="A41" s="47">
        <v>0.5</v>
      </c>
      <c r="B41" s="52">
        <f t="shared" si="5"/>
        <v>39082.656547470855</v>
      </c>
      <c r="C41" s="52">
        <f t="shared" si="6"/>
        <v>18843.423692530589</v>
      </c>
      <c r="D41" s="52">
        <f t="shared" si="7"/>
        <v>26520.374085783795</v>
      </c>
      <c r="E41" s="52">
        <f t="shared" si="4"/>
        <v>484.20355422088215</v>
      </c>
      <c r="F41" s="52">
        <f>EXP((LN(B41)/Data!$D$20)+SLC!$B$6)</f>
        <v>1303.3793137983116</v>
      </c>
      <c r="G41" s="52">
        <f>EXP((LN(C41)/Data!$D$21)+SLC!$B$7)</f>
        <v>3029.727876606355</v>
      </c>
      <c r="H41" s="52">
        <f>EXP((LN(D41)/Data!$D$22)+SLC!$B$8)</f>
        <v>2021.6612013384454</v>
      </c>
      <c r="I41" s="52">
        <f>(EXP($B$6)/(1+(1/Data!$D$20)))*($B$2^(1+(1/Data!$D$20))-B41^(1+(1/Data!$D$20)))/1000000</f>
        <v>30.547075194764027</v>
      </c>
      <c r="J41" s="52">
        <f>(EXP($B$7)/(1+(1/Data!$D$21)))*($B$3^(1+(1/Data!$D$21))-C41^(1+(1/Data!$D$21)))/1000000</f>
        <v>23.605152326493414</v>
      </c>
      <c r="K41" s="52">
        <f>(EXP($B$8)/(1+(1/Data!$D$22)))*($B$4^(1+(1/Data!$D$22))-D41^(1+(1/Data!$D$22)))/1000000</f>
        <v>26.305545412109428</v>
      </c>
    </row>
    <row r="42" spans="1:11">
      <c r="A42" s="47">
        <v>0.45</v>
      </c>
      <c r="B42" s="52">
        <f t="shared" si="5"/>
        <v>35174.390892723772</v>
      </c>
      <c r="C42" s="52">
        <f t="shared" si="6"/>
        <v>16959.081323277529</v>
      </c>
      <c r="D42" s="52">
        <f t="shared" si="7"/>
        <v>23868.336677205414</v>
      </c>
      <c r="E42" s="52">
        <f t="shared" si="4"/>
        <v>484.20355422088215</v>
      </c>
      <c r="F42" s="52">
        <f>EXP((LN(B42)/Data!$D$20)+SLC!$B$6)</f>
        <v>1515.0908227954094</v>
      </c>
      <c r="G42" s="52">
        <f>EXP((LN(C42)/Data!$D$21)+SLC!$B$7)</f>
        <v>4003.6415268711371</v>
      </c>
      <c r="H42" s="52">
        <f>EXP((LN(D42)/Data!$D$22)+SLC!$B$8)</f>
        <v>2512.1971453631068</v>
      </c>
      <c r="I42" s="52">
        <f>(EXP($B$6)/(1+(1/Data!$D$20)))*($B$2^(1+(1/Data!$D$20))-B42^(1+(1/Data!$D$20)))/1000000</f>
        <v>36.03710698379259</v>
      </c>
      <c r="J42" s="52">
        <f>(EXP($B$7)/(1+(1/Data!$D$21)))*($B$3^(1+(1/Data!$D$21))-C42^(1+(1/Data!$D$21)))/1000000</f>
        <v>30.173137021645786</v>
      </c>
      <c r="K42" s="52">
        <f>(EXP($B$8)/(1+(1/Data!$D$22)))*($B$4^(1+(1/Data!$D$22))-D42^(1+(1/Data!$D$22)))/1000000</f>
        <v>32.282587405221562</v>
      </c>
    </row>
    <row r="43" spans="1:11">
      <c r="A43" s="47">
        <v>0.4</v>
      </c>
      <c r="B43" s="52">
        <f t="shared" si="5"/>
        <v>31266.125237976685</v>
      </c>
      <c r="C43" s="52">
        <f t="shared" si="6"/>
        <v>15074.738954024471</v>
      </c>
      <c r="D43" s="52">
        <f t="shared" si="7"/>
        <v>21216.299268627037</v>
      </c>
      <c r="E43" s="52">
        <f t="shared" si="4"/>
        <v>484.20355422088215</v>
      </c>
      <c r="F43" s="52">
        <f>EXP((LN(B43)/Data!$D$20)+SLC!$B$6)</f>
        <v>1792.7251023406102</v>
      </c>
      <c r="G43" s="52">
        <f>EXP((LN(C43)/Data!$D$21)+SLC!$B$7)</f>
        <v>5467.3807417143471</v>
      </c>
      <c r="H43" s="52">
        <f>EXP((LN(D43)/Data!$D$22)+SLC!$B$8)</f>
        <v>3202.7484982836058</v>
      </c>
      <c r="I43" s="52">
        <f>(EXP($B$6)/(1+(1/Data!$D$20)))*($B$2^(1+(1/Data!$D$20))-B43^(1+(1/Data!$D$20)))/1000000</f>
        <v>42.475172015936913</v>
      </c>
      <c r="J43" s="52">
        <f>(EXP($B$7)/(1+(1/Data!$D$21)))*($B$3^(1+(1/Data!$D$21))-C43^(1+(1/Data!$D$21)))/1000000</f>
        <v>38.997951275110609</v>
      </c>
      <c r="K43" s="52">
        <f>(EXP($B$8)/(1+(1/Data!$D$22)))*($B$4^(1+(1/Data!$D$22))-D43^(1+(1/Data!$D$22)))/1000000</f>
        <v>39.805741051812909</v>
      </c>
    </row>
    <row r="44" spans="1:11">
      <c r="A44" s="47">
        <v>0.35</v>
      </c>
      <c r="B44" s="52">
        <f t="shared" si="5"/>
        <v>27357.859583229598</v>
      </c>
      <c r="C44" s="52">
        <f t="shared" si="6"/>
        <v>13190.396584771412</v>
      </c>
      <c r="D44" s="52">
        <f t="shared" si="7"/>
        <v>18564.261860048657</v>
      </c>
      <c r="E44" s="52">
        <f t="shared" si="4"/>
        <v>484.20355422088215</v>
      </c>
      <c r="F44" s="52">
        <f>EXP((LN(B44)/Data!$D$20)+SLC!$B$6)</f>
        <v>2169.4984201227994</v>
      </c>
      <c r="G44" s="52">
        <f>EXP((LN(C44)/Data!$D$21)+SLC!$B$7)</f>
        <v>7783.8985648504149</v>
      </c>
      <c r="H44" s="52">
        <f>EXP((LN(D44)/Data!$D$22)+SLC!$B$8)</f>
        <v>4217.8765149390711</v>
      </c>
      <c r="I44" s="52">
        <f>(EXP($B$6)/(1+(1/Data!$D$20)))*($B$2^(1+(1/Data!$D$20))-B44^(1+(1/Data!$D$20)))/1000000</f>
        <v>50.178125028264716</v>
      </c>
      <c r="J44" s="52">
        <f>(EXP($B$7)/(1+(1/Data!$D$21)))*($B$3^(1+(1/Data!$D$21))-C44^(1+(1/Data!$D$21)))/1000000</f>
        <v>51.306270351813644</v>
      </c>
      <c r="K44" s="52">
        <f>(EXP($B$8)/(1+(1/Data!$D$22)))*($B$4^(1+(1/Data!$D$22))-D44^(1+(1/Data!$D$22)))/1000000</f>
        <v>49.554046576181101</v>
      </c>
    </row>
    <row r="45" spans="1:11">
      <c r="A45" s="47">
        <v>0.3</v>
      </c>
      <c r="B45" s="52">
        <f t="shared" si="5"/>
        <v>23449.593928482511</v>
      </c>
      <c r="C45" s="52">
        <f t="shared" si="6"/>
        <v>11306.054215518352</v>
      </c>
      <c r="D45" s="52">
        <f t="shared" si="7"/>
        <v>15912.224451470276</v>
      </c>
      <c r="E45" s="52">
        <f t="shared" si="4"/>
        <v>484.20355422088215</v>
      </c>
      <c r="F45" s="52">
        <f>EXP((LN(B45)/Data!$D$20)+SLC!$B$6)</f>
        <v>2703.9434782015724</v>
      </c>
      <c r="G45" s="52">
        <f>EXP((LN(C45)/Data!$D$21)+SLC!$B$7)</f>
        <v>11703.212126499311</v>
      </c>
      <c r="H45" s="52">
        <f>EXP((LN(D45)/Data!$D$22)+SLC!$B$8)</f>
        <v>5796.0013602294848</v>
      </c>
      <c r="I45" s="52">
        <f>(EXP($B$6)/(1+(1/Data!$D$20)))*($B$2^(1+(1/Data!$D$20))-B45^(1+(1/Data!$D$20)))/1000000</f>
        <v>59.636393021418883</v>
      </c>
      <c r="J45" s="52">
        <f>(EXP($B$7)/(1+(1/Data!$D$21)))*($B$3^(1+(1/Data!$D$21))-C45^(1+(1/Data!$D$21)))/1000000</f>
        <v>69.321702799111563</v>
      </c>
      <c r="K45" s="52">
        <f>(EXP($B$8)/(1+(1/Data!$D$22)))*($B$4^(1+(1/Data!$D$22))-D45^(1+(1/Data!$D$22)))/1000000</f>
        <v>62.66836224110385</v>
      </c>
    </row>
    <row r="46" spans="1:11">
      <c r="A46" s="47">
        <v>0.25</v>
      </c>
      <c r="B46" s="52">
        <f t="shared" si="5"/>
        <v>19541.328273735428</v>
      </c>
      <c r="C46" s="52">
        <f t="shared" si="6"/>
        <v>9421.7118462652943</v>
      </c>
      <c r="D46" s="52">
        <f t="shared" si="7"/>
        <v>13260.187042891897</v>
      </c>
      <c r="E46" s="52">
        <f t="shared" si="4"/>
        <v>484.20355422088215</v>
      </c>
      <c r="F46" s="52">
        <f>EXP((LN(B46)/Data!$D$20)+SLC!$B$6)</f>
        <v>3508.4369390283532</v>
      </c>
      <c r="G46" s="52">
        <f>EXP((LN(C46)/Data!$D$21)+SLC!$B$7)</f>
        <v>18957.421783191337</v>
      </c>
      <c r="H46" s="52">
        <f>EXP((LN(D46)/Data!$D$22)+SLC!$B$8)</f>
        <v>8440.9004794970224</v>
      </c>
      <c r="I46" s="52">
        <f>(EXP($B$6)/(1+(1/Data!$D$20)))*($B$2^(1+(1/Data!$D$20))-B46^(1+(1/Data!$D$20)))/1000000</f>
        <v>71.660389583752092</v>
      </c>
      <c r="J46" s="52">
        <f>(EXP($B$7)/(1+(1/Data!$D$21)))*($B$3^(1+(1/Data!$D$21))-C46^(1+(1/Data!$D$21)))/1000000</f>
        <v>97.455485943098608</v>
      </c>
      <c r="K46" s="52">
        <f>(EXP($B$8)/(1+(1/Data!$D$22)))*($B$4^(1+(1/Data!$D$22))-D46^(1+(1/Data!$D$22)))/1000000</f>
        <v>81.221396479415205</v>
      </c>
    </row>
    <row r="47" spans="1:11">
      <c r="A47" s="47">
        <v>0.2</v>
      </c>
      <c r="B47" s="52">
        <f t="shared" si="5"/>
        <v>15633.062618988342</v>
      </c>
      <c r="C47" s="52">
        <f t="shared" si="6"/>
        <v>7537.3694770122356</v>
      </c>
      <c r="D47" s="52">
        <f t="shared" si="7"/>
        <v>10608.149634313519</v>
      </c>
      <c r="E47" s="52">
        <f t="shared" si="4"/>
        <v>484.20355422088215</v>
      </c>
      <c r="F47" s="52">
        <f>EXP((LN(B47)/Data!$D$20)+SLC!$B$6)</f>
        <v>4825.658121154177</v>
      </c>
      <c r="G47" s="52">
        <f>EXP((LN(C47)/Data!$D$21)+SLC!$B$7)</f>
        <v>34210.149225043104</v>
      </c>
      <c r="H47" s="52">
        <f>EXP((LN(D47)/Data!$D$22)+SLC!$B$8)</f>
        <v>13372.211583707734</v>
      </c>
      <c r="I47" s="52">
        <f>(EXP($B$6)/(1+(1/Data!$D$20)))*($B$2^(1+(1/Data!$D$20))-B47^(1+(1/Data!$D$20)))/1000000</f>
        <v>87.714417393106132</v>
      </c>
      <c r="J47" s="52">
        <f>(EXP($B$7)/(1+(1/Data!$D$21)))*($B$3^(1+(1/Data!$D$21))-C47^(1+(1/Data!$D$21)))/1000000</f>
        <v>145.61291030222239</v>
      </c>
      <c r="K47" s="52">
        <f>(EXP($B$8)/(1+(1/Data!$D$22)))*($B$4^(1+(1/Data!$D$22))-D47^(1+(1/Data!$D$22)))/1000000</f>
        <v>109.40460733913626</v>
      </c>
    </row>
    <row r="48" spans="1:11">
      <c r="A48" s="47">
        <v>0.15</v>
      </c>
      <c r="B48" s="52">
        <f t="shared" si="5"/>
        <v>11724.796964241255</v>
      </c>
      <c r="C48" s="52">
        <f t="shared" si="6"/>
        <v>5653.027107759176</v>
      </c>
      <c r="D48" s="52">
        <f t="shared" si="7"/>
        <v>7956.1122257351381</v>
      </c>
      <c r="E48" s="52">
        <f t="shared" si="4"/>
        <v>484.20355422088215</v>
      </c>
      <c r="F48" s="52">
        <f>EXP((LN(B48)/Data!$D$20)+SLC!$B$6)</f>
        <v>7278.4760963570016</v>
      </c>
      <c r="G48" s="52">
        <f>EXP((LN(C48)/Data!$D$21)+SLC!$B$7)</f>
        <v>73228.599245922698</v>
      </c>
      <c r="H48" s="52">
        <f>EXP((LN(D48)/Data!$D$22)+SLC!$B$8)</f>
        <v>24199.638707186226</v>
      </c>
      <c r="I48" s="52">
        <f>(EXP($B$6)/(1+(1/Data!$D$20)))*($B$2^(1+(1/Data!$D$20))-B48^(1+(1/Data!$D$20)))/1000000</f>
        <v>110.8117080501907</v>
      </c>
      <c r="J48" s="52">
        <f>(EXP($B$7)/(1+(1/Data!$D$21)))*($B$3^(1+(1/Data!$D$21))-C48^(1+(1/Data!$D$21)))/1000000</f>
        <v>240.48284105209038</v>
      </c>
      <c r="K48" s="52">
        <f>(EXP($B$8)/(1+(1/Data!$D$22)))*($B$4^(1+(1/Data!$D$22))-D48^(1+(1/Data!$D$22)))/1000000</f>
        <v>157.13295817049243</v>
      </c>
    </row>
    <row r="49" spans="1:11">
      <c r="A49" s="47">
        <v>0.1</v>
      </c>
      <c r="B49" s="52">
        <f t="shared" si="5"/>
        <v>7816.5313094941712</v>
      </c>
      <c r="C49" s="52">
        <f t="shared" si="6"/>
        <v>3768.6847385061178</v>
      </c>
      <c r="D49" s="52">
        <f t="shared" si="7"/>
        <v>5304.0748171567593</v>
      </c>
      <c r="E49" s="52">
        <f t="shared" si="4"/>
        <v>484.20355422088215</v>
      </c>
      <c r="F49" s="52">
        <f>EXP((LN(B49)/Data!$D$20)+SLC!$B$6)</f>
        <v>12989.708389678606</v>
      </c>
      <c r="G49" s="52">
        <f>EXP((LN(C49)/Data!$D$21)+SLC!$B$7)</f>
        <v>214057.58356472902</v>
      </c>
      <c r="H49" s="52">
        <f>EXP((LN(D49)/Data!$D$22)+SLC!$B$8)</f>
        <v>55832.058850477071</v>
      </c>
      <c r="I49" s="52">
        <f>(EXP($B$6)/(1+(1/Data!$D$20)))*($B$2^(1+(1/Data!$D$20))-B49^(1+(1/Data!$D$20)))/1000000</f>
        <v>148.60192646078048</v>
      </c>
      <c r="J49" s="52">
        <f>(EXP($B$7)/(1+(1/Data!$D$21)))*($B$3^(1+(1/Data!$D$21))-C49^(1+(1/Data!$D$21)))/1000000</f>
        <v>479.16510194963405</v>
      </c>
      <c r="K49" s="52">
        <f>(EXP($B$8)/(1+(1/Data!$D$22)))*($B$4^(1+(1/Data!$D$22))-D49^(1+(1/Data!$D$22)))/1000000</f>
        <v>254.70024427082794</v>
      </c>
    </row>
    <row r="50" spans="1:11">
      <c r="A50" s="47">
        <v>0.05</v>
      </c>
      <c r="B50" s="52">
        <f t="shared" si="5"/>
        <v>3908.2656547470856</v>
      </c>
      <c r="C50" s="52">
        <f t="shared" si="6"/>
        <v>1884.3423692530589</v>
      </c>
      <c r="D50" s="52">
        <f t="shared" si="7"/>
        <v>2652.0374085783797</v>
      </c>
      <c r="E50" s="52">
        <f t="shared" si="4"/>
        <v>484.20355422088215</v>
      </c>
      <c r="F50" s="52">
        <f>EXP((LN(B50)/Data!$D$20)+SLC!$B$6)</f>
        <v>34965.702047813153</v>
      </c>
      <c r="G50" s="52">
        <f>EXP((LN(C50)/Data!$D$21)+SLC!$B$7)</f>
        <v>1339387.5829114774</v>
      </c>
      <c r="H50" s="52">
        <f>EXP((LN(D50)/Data!$D$22)+SLC!$B$8)</f>
        <v>233111.6865725526</v>
      </c>
      <c r="I50" s="52">
        <f>(EXP($B$6)/(1+(1/Data!$D$20)))*($B$2^(1+(1/Data!$D$20))-B50^(1+(1/Data!$D$20)))/1000000</f>
        <v>230.55043664386773</v>
      </c>
      <c r="J50" s="52">
        <f>(EXP($B$7)/(1+(1/Data!$D$21)))*($B$3^(1+(1/Data!$D$21))-C50^(1+(1/Data!$D$21)))/1000000</f>
        <v>1522.7059480751739</v>
      </c>
      <c r="K50" s="52">
        <f>(EXP($B$8)/(1+(1/Data!$D$22)))*($B$4^(1+(1/Data!$D$22))-D50^(1+(1/Data!$D$22)))/1000000</f>
        <v>558.02159471114476</v>
      </c>
    </row>
    <row r="51" spans="1:11">
      <c r="A51" s="44"/>
      <c r="B51">
        <v>0</v>
      </c>
      <c r="E51" s="52">
        <f t="shared" si="4"/>
        <v>484.20355422088215</v>
      </c>
    </row>
    <row r="52" spans="1:11">
      <c r="A52" s="46" t="s">
        <v>200</v>
      </c>
    </row>
    <row r="53" spans="1:11">
      <c r="A53" s="49" t="s">
        <v>187</v>
      </c>
      <c r="B53" s="49">
        <f>Data!$D$7*Data!$D$10</f>
        <v>73359.761053573369</v>
      </c>
      <c r="C53" s="49"/>
      <c r="D53" s="49"/>
      <c r="E53" s="49"/>
      <c r="F53" s="49"/>
      <c r="G53" s="49"/>
      <c r="H53" s="49"/>
      <c r="I53" s="49"/>
      <c r="J53" s="49"/>
      <c r="K53" s="49"/>
    </row>
    <row r="54" spans="1:11">
      <c r="A54" s="49"/>
      <c r="B54" s="51"/>
      <c r="C54" s="51"/>
      <c r="D54" s="51"/>
      <c r="E54" s="51"/>
      <c r="F54" s="49"/>
      <c r="G54" s="49"/>
      <c r="H54" s="50"/>
      <c r="I54" s="50"/>
      <c r="J54" s="49"/>
      <c r="K54" s="49"/>
    </row>
    <row r="55" spans="1:11">
      <c r="A55" s="49" t="s">
        <v>180</v>
      </c>
      <c r="B55" s="49" t="s">
        <v>203</v>
      </c>
      <c r="C55" s="49" t="s">
        <v>204</v>
      </c>
      <c r="D55" s="49" t="s">
        <v>205</v>
      </c>
      <c r="E55" s="49" t="s">
        <v>181</v>
      </c>
      <c r="F55" s="49" t="s">
        <v>182</v>
      </c>
      <c r="G55" s="49" t="s">
        <v>183</v>
      </c>
      <c r="H55" s="49"/>
      <c r="I55" s="49"/>
      <c r="J55" s="49"/>
      <c r="K55" s="49"/>
    </row>
    <row r="56" spans="1:11">
      <c r="A56" s="50">
        <v>1</v>
      </c>
      <c r="B56" s="49">
        <f>(B31+$B$53*(1/12))/1000</f>
        <v>84.278626516072819</v>
      </c>
      <c r="C56" s="49">
        <f>(C31+$B$53*(1/12))/1000</f>
        <v>43.800160806192288</v>
      </c>
      <c r="D56" s="49">
        <f>(D31+$B$53*(1/12))/1000</f>
        <v>59.154061592698703</v>
      </c>
      <c r="E56" s="49">
        <f>I31</f>
        <v>0</v>
      </c>
      <c r="F56" s="49">
        <f>J31</f>
        <v>0</v>
      </c>
      <c r="G56" s="49">
        <f>K31</f>
        <v>0</v>
      </c>
      <c r="H56" s="49"/>
      <c r="I56" s="49"/>
      <c r="J56" s="49"/>
      <c r="K56" s="49"/>
    </row>
    <row r="57" spans="1:11">
      <c r="A57" s="50">
        <v>0.95</v>
      </c>
      <c r="B57" s="49">
        <f t="shared" ref="B57:D75" si="8">(B32+$B$53*(1/12))/1000</f>
        <v>80.370360861325736</v>
      </c>
      <c r="C57" s="49">
        <f t="shared" si="8"/>
        <v>41.915818436939226</v>
      </c>
      <c r="D57" s="49">
        <f t="shared" si="8"/>
        <v>56.502024184120316</v>
      </c>
      <c r="E57" s="49">
        <f t="shared" ref="E57:G72" si="9">I32</f>
        <v>1.9628399817946904</v>
      </c>
      <c r="F57" s="49">
        <f t="shared" si="9"/>
        <v>0.97664158430172054</v>
      </c>
      <c r="G57" s="49">
        <f t="shared" si="9"/>
        <v>1.3538764870040283</v>
      </c>
      <c r="H57" s="49"/>
      <c r="I57" s="49"/>
      <c r="J57" s="49"/>
      <c r="K57" s="49"/>
    </row>
    <row r="58" spans="1:11">
      <c r="A58" s="50">
        <v>0.9</v>
      </c>
      <c r="B58" s="49">
        <f t="shared" si="8"/>
        <v>76.462095206578653</v>
      </c>
      <c r="C58" s="49">
        <f t="shared" si="8"/>
        <v>40.031476067686171</v>
      </c>
      <c r="D58" s="49">
        <f t="shared" si="8"/>
        <v>53.849986775541943</v>
      </c>
      <c r="E58" s="49">
        <f t="shared" si="9"/>
        <v>4.0790779428383068</v>
      </c>
      <c r="F58" s="49">
        <f t="shared" si="9"/>
        <v>2.0993578717197492</v>
      </c>
      <c r="G58" s="49">
        <f t="shared" si="9"/>
        <v>2.863095928117243</v>
      </c>
      <c r="H58" s="49"/>
      <c r="I58" s="49"/>
      <c r="J58" s="49"/>
      <c r="K58" s="49"/>
    </row>
    <row r="59" spans="1:11">
      <c r="A59" s="50">
        <v>0.85</v>
      </c>
      <c r="B59" s="49">
        <f t="shared" si="8"/>
        <v>72.553829551831555</v>
      </c>
      <c r="C59" s="49">
        <f t="shared" si="8"/>
        <v>38.147133698433116</v>
      </c>
      <c r="D59" s="49">
        <f t="shared" si="8"/>
        <v>51.197949366963563</v>
      </c>
      <c r="E59" s="49">
        <f t="shared" si="9"/>
        <v>6.3702766969567417</v>
      </c>
      <c r="F59" s="49">
        <f t="shared" si="9"/>
        <v>3.4000536312573155</v>
      </c>
      <c r="G59" s="49">
        <f t="shared" si="9"/>
        <v>4.5556861323769642</v>
      </c>
      <c r="H59" s="49"/>
      <c r="I59" s="49"/>
      <c r="J59" s="49"/>
      <c r="K59" s="49"/>
    </row>
    <row r="60" spans="1:11">
      <c r="A60" s="50">
        <v>0.8</v>
      </c>
      <c r="B60" s="49">
        <f t="shared" si="8"/>
        <v>68.645563897084486</v>
      </c>
      <c r="C60" s="49">
        <f t="shared" si="8"/>
        <v>36.262791329180061</v>
      </c>
      <c r="D60" s="49">
        <f t="shared" si="8"/>
        <v>48.545911958385183</v>
      </c>
      <c r="E60" s="49">
        <f t="shared" si="9"/>
        <v>8.8625418782676881</v>
      </c>
      <c r="F60" s="49">
        <f t="shared" si="9"/>
        <v>4.9200774880655977</v>
      </c>
      <c r="G60" s="49">
        <f t="shared" si="9"/>
        <v>6.4668033467665165</v>
      </c>
      <c r="H60" s="49"/>
      <c r="I60" s="49"/>
      <c r="J60" s="49"/>
      <c r="K60" s="49"/>
    </row>
    <row r="61" spans="1:11">
      <c r="A61" s="50">
        <v>0.75</v>
      </c>
      <c r="B61" s="49">
        <f t="shared" si="8"/>
        <v>64.737298242337388</v>
      </c>
      <c r="C61" s="49">
        <f t="shared" si="8"/>
        <v>34.378448959926992</v>
      </c>
      <c r="D61" s="49">
        <f t="shared" si="8"/>
        <v>45.893874549806803</v>
      </c>
      <c r="E61" s="49">
        <f t="shared" si="9"/>
        <v>11.587839366414073</v>
      </c>
      <c r="F61" s="49">
        <f t="shared" si="9"/>
        <v>6.7138493544114928</v>
      </c>
      <c r="G61" s="49">
        <f t="shared" si="9"/>
        <v>8.6411424785562723</v>
      </c>
      <c r="H61" s="49"/>
      <c r="I61" s="49"/>
      <c r="J61" s="49"/>
      <c r="K61" s="49"/>
    </row>
    <row r="62" spans="1:11">
      <c r="A62" s="50">
        <v>0.7</v>
      </c>
      <c r="B62" s="49">
        <f t="shared" si="8"/>
        <v>60.829032587590305</v>
      </c>
      <c r="C62" s="49">
        <f t="shared" si="8"/>
        <v>32.494106590673937</v>
      </c>
      <c r="D62" s="49">
        <f t="shared" si="8"/>
        <v>43.241837141228423</v>
      </c>
      <c r="E62" s="49">
        <f t="shared" si="9"/>
        <v>14.585813971172453</v>
      </c>
      <c r="F62" s="49">
        <f t="shared" si="9"/>
        <v>8.8542472129717176</v>
      </c>
      <c r="G62" s="49">
        <f t="shared" si="9"/>
        <v>11.136393067739627</v>
      </c>
      <c r="H62" s="49"/>
      <c r="I62" s="49"/>
      <c r="J62" s="49"/>
      <c r="K62" s="49"/>
    </row>
    <row r="63" spans="1:11">
      <c r="A63" s="50">
        <v>0.65</v>
      </c>
      <c r="B63" s="49">
        <f t="shared" si="8"/>
        <v>56.920766932843222</v>
      </c>
      <c r="C63" s="49">
        <f t="shared" si="8"/>
        <v>30.609764221420882</v>
      </c>
      <c r="D63" s="49">
        <f t="shared" si="8"/>
        <v>40.58979973265005</v>
      </c>
      <c r="E63" s="49">
        <f t="shared" si="9"/>
        <v>17.906352318633022</v>
      </c>
      <c r="F63" s="49">
        <f t="shared" si="9"/>
        <v>11.440811909060058</v>
      </c>
      <c r="G63" s="49">
        <f t="shared" si="9"/>
        <v>14.028310324154884</v>
      </c>
      <c r="H63" s="49"/>
      <c r="I63" s="49"/>
      <c r="J63" s="49"/>
      <c r="K63" s="49"/>
    </row>
    <row r="64" spans="1:11">
      <c r="A64" s="50">
        <v>0.6</v>
      </c>
      <c r="B64" s="49">
        <f t="shared" si="8"/>
        <v>53.012501278096131</v>
      </c>
      <c r="C64" s="49">
        <f t="shared" si="8"/>
        <v>28.72542185216782</v>
      </c>
      <c r="D64" s="49">
        <f t="shared" si="8"/>
        <v>37.937762324071663</v>
      </c>
      <c r="E64" s="49">
        <f t="shared" si="9"/>
        <v>21.61328008264929</v>
      </c>
      <c r="F64" s="49">
        <f t="shared" si="9"/>
        <v>14.612610192803924</v>
      </c>
      <c r="G64" s="49">
        <f t="shared" si="9"/>
        <v>17.418353914518736</v>
      </c>
      <c r="H64" s="49"/>
      <c r="I64" s="49"/>
      <c r="J64" s="49"/>
      <c r="K64" s="49"/>
    </row>
    <row r="65" spans="1:11">
      <c r="A65" s="50">
        <v>0.55000000000000004</v>
      </c>
      <c r="B65" s="49">
        <f t="shared" si="8"/>
        <v>49.104235623349055</v>
      </c>
      <c r="C65" s="49">
        <f t="shared" si="8"/>
        <v>26.841079482914765</v>
      </c>
      <c r="D65" s="49">
        <f t="shared" si="8"/>
        <v>35.28572491549329</v>
      </c>
      <c r="E65" s="49">
        <f t="shared" si="9"/>
        <v>25.789841132169865</v>
      </c>
      <c r="F65" s="49">
        <f t="shared" si="9"/>
        <v>18.569081394904224</v>
      </c>
      <c r="G65" s="49">
        <f t="shared" si="9"/>
        <v>21.445547169232633</v>
      </c>
      <c r="H65" s="49"/>
      <c r="I65" s="49"/>
      <c r="J65" s="49"/>
      <c r="K65" s="49"/>
    </row>
    <row r="66" spans="1:11">
      <c r="A66" s="50">
        <v>0.5</v>
      </c>
      <c r="B66" s="49">
        <f t="shared" si="8"/>
        <v>45.195969968601965</v>
      </c>
      <c r="C66" s="49">
        <f t="shared" si="8"/>
        <v>24.956737113661699</v>
      </c>
      <c r="D66" s="49">
        <f t="shared" si="8"/>
        <v>32.63368750691491</v>
      </c>
      <c r="E66" s="49">
        <f t="shared" si="9"/>
        <v>30.547075194764027</v>
      </c>
      <c r="F66" s="49">
        <f t="shared" si="9"/>
        <v>23.605152326493414</v>
      </c>
      <c r="G66" s="49">
        <f t="shared" si="9"/>
        <v>26.305545412109428</v>
      </c>
      <c r="H66" s="49"/>
      <c r="I66" s="49"/>
      <c r="J66" s="49"/>
      <c r="K66" s="49"/>
    </row>
    <row r="67" spans="1:11">
      <c r="A67" s="50">
        <v>0.45</v>
      </c>
      <c r="B67" s="49">
        <f t="shared" si="8"/>
        <v>41.287704313854881</v>
      </c>
      <c r="C67" s="49">
        <f t="shared" si="8"/>
        <v>23.072394744408644</v>
      </c>
      <c r="D67" s="49">
        <f t="shared" si="8"/>
        <v>29.981650098336527</v>
      </c>
      <c r="E67" s="49">
        <f t="shared" si="9"/>
        <v>36.03710698379259</v>
      </c>
      <c r="F67" s="49">
        <f t="shared" si="9"/>
        <v>30.173137021645786</v>
      </c>
      <c r="G67" s="49">
        <f t="shared" si="9"/>
        <v>32.282587405221562</v>
      </c>
      <c r="H67" s="49"/>
      <c r="I67" s="49"/>
      <c r="J67" s="49"/>
      <c r="K67" s="49"/>
    </row>
    <row r="68" spans="1:11">
      <c r="A68" s="50">
        <v>0.4</v>
      </c>
      <c r="B68" s="49">
        <f t="shared" si="8"/>
        <v>37.379438659107798</v>
      </c>
      <c r="C68" s="49">
        <f t="shared" si="8"/>
        <v>21.188052375155586</v>
      </c>
      <c r="D68" s="49">
        <f t="shared" si="8"/>
        <v>27.32961268975815</v>
      </c>
      <c r="E68" s="49">
        <f t="shared" si="9"/>
        <v>42.475172015936913</v>
      </c>
      <c r="F68" s="49">
        <f t="shared" si="9"/>
        <v>38.997951275110609</v>
      </c>
      <c r="G68" s="49">
        <f t="shared" si="9"/>
        <v>39.805741051812909</v>
      </c>
      <c r="H68" s="49"/>
      <c r="I68" s="49"/>
      <c r="J68" s="49"/>
      <c r="K68" s="49"/>
    </row>
    <row r="69" spans="1:11">
      <c r="A69" s="50">
        <v>0.35</v>
      </c>
      <c r="B69" s="49">
        <f t="shared" si="8"/>
        <v>33.471173004360708</v>
      </c>
      <c r="C69" s="49">
        <f t="shared" si="8"/>
        <v>19.303710005902524</v>
      </c>
      <c r="D69" s="49">
        <f t="shared" si="8"/>
        <v>24.677575281179774</v>
      </c>
      <c r="E69" s="49">
        <f t="shared" si="9"/>
        <v>50.178125028264716</v>
      </c>
      <c r="F69" s="49">
        <f t="shared" si="9"/>
        <v>51.306270351813644</v>
      </c>
      <c r="G69" s="49">
        <f t="shared" si="9"/>
        <v>49.554046576181101</v>
      </c>
      <c r="H69" s="49"/>
      <c r="I69" s="49"/>
      <c r="J69" s="49"/>
      <c r="K69" s="49"/>
    </row>
    <row r="70" spans="1:11">
      <c r="A70" s="50">
        <v>0.3</v>
      </c>
      <c r="B70" s="49">
        <f t="shared" si="8"/>
        <v>29.562907349613628</v>
      </c>
      <c r="C70" s="49">
        <f t="shared" si="8"/>
        <v>17.419367636649465</v>
      </c>
      <c r="D70" s="49">
        <f t="shared" si="8"/>
        <v>22.025537872601387</v>
      </c>
      <c r="E70" s="49">
        <f t="shared" si="9"/>
        <v>59.636393021418883</v>
      </c>
      <c r="F70" s="49">
        <f t="shared" si="9"/>
        <v>69.321702799111563</v>
      </c>
      <c r="G70" s="49">
        <f t="shared" si="9"/>
        <v>62.66836224110385</v>
      </c>
      <c r="H70" s="49"/>
      <c r="I70" s="49"/>
      <c r="J70" s="49"/>
      <c r="K70" s="49"/>
    </row>
    <row r="71" spans="1:11">
      <c r="A71" s="50">
        <v>0.25</v>
      </c>
      <c r="B71" s="49">
        <f t="shared" si="8"/>
        <v>25.654641694866545</v>
      </c>
      <c r="C71" s="49">
        <f t="shared" si="8"/>
        <v>15.535025267396408</v>
      </c>
      <c r="D71" s="49">
        <f t="shared" si="8"/>
        <v>19.37350046402301</v>
      </c>
      <c r="E71" s="49">
        <f t="shared" si="9"/>
        <v>71.660389583752092</v>
      </c>
      <c r="F71" s="49">
        <f t="shared" si="9"/>
        <v>97.455485943098608</v>
      </c>
      <c r="G71" s="49">
        <f t="shared" si="9"/>
        <v>81.221396479415205</v>
      </c>
      <c r="H71" s="49"/>
      <c r="I71" s="49"/>
      <c r="J71" s="49"/>
      <c r="K71" s="49"/>
    </row>
    <row r="72" spans="1:11">
      <c r="A72" s="50">
        <v>0.2</v>
      </c>
      <c r="B72" s="49">
        <f t="shared" si="8"/>
        <v>21.746376040119454</v>
      </c>
      <c r="C72" s="49">
        <f t="shared" si="8"/>
        <v>13.65068289814335</v>
      </c>
      <c r="D72" s="49">
        <f t="shared" si="8"/>
        <v>16.721463055444634</v>
      </c>
      <c r="E72" s="49">
        <f t="shared" si="9"/>
        <v>87.714417393106132</v>
      </c>
      <c r="F72" s="49">
        <f t="shared" si="9"/>
        <v>145.61291030222239</v>
      </c>
      <c r="G72" s="49">
        <f t="shared" si="9"/>
        <v>109.40460733913626</v>
      </c>
      <c r="H72" s="49"/>
      <c r="I72" s="49"/>
      <c r="J72" s="49"/>
      <c r="K72" s="49"/>
    </row>
    <row r="73" spans="1:11">
      <c r="A73" s="50">
        <v>0.15</v>
      </c>
      <c r="B73" s="49">
        <f t="shared" si="8"/>
        <v>17.838110385372367</v>
      </c>
      <c r="C73" s="49">
        <f t="shared" si="8"/>
        <v>11.766340528890291</v>
      </c>
      <c r="D73" s="49">
        <f t="shared" si="8"/>
        <v>14.069425646866252</v>
      </c>
      <c r="E73" s="49">
        <f t="shared" ref="E73:G75" si="10">I48</f>
        <v>110.8117080501907</v>
      </c>
      <c r="F73" s="49">
        <f t="shared" si="10"/>
        <v>240.48284105209038</v>
      </c>
      <c r="G73" s="49">
        <f t="shared" si="10"/>
        <v>157.13295817049243</v>
      </c>
      <c r="H73" s="49"/>
      <c r="I73" s="49"/>
      <c r="J73" s="49"/>
      <c r="K73" s="49"/>
    </row>
    <row r="74" spans="1:11">
      <c r="A74" s="50">
        <v>0.1</v>
      </c>
      <c r="B74" s="49">
        <f t="shared" si="8"/>
        <v>13.929844730625286</v>
      </c>
      <c r="C74" s="49">
        <f t="shared" si="8"/>
        <v>9.8819981596372308</v>
      </c>
      <c r="D74" s="49">
        <f t="shared" si="8"/>
        <v>11.417388238287872</v>
      </c>
      <c r="E74" s="49">
        <f t="shared" si="10"/>
        <v>148.60192646078048</v>
      </c>
      <c r="F74" s="49">
        <f t="shared" si="10"/>
        <v>479.16510194963405</v>
      </c>
      <c r="G74" s="49">
        <f t="shared" si="10"/>
        <v>254.70024427082794</v>
      </c>
      <c r="H74" s="49"/>
      <c r="I74" s="49"/>
      <c r="J74" s="49"/>
      <c r="K74" s="49"/>
    </row>
    <row r="75" spans="1:11">
      <c r="A75" s="50">
        <v>0.05</v>
      </c>
      <c r="B75" s="49">
        <f t="shared" si="8"/>
        <v>10.021579075878199</v>
      </c>
      <c r="C75" s="49">
        <f t="shared" si="8"/>
        <v>7.9976557903841723</v>
      </c>
      <c r="D75" s="49">
        <f t="shared" si="8"/>
        <v>8.765350829709492</v>
      </c>
      <c r="E75" s="49">
        <f t="shared" si="10"/>
        <v>230.55043664386773</v>
      </c>
      <c r="F75" s="49">
        <f t="shared" si="10"/>
        <v>1522.7059480751739</v>
      </c>
      <c r="G75" s="49">
        <f t="shared" si="10"/>
        <v>558.02159471114476</v>
      </c>
      <c r="H75" s="49"/>
      <c r="I75" s="49"/>
      <c r="J75" s="49"/>
      <c r="K75" s="49"/>
    </row>
    <row r="76" spans="1:11">
      <c r="A76" s="44"/>
    </row>
    <row r="77" spans="1:11">
      <c r="A77" s="42"/>
    </row>
    <row r="79" spans="1:11">
      <c r="H79" s="44"/>
      <c r="I79" s="44"/>
    </row>
    <row r="80" spans="1:11">
      <c r="H80" s="44"/>
      <c r="I80" s="44"/>
    </row>
    <row r="81" spans="1:9">
      <c r="H81" s="44"/>
      <c r="I81" s="44"/>
    </row>
    <row r="82" spans="1:9">
      <c r="B82" s="17"/>
      <c r="C82" s="17"/>
      <c r="D82" s="17"/>
      <c r="E82" s="17"/>
      <c r="H82" s="44"/>
      <c r="I82" s="44"/>
    </row>
    <row r="83" spans="1:9">
      <c r="B83" s="17"/>
      <c r="C83" s="17"/>
      <c r="D83" s="17"/>
      <c r="E83" s="17"/>
      <c r="H83" s="44"/>
      <c r="I83" s="44"/>
    </row>
    <row r="84" spans="1:9">
      <c r="B84" s="17"/>
      <c r="C84" s="17"/>
      <c r="D84" s="17"/>
      <c r="E84" s="17"/>
      <c r="H84" s="44"/>
      <c r="I84" s="44"/>
    </row>
    <row r="85" spans="1:9">
      <c r="B85" s="17"/>
      <c r="C85" s="17"/>
      <c r="D85" s="17"/>
      <c r="E85" s="17"/>
      <c r="H85" s="44"/>
      <c r="I85" s="44"/>
    </row>
    <row r="87" spans="1:9">
      <c r="A87" s="44"/>
    </row>
    <row r="88" spans="1:9">
      <c r="A88" s="44"/>
    </row>
    <row r="89" spans="1:9">
      <c r="A89" s="44"/>
    </row>
    <row r="90" spans="1:9">
      <c r="A90" s="44"/>
    </row>
    <row r="91" spans="1:9">
      <c r="A91" s="44"/>
    </row>
    <row r="92" spans="1:9">
      <c r="A92" s="44"/>
    </row>
    <row r="93" spans="1:9">
      <c r="A93" s="44"/>
    </row>
    <row r="94" spans="1:9">
      <c r="A94" s="44"/>
    </row>
    <row r="95" spans="1:9">
      <c r="A95" s="44"/>
    </row>
    <row r="96" spans="1:9">
      <c r="A96" s="44"/>
    </row>
    <row r="97" spans="1:1">
      <c r="A97" s="44"/>
    </row>
    <row r="98" spans="1:1">
      <c r="A98" s="44"/>
    </row>
    <row r="99" spans="1:1">
      <c r="A99" s="44"/>
    </row>
    <row r="100" spans="1:1">
      <c r="A100" s="44"/>
    </row>
    <row r="101" spans="1:1">
      <c r="A101" s="44"/>
    </row>
    <row r="102" spans="1:1">
      <c r="A102" s="44"/>
    </row>
    <row r="103" spans="1:1">
      <c r="A103" s="44"/>
    </row>
    <row r="104" spans="1:1">
      <c r="A104" s="44"/>
    </row>
    <row r="105" spans="1:1">
      <c r="A105" s="44"/>
    </row>
    <row r="106" spans="1:1">
      <c r="A106" s="44"/>
    </row>
  </sheetData>
  <mergeCells count="1">
    <mergeCell ref="E9:H9"/>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7"/>
  <sheetViews>
    <sheetView zoomScaleNormal="100" workbookViewId="0"/>
  </sheetViews>
  <sheetFormatPr defaultRowHeight="15"/>
  <cols>
    <col min="1" max="1" width="14" bestFit="1" customWidth="1"/>
    <col min="2" max="2" width="13.7109375" bestFit="1" customWidth="1"/>
    <col min="3" max="3" width="14" bestFit="1" customWidth="1"/>
    <col min="4" max="4" width="12.28515625" bestFit="1" customWidth="1"/>
    <col min="5" max="5" width="12.28515625" customWidth="1"/>
    <col min="6" max="6" width="15.28515625" bestFit="1" customWidth="1"/>
    <col min="7" max="7" width="17.5703125" bestFit="1" customWidth="1"/>
    <col min="8" max="8" width="14" bestFit="1" customWidth="1"/>
    <col min="9" max="9" width="15.7109375" bestFit="1" customWidth="1"/>
    <col min="10" max="10" width="15.28515625" bestFit="1" customWidth="1"/>
    <col min="11" max="11" width="14.42578125" bestFit="1" customWidth="1"/>
    <col min="12" max="12" width="3.28515625" customWidth="1"/>
  </cols>
  <sheetData>
    <row r="1" spans="1:11">
      <c r="A1" s="45" t="s">
        <v>208</v>
      </c>
    </row>
    <row r="2" spans="1:11">
      <c r="A2" s="38" t="s">
        <v>187</v>
      </c>
      <c r="B2" s="38">
        <f>Data!$E$7*Data!$E$9*Data!E12</f>
        <v>37999.887732793664</v>
      </c>
      <c r="C2" s="38"/>
      <c r="D2" s="38"/>
      <c r="E2" s="38"/>
      <c r="F2" s="38"/>
      <c r="G2" s="38"/>
      <c r="H2" s="38"/>
      <c r="I2" s="38"/>
      <c r="J2" s="38"/>
      <c r="K2" s="38"/>
    </row>
    <row r="3" spans="1:11">
      <c r="A3" s="38" t="s">
        <v>188</v>
      </c>
      <c r="B3" s="38">
        <f>Data!$E$7*Data!$E$9*Data!E13</f>
        <v>18321.374442596945</v>
      </c>
      <c r="C3" s="38"/>
      <c r="D3" s="38"/>
      <c r="E3" s="38"/>
      <c r="F3" s="38"/>
      <c r="G3" s="38"/>
      <c r="H3" s="47"/>
      <c r="I3" s="47"/>
      <c r="J3" s="38"/>
      <c r="K3" s="38"/>
    </row>
    <row r="4" spans="1:11">
      <c r="A4" s="38" t="s">
        <v>189</v>
      </c>
      <c r="B4" s="38">
        <f>Data!$E$7*Data!$E$9*Data!E14</f>
        <v>25785.638104395701</v>
      </c>
      <c r="C4" s="38"/>
      <c r="D4" s="38"/>
      <c r="E4" s="38"/>
      <c r="F4" s="38"/>
      <c r="G4" s="38"/>
      <c r="H4" s="47"/>
      <c r="I4" s="47"/>
      <c r="J4" s="38"/>
      <c r="K4" s="38"/>
    </row>
    <row r="5" spans="1:11">
      <c r="A5" s="38"/>
      <c r="B5" s="38"/>
      <c r="C5" s="38"/>
      <c r="D5" s="38"/>
      <c r="E5" s="38"/>
      <c r="F5" s="38"/>
      <c r="G5" s="38"/>
      <c r="H5" s="47"/>
      <c r="I5" s="47"/>
      <c r="J5" s="38"/>
      <c r="K5" s="38"/>
    </row>
    <row r="6" spans="1:11">
      <c r="A6" s="38" t="s">
        <v>185</v>
      </c>
      <c r="B6" s="48">
        <f>LN(Data!E3)-(LN(B2)/Data!$D$20)</f>
        <v>20.762177657750843</v>
      </c>
      <c r="C6" s="48"/>
      <c r="D6" s="48"/>
      <c r="E6" s="48"/>
      <c r="F6" s="38"/>
      <c r="G6" s="38"/>
      <c r="H6" s="47"/>
      <c r="I6" s="47"/>
      <c r="J6" s="38"/>
      <c r="K6" s="38"/>
    </row>
    <row r="7" spans="1:11">
      <c r="A7" s="38" t="s">
        <v>186</v>
      </c>
      <c r="B7" s="48">
        <f>LN(Data!E3)-(LN(B3)/Data!$D$21)</f>
        <v>31.66519585364771</v>
      </c>
      <c r="C7" s="48"/>
      <c r="D7" s="48"/>
      <c r="E7" s="48"/>
      <c r="F7" s="38"/>
      <c r="G7" s="38"/>
      <c r="H7" s="47"/>
      <c r="I7" s="47"/>
      <c r="J7" s="38"/>
      <c r="K7" s="38"/>
    </row>
    <row r="8" spans="1:11">
      <c r="A8" s="38" t="s">
        <v>184</v>
      </c>
      <c r="B8" s="48">
        <f>LN(Data!E3)-(LN(B4)/Data!$D$22)</f>
        <v>26.640857782697008</v>
      </c>
      <c r="C8" s="48"/>
      <c r="D8" s="48"/>
      <c r="E8" s="48"/>
      <c r="F8" s="38"/>
      <c r="G8" s="38"/>
      <c r="H8" s="47"/>
      <c r="I8" s="47"/>
      <c r="J8" s="38"/>
      <c r="K8" s="38"/>
    </row>
    <row r="9" spans="1:11">
      <c r="A9" s="38"/>
      <c r="B9" s="48"/>
      <c r="C9" s="48"/>
      <c r="D9" s="48"/>
      <c r="E9" s="62" t="s">
        <v>142</v>
      </c>
      <c r="F9" s="63"/>
      <c r="G9" s="63"/>
      <c r="H9" s="63"/>
      <c r="I9" s="47"/>
      <c r="J9" s="38"/>
      <c r="K9" s="38"/>
    </row>
    <row r="10" spans="1:11">
      <c r="A10" s="38" t="s">
        <v>180</v>
      </c>
      <c r="B10" s="38" t="str">
        <f>A2</f>
        <v>Q_sum, af</v>
      </c>
      <c r="C10" s="38" t="str">
        <f>A3</f>
        <v>Q_wint, af</v>
      </c>
      <c r="D10" s="38" t="str">
        <f>A4</f>
        <v>Q_int, af</v>
      </c>
      <c r="E10" s="38" t="s">
        <v>191</v>
      </c>
      <c r="F10" s="38" t="s">
        <v>14</v>
      </c>
      <c r="G10" s="38" t="s">
        <v>15</v>
      </c>
      <c r="H10" s="38" t="s">
        <v>206</v>
      </c>
      <c r="I10" s="38" t="s">
        <v>14</v>
      </c>
      <c r="J10" s="38" t="s">
        <v>15</v>
      </c>
      <c r="K10" s="38" t="s">
        <v>206</v>
      </c>
    </row>
    <row r="11" spans="1:11">
      <c r="A11" s="38"/>
      <c r="B11" s="38">
        <v>100000</v>
      </c>
      <c r="C11" s="38"/>
      <c r="D11" s="38"/>
      <c r="E11" s="52">
        <f>$F$32</f>
        <v>298.09385734773554</v>
      </c>
      <c r="F11" s="38"/>
      <c r="G11" s="38"/>
      <c r="H11" s="38"/>
      <c r="I11" s="38"/>
      <c r="J11" s="38"/>
      <c r="K11" s="38"/>
    </row>
    <row r="12" spans="1:11">
      <c r="A12" s="47">
        <f t="shared" ref="A12:A31" si="0">A13+5%</f>
        <v>2.0000000000000009</v>
      </c>
      <c r="B12" s="52">
        <f t="shared" ref="B12:B31" si="1">$B$32*A12</f>
        <v>75999.775465587358</v>
      </c>
      <c r="C12" s="52">
        <f t="shared" ref="C12:C31" si="2">$C$32*A12</f>
        <v>36642.748885193905</v>
      </c>
      <c r="D12" s="52">
        <f t="shared" ref="D12:D31" si="3">$D$32*A12</f>
        <v>51571.276208791423</v>
      </c>
      <c r="E12" s="52">
        <f>$F$32</f>
        <v>298.09385734773554</v>
      </c>
      <c r="F12" s="52">
        <f>EXP((LN(B12)/Data!$D$20)+Provo!$B$6)</f>
        <v>110.74144241138455</v>
      </c>
      <c r="G12" s="52">
        <f>EXP((LN(C12)/Data!$D$21)+Provo!$B$7)</f>
        <v>47.640616945724524</v>
      </c>
      <c r="H12" s="52">
        <f>EXP((LN(D12)/Data!$D$22)+Provo!$B$8)</f>
        <v>71.395793283081403</v>
      </c>
      <c r="I12" s="52">
        <f>(EXP($B$6)/(1+(1/Data!$D$20)))*($B$2^(1+(1/Data!$D$20))-B12^(1+(1/Data!$D$20)))</f>
        <v>-6792819.4951139744</v>
      </c>
      <c r="J12" s="52">
        <f>(EXP($B$7)/(1+(1/Data!$D$21)))*($B$3^(1+(1/Data!$D$21))-C12^(1+(1/Data!$D$21)))</f>
        <v>-2258158.6399655892</v>
      </c>
      <c r="K12" s="52">
        <f>(EXP($B$8)/(1+(1/Data!$D$22)))*($B$4^(1+(1/Data!$D$22))-D12^(1+(1/Data!$D$22)))</f>
        <v>-3771292.3365335357</v>
      </c>
    </row>
    <row r="13" spans="1:11">
      <c r="A13" s="47">
        <f t="shared" si="0"/>
        <v>1.9500000000000008</v>
      </c>
      <c r="B13" s="52">
        <f t="shared" si="1"/>
        <v>74099.781078947679</v>
      </c>
      <c r="C13" s="52">
        <f t="shared" si="2"/>
        <v>35726.680163064062</v>
      </c>
      <c r="D13" s="52">
        <f t="shared" si="3"/>
        <v>50281.994303571635</v>
      </c>
      <c r="E13" s="52">
        <f t="shared" ref="E13:E51" si="4">$F$32</f>
        <v>298.09385734773554</v>
      </c>
      <c r="F13" s="52">
        <f>EXP((LN(B13)/Data!$D$20)+Provo!$B$6)</f>
        <v>114.82008598845115</v>
      </c>
      <c r="G13" s="52">
        <f>EXP((LN(C13)/Data!$D$21)+Provo!$B$7)</f>
        <v>50.940792276737305</v>
      </c>
      <c r="H13" s="52">
        <f>EXP((LN(D13)/Data!$D$22)+Provo!$B$8)</f>
        <v>75.221764900849479</v>
      </c>
      <c r="I13" s="52">
        <f>(EXP($B$6)/(1+(1/Data!$D$20)))*($B$2^(1+(1/Data!$D$20))-B13^(1+(1/Data!$D$20)))</f>
        <v>-6578576.3816247554</v>
      </c>
      <c r="J13" s="52">
        <f>(EXP($B$7)/(1+(1/Data!$D$21)))*($B$3^(1+(1/Data!$D$21))-C13^(1+(1/Data!$D$21)))</f>
        <v>-2213028.2175690364</v>
      </c>
      <c r="K13" s="52">
        <f>(EXP($B$8)/(1+(1/Data!$D$22)))*($B$4^(1+(1/Data!$D$22))-D13^(1+(1/Data!$D$22)))</f>
        <v>-3676808.517756342</v>
      </c>
    </row>
    <row r="14" spans="1:11">
      <c r="A14" s="47">
        <f t="shared" si="0"/>
        <v>1.9000000000000008</v>
      </c>
      <c r="B14" s="52">
        <f t="shared" si="1"/>
        <v>72199.786692307986</v>
      </c>
      <c r="C14" s="52">
        <f t="shared" si="2"/>
        <v>34810.611440934212</v>
      </c>
      <c r="D14" s="52">
        <f t="shared" si="3"/>
        <v>48992.712398351854</v>
      </c>
      <c r="E14" s="52">
        <f t="shared" si="4"/>
        <v>298.09385734773554</v>
      </c>
      <c r="F14" s="52">
        <f>EXP((LN(B14)/Data!$D$20)+Provo!$B$6)</f>
        <v>119.16085122380191</v>
      </c>
      <c r="G14" s="52">
        <f>EXP((LN(C14)/Data!$D$21)+Provo!$B$7)</f>
        <v>54.564431926695676</v>
      </c>
      <c r="H14" s="52">
        <f>EXP((LN(D14)/Data!$D$22)+Provo!$B$8)</f>
        <v>79.360306084217868</v>
      </c>
      <c r="I14" s="52">
        <f>(EXP($B$6)/(1+(1/Data!$D$20)))*($B$2^(1+(1/Data!$D$20))-B14^(1+(1/Data!$D$20)))</f>
        <v>-6356338.5027730269</v>
      </c>
      <c r="J14" s="52">
        <f>(EXP($B$7)/(1+(1/Data!$D$21)))*($B$3^(1+(1/Data!$D$21))-C14^(1+(1/Data!$D$21)))</f>
        <v>-2164729.3919253065</v>
      </c>
      <c r="K14" s="52">
        <f>(EXP($B$8)/(1+(1/Data!$D$22)))*($B$4^(1+(1/Data!$D$22))-D14^(1+(1/Data!$D$22)))</f>
        <v>-3577193.946248834</v>
      </c>
    </row>
    <row r="15" spans="1:11">
      <c r="A15" s="47">
        <f t="shared" si="0"/>
        <v>1.8500000000000008</v>
      </c>
      <c r="B15" s="52">
        <f t="shared" si="1"/>
        <v>70299.792305668307</v>
      </c>
      <c r="C15" s="52">
        <f t="shared" si="2"/>
        <v>33894.542718804361</v>
      </c>
      <c r="D15" s="52">
        <f t="shared" si="3"/>
        <v>47703.430493132066</v>
      </c>
      <c r="E15" s="52">
        <f t="shared" si="4"/>
        <v>298.09385734773554</v>
      </c>
      <c r="F15" s="52">
        <f>EXP((LN(B15)/Data!$D$20)+Provo!$B$6)</f>
        <v>123.78816614444759</v>
      </c>
      <c r="G15" s="52">
        <f>EXP((LN(C15)/Data!$D$21)+Provo!$B$7)</f>
        <v>58.553048703351024</v>
      </c>
      <c r="H15" s="52">
        <f>EXP((LN(D15)/Data!$D$22)+Provo!$B$8)</f>
        <v>83.846219126579001</v>
      </c>
      <c r="I15" s="52">
        <f>(EXP($B$6)/(1+(1/Data!$D$20)))*($B$2^(1+(1/Data!$D$20))-B15^(1+(1/Data!$D$20)))</f>
        <v>-6125585.0674552983</v>
      </c>
      <c r="J15" s="52">
        <f>(EXP($B$7)/(1+(1/Data!$D$21)))*($B$3^(1+(1/Data!$D$21))-C15^(1+(1/Data!$D$21)))</f>
        <v>-2112947.2981502926</v>
      </c>
      <c r="K15" s="52">
        <f>(EXP($B$8)/(1+(1/Data!$D$22)))*($B$4^(1+(1/Data!$D$22))-D15^(1+(1/Data!$D$22)))</f>
        <v>-3472023.688621839</v>
      </c>
    </row>
    <row r="16" spans="1:11">
      <c r="A16" s="47">
        <f t="shared" si="0"/>
        <v>1.8000000000000007</v>
      </c>
      <c r="B16" s="52">
        <f t="shared" si="1"/>
        <v>68399.797919028628</v>
      </c>
      <c r="C16" s="52">
        <f t="shared" si="2"/>
        <v>32978.473996674511</v>
      </c>
      <c r="D16" s="52">
        <f t="shared" si="3"/>
        <v>46414.148587912277</v>
      </c>
      <c r="E16" s="52">
        <f t="shared" si="4"/>
        <v>298.09385734773554</v>
      </c>
      <c r="F16" s="52">
        <f>EXP((LN(B16)/Data!$D$20)+Provo!$B$6)</f>
        <v>128.72948137534888</v>
      </c>
      <c r="G16" s="52">
        <f>EXP((LN(C16)/Data!$D$21)+Provo!$B$7)</f>
        <v>62.954813150846114</v>
      </c>
      <c r="H16" s="52">
        <f>EXP((LN(D16)/Data!$D$22)+Provo!$B$8)</f>
        <v>88.719271042025071</v>
      </c>
      <c r="I16" s="52">
        <f>(EXP($B$6)/(1+(1/Data!$D$20)))*($B$2^(1+(1/Data!$D$20))-B16^(1+(1/Data!$D$20)))</f>
        <v>-5885746.0684262803</v>
      </c>
      <c r="J16" s="52">
        <f>(EXP($B$7)/(1+(1/Data!$D$21)))*($B$3^(1+(1/Data!$D$21))-C16^(1+(1/Data!$D$21)))</f>
        <v>-2057326.0822750858</v>
      </c>
      <c r="K16" s="52">
        <f>(EXP($B$8)/(1+(1/Data!$D$22)))*($B$4^(1+(1/Data!$D$22))-D16^(1+(1/Data!$D$22)))</f>
        <v>-3360824.8262306182</v>
      </c>
    </row>
    <row r="17" spans="1:11">
      <c r="A17" s="47">
        <f t="shared" si="0"/>
        <v>1.7500000000000007</v>
      </c>
      <c r="B17" s="52">
        <f t="shared" si="1"/>
        <v>66499.803532388934</v>
      </c>
      <c r="C17" s="52">
        <f t="shared" si="2"/>
        <v>32062.405274544668</v>
      </c>
      <c r="D17" s="52">
        <f t="shared" si="3"/>
        <v>45124.866682692496</v>
      </c>
      <c r="E17" s="52">
        <f t="shared" si="4"/>
        <v>298.09385734773554</v>
      </c>
      <c r="F17" s="52">
        <f>EXP((LN(B17)/Data!$D$20)+Provo!$B$6)</f>
        <v>134.0157417553537</v>
      </c>
      <c r="G17" s="52">
        <f>EXP((LN(C17)/Data!$D$21)+Provo!$B$7)</f>
        <v>67.825847035510293</v>
      </c>
      <c r="H17" s="52">
        <f>EXP((LN(D17)/Data!$D$22)+Provo!$B$8)</f>
        <v>94.025066256541152</v>
      </c>
      <c r="I17" s="52">
        <f>(EXP($B$6)/(1+(1/Data!$D$20)))*($B$2^(1+(1/Data!$D$20))-B17^(1+(1/Data!$D$20)))</f>
        <v>-5636196.1041655736</v>
      </c>
      <c r="J17" s="52">
        <f>(EXP($B$7)/(1+(1/Data!$D$21)))*($B$3^(1+(1/Data!$D$21))-C17^(1+(1/Data!$D$21)))</f>
        <v>-1997462.2300045651</v>
      </c>
      <c r="K17" s="52">
        <f>(EXP($B$8)/(1+(1/Data!$D$22)))*($B$4^(1+(1/Data!$D$22))-D17^(1+(1/Data!$D$22)))</f>
        <v>-3243069.5093618059</v>
      </c>
    </row>
    <row r="18" spans="1:11">
      <c r="A18" s="47">
        <f t="shared" si="0"/>
        <v>1.7000000000000006</v>
      </c>
      <c r="B18" s="52">
        <f t="shared" si="1"/>
        <v>64599.809145749256</v>
      </c>
      <c r="C18" s="52">
        <f t="shared" si="2"/>
        <v>31146.336552414818</v>
      </c>
      <c r="D18" s="52">
        <f t="shared" si="3"/>
        <v>43835.584777472708</v>
      </c>
      <c r="E18" s="52">
        <f t="shared" si="4"/>
        <v>298.09385734773554</v>
      </c>
      <c r="F18" s="52">
        <f>EXP((LN(B18)/Data!$D$20)+Provo!$B$6)</f>
        <v>139.68194767069696</v>
      </c>
      <c r="G18" s="52">
        <f>EXP((LN(C18)/Data!$D$21)+Provo!$B$7)</f>
        <v>73.23181461963101</v>
      </c>
      <c r="H18" s="52">
        <f>EXP((LN(D18)/Data!$D$22)+Provo!$B$8)</f>
        <v>99.816103327707793</v>
      </c>
      <c r="I18" s="52">
        <f>(EXP($B$6)/(1+(1/Data!$D$20)))*($B$2^(1+(1/Data!$D$20))-B18^(1+(1/Data!$D$20)))</f>
        <v>-5376247.2223035302</v>
      </c>
      <c r="J18" s="52">
        <f>(EXP($B$7)/(1+(1/Data!$D$21)))*($B$3^(1+(1/Data!$D$21))-C18^(1+(1/Data!$D$21)))</f>
        <v>-1932896.57948091</v>
      </c>
      <c r="K18" s="52">
        <f>(EXP($B$8)/(1+(1/Data!$D$22)))*($B$4^(1+(1/Data!$D$22))-D18^(1+(1/Data!$D$22)))</f>
        <v>-3118166.7719605118</v>
      </c>
    </row>
    <row r="19" spans="1:11">
      <c r="A19" s="47">
        <f t="shared" si="0"/>
        <v>1.6500000000000006</v>
      </c>
      <c r="B19" s="52">
        <f t="shared" si="1"/>
        <v>62699.814759109569</v>
      </c>
      <c r="C19" s="52">
        <f t="shared" si="2"/>
        <v>30230.267830284971</v>
      </c>
      <c r="D19" s="52">
        <f t="shared" si="3"/>
        <v>42546.30287225292</v>
      </c>
      <c r="E19" s="52">
        <f t="shared" si="4"/>
        <v>298.09385734773554</v>
      </c>
      <c r="F19" s="52">
        <f>EXP((LN(B19)/Data!$D$20)+Provo!$B$6)</f>
        <v>145.7678264291072</v>
      </c>
      <c r="G19" s="52">
        <f>EXP((LN(C19)/Data!$D$21)+Provo!$B$7)</f>
        <v>79.249891643704501</v>
      </c>
      <c r="H19" s="52">
        <f>EXP((LN(D19)/Data!$D$22)+Provo!$B$8)</f>
        <v>106.15306135497585</v>
      </c>
      <c r="I19" s="52">
        <f>(EXP($B$6)/(1+(1/Data!$D$20)))*($B$2^(1+(1/Data!$D$20))-B19^(1+(1/Data!$D$20)))</f>
        <v>-5105140.5955813527</v>
      </c>
      <c r="J19" s="52">
        <f>(EXP($B$7)/(1+(1/Data!$D$21)))*($B$3^(1+(1/Data!$D$21))-C19^(1+(1/Data!$D$21)))</f>
        <v>-1863104.7102687603</v>
      </c>
      <c r="K19" s="52">
        <f>(EXP($B$8)/(1+(1/Data!$D$22)))*($B$4^(1+(1/Data!$D$22))-D19^(1+(1/Data!$D$22)))</f>
        <v>-2985452.8414192265</v>
      </c>
    </row>
    <row r="20" spans="1:11">
      <c r="A20" s="47">
        <f t="shared" si="0"/>
        <v>1.6000000000000005</v>
      </c>
      <c r="B20" s="52">
        <f t="shared" si="1"/>
        <v>60799.820372469883</v>
      </c>
      <c r="C20" s="52">
        <f t="shared" si="2"/>
        <v>29314.19910815512</v>
      </c>
      <c r="D20" s="52">
        <f t="shared" si="3"/>
        <v>41257.020967033131</v>
      </c>
      <c r="E20" s="52">
        <f t="shared" si="4"/>
        <v>298.09385734773554</v>
      </c>
      <c r="F20" s="52">
        <f>EXP((LN(B20)/Data!$D$20)+Provo!$B$6)</f>
        <v>152.3186393849862</v>
      </c>
      <c r="G20" s="52">
        <f>EXP((LN(C20)/Data!$D$21)+Provo!$B$7)</f>
        <v>85.971216630913844</v>
      </c>
      <c r="H20" s="52">
        <f>EXP((LN(D20)/Data!$D$22)+Provo!$B$8)</f>
        <v>113.10637488109769</v>
      </c>
      <c r="I20" s="52">
        <f>(EXP($B$6)/(1+(1/Data!$D$20)))*($B$2^(1+(1/Data!$D$20))-B20^(1+(1/Data!$D$20)))</f>
        <v>-4822036.7978140563</v>
      </c>
      <c r="J20" s="52">
        <f>(EXP($B$7)/(1+(1/Data!$D$21)))*($B$3^(1+(1/Data!$D$21))-C20^(1+(1/Data!$D$21)))</f>
        <v>-1787485.3168154655</v>
      </c>
      <c r="K20" s="52">
        <f>(EXP($B$8)/(1+(1/Data!$D$22)))*($B$4^(1+(1/Data!$D$22))-D20^(1+(1/Data!$D$22)))</f>
        <v>-2844179.6110052024</v>
      </c>
    </row>
    <row r="21" spans="1:11">
      <c r="A21" s="47">
        <f t="shared" si="0"/>
        <v>1.5500000000000005</v>
      </c>
      <c r="B21" s="52">
        <f t="shared" si="1"/>
        <v>58899.825985830197</v>
      </c>
      <c r="C21" s="52">
        <f t="shared" si="2"/>
        <v>28398.130386025274</v>
      </c>
      <c r="D21" s="52">
        <f t="shared" si="3"/>
        <v>39967.73906181335</v>
      </c>
      <c r="E21" s="52">
        <f t="shared" si="4"/>
        <v>298.09385734773554</v>
      </c>
      <c r="F21" s="52">
        <f>EXP((LN(B21)/Data!$D$20)+Provo!$B$6)</f>
        <v>159.38615756299572</v>
      </c>
      <c r="G21" s="52">
        <f>EXP((LN(C21)/Data!$D$21)+Provo!$B$7)</f>
        <v>93.503962518764325</v>
      </c>
      <c r="H21" s="52">
        <f>EXP((LN(D21)/Data!$D$22)+Provo!$B$8)</f>
        <v>120.7581735586319</v>
      </c>
      <c r="I21" s="52">
        <f>(EXP($B$6)/(1+(1/Data!$D$20)))*($B$2^(1+(1/Data!$D$20))-B21^(1+(1/Data!$D$20)))</f>
        <v>-4526004.3920905208</v>
      </c>
      <c r="J21" s="52">
        <f>(EXP($B$7)/(1+(1/Data!$D$21)))*($B$3^(1+(1/Data!$D$21))-C21^(1+(1/Data!$D$21)))</f>
        <v>-1705346.0642908011</v>
      </c>
      <c r="K21" s="52">
        <f>(EXP($B$8)/(1+(1/Data!$D$22)))*($B$4^(1+(1/Data!$D$22))-D21^(1+(1/Data!$D$22)))</f>
        <v>-2693500.8559701811</v>
      </c>
    </row>
    <row r="22" spans="1:11">
      <c r="A22" s="47">
        <f t="shared" si="0"/>
        <v>1.5000000000000004</v>
      </c>
      <c r="B22" s="52">
        <f t="shared" si="1"/>
        <v>56999.831599190511</v>
      </c>
      <c r="C22" s="52">
        <f t="shared" si="2"/>
        <v>27482.061663895427</v>
      </c>
      <c r="D22" s="52">
        <f t="shared" si="3"/>
        <v>38678.457156593562</v>
      </c>
      <c r="E22" s="52">
        <f t="shared" si="4"/>
        <v>298.09385734773554</v>
      </c>
      <c r="F22" s="52">
        <f>EXP((LN(B22)/Data!$D$20)+Provo!$B$6)</f>
        <v>167.02984779091176</v>
      </c>
      <c r="G22" s="52">
        <f>EXP((LN(C22)/Data!$D$21)+Provo!$B$7)</f>
        <v>101.97721217752387</v>
      </c>
      <c r="H22" s="52">
        <f>EXP((LN(D22)/Data!$D$22)+Provo!$B$8)</f>
        <v>129.2046862890324</v>
      </c>
      <c r="I22" s="52">
        <f>(EXP($B$6)/(1+(1/Data!$D$20)))*($B$2^(1+(1/Data!$D$20))-B22^(1+(1/Data!$D$20)))</f>
        <v>-4216006.4728342313</v>
      </c>
      <c r="J22" s="52">
        <f>(EXP($B$7)/(1+(1/Data!$D$21)))*($B$3^(1+(1/Data!$D$21))-C22^(1+(1/Data!$D$21)))</f>
        <v>-1615886.2785169524</v>
      </c>
      <c r="K22" s="52">
        <f>(EXP($B$8)/(1+(1/Data!$D$22)))*($B$4^(1+(1/Data!$D$22))-D22^(1+(1/Data!$D$22)))</f>
        <v>-2532455.6616903688</v>
      </c>
    </row>
    <row r="23" spans="1:11">
      <c r="A23" s="47">
        <f t="shared" si="0"/>
        <v>1.4500000000000004</v>
      </c>
      <c r="B23" s="52">
        <f t="shared" si="1"/>
        <v>55099.837212550825</v>
      </c>
      <c r="C23" s="52">
        <f t="shared" si="2"/>
        <v>26565.992941765577</v>
      </c>
      <c r="D23" s="52">
        <f t="shared" si="3"/>
        <v>37389.175251373774</v>
      </c>
      <c r="E23" s="52">
        <f t="shared" si="4"/>
        <v>298.09385734773554</v>
      </c>
      <c r="F23" s="52">
        <f>EXP((LN(B23)/Data!$D$20)+Provo!$B$6)</f>
        <v>175.31832364918949</v>
      </c>
      <c r="G23" s="52">
        <f>EXP((LN(C23)/Data!$D$21)+Provo!$B$7)</f>
        <v>111.54588411143845</v>
      </c>
      <c r="H23" s="52">
        <f>EXP((LN(D23)/Data!$D$22)+Provo!$B$8)</f>
        <v>138.55924124908478</v>
      </c>
      <c r="I23" s="52">
        <f>(EXP($B$6)/(1+(1/Data!$D$20)))*($B$2^(1+(1/Data!$D$20))-B23^(1+(1/Data!$D$20)))</f>
        <v>-3890884.712403968</v>
      </c>
      <c r="J23" s="52">
        <f>(EXP($B$7)/(1+(1/Data!$D$21)))*($B$3^(1+(1/Data!$D$21))-C23^(1+(1/Data!$D$21)))</f>
        <v>-1518175.6263633007</v>
      </c>
      <c r="K23" s="52">
        <f>(EXP($B$8)/(1+(1/Data!$D$22)))*($B$4^(1+(1/Data!$D$22))-D23^(1+(1/Data!$D$22)))</f>
        <v>-2359948.3842369448</v>
      </c>
    </row>
    <row r="24" spans="1:11">
      <c r="A24" s="47">
        <f t="shared" si="0"/>
        <v>1.4000000000000004</v>
      </c>
      <c r="B24" s="52">
        <f t="shared" si="1"/>
        <v>53199.842825911146</v>
      </c>
      <c r="C24" s="52">
        <f t="shared" si="2"/>
        <v>25649.92421963573</v>
      </c>
      <c r="D24" s="52">
        <f t="shared" si="3"/>
        <v>36099.893346153993</v>
      </c>
      <c r="E24" s="52">
        <f t="shared" si="4"/>
        <v>298.09385734773554</v>
      </c>
      <c r="F24" s="52">
        <f>EXP((LN(B24)/Data!$D$20)+Provo!$B$6)</f>
        <v>184.33113201211648</v>
      </c>
      <c r="G24" s="52">
        <f>EXP((LN(C24)/Data!$D$21)+Provo!$B$7)</f>
        <v>122.39704190456348</v>
      </c>
      <c r="H24" s="52">
        <f>EXP((LN(D24)/Data!$D$22)+Provo!$B$8)</f>
        <v>148.95603652817061</v>
      </c>
      <c r="I24" s="52">
        <f>(EXP($B$6)/(1+(1/Data!$D$20)))*($B$2^(1+(1/Data!$D$20))-B24^(1+(1/Data!$D$20)))</f>
        <v>-3549340.3448590715</v>
      </c>
      <c r="J24" s="52">
        <f>(EXP($B$7)/(1+(1/Data!$D$21)))*($B$3^(1+(1/Data!$D$21))-C24^(1+(1/Data!$D$21)))</f>
        <v>-1411127.6796136657</v>
      </c>
      <c r="K24" s="52">
        <f>(EXP($B$8)/(1+(1/Data!$D$22)))*($B$4^(1+(1/Data!$D$22))-D24^(1+(1/Data!$D$22)))</f>
        <v>-2174724.2678989195</v>
      </c>
    </row>
    <row r="25" spans="1:11">
      <c r="A25" s="47">
        <f t="shared" si="0"/>
        <v>1.3500000000000003</v>
      </c>
      <c r="B25" s="52">
        <f t="shared" si="1"/>
        <v>51299.84843927146</v>
      </c>
      <c r="C25" s="52">
        <f t="shared" si="2"/>
        <v>24733.855497505883</v>
      </c>
      <c r="D25" s="52">
        <f t="shared" si="3"/>
        <v>34810.611440934204</v>
      </c>
      <c r="E25" s="52">
        <f t="shared" si="4"/>
        <v>298.09385734773554</v>
      </c>
      <c r="F25" s="52">
        <f>EXP((LN(B25)/Data!$D$20)+Provo!$B$6)</f>
        <v>194.16096821687324</v>
      </c>
      <c r="G25" s="52">
        <f>EXP((LN(C25)/Data!$D$21)+Provo!$B$7)</f>
        <v>134.7580436582991</v>
      </c>
      <c r="H25" s="52">
        <f>EXP((LN(D25)/Data!$D$22)+Provo!$B$8)</f>
        <v>160.55491585234407</v>
      </c>
      <c r="I25" s="52">
        <f>(EXP($B$6)/(1+(1/Data!$D$20)))*($B$2^(1+(1/Data!$D$20))-B25^(1+(1/Data!$D$20)))</f>
        <v>-3189911.3649702724</v>
      </c>
      <c r="J25" s="52">
        <f>(EXP($B$7)/(1+(1/Data!$D$21)))*($B$3^(1+(1/Data!$D$21))-C25^(1+(1/Data!$D$21)))</f>
        <v>-1293466.8967881366</v>
      </c>
      <c r="K25" s="52">
        <f>(EXP($B$8)/(1+(1/Data!$D$22)))*($B$4^(1+(1/Data!$D$22))-D25^(1+(1/Data!$D$22)))</f>
        <v>-1975339.5824882332</v>
      </c>
    </row>
    <row r="26" spans="1:11">
      <c r="A26" s="47">
        <f t="shared" si="0"/>
        <v>1.3000000000000003</v>
      </c>
      <c r="B26" s="52">
        <f t="shared" si="1"/>
        <v>49399.854052631774</v>
      </c>
      <c r="C26" s="52">
        <f t="shared" si="2"/>
        <v>23817.786775376033</v>
      </c>
      <c r="D26" s="52">
        <f t="shared" si="3"/>
        <v>33521.329535714416</v>
      </c>
      <c r="E26" s="52">
        <f t="shared" si="4"/>
        <v>298.09385734773554</v>
      </c>
      <c r="F26" s="52">
        <f>EXP((LN(B26)/Data!$D$20)+Provo!$B$6)</f>
        <v>204.91644329426464</v>
      </c>
      <c r="G26" s="52">
        <f>EXP((LN(C26)/Data!$D$21)+Provo!$B$7)</f>
        <v>148.90716211860922</v>
      </c>
      <c r="H26" s="52">
        <f>EXP((LN(D26)/Data!$D$22)+Provo!$B$8)</f>
        <v>173.54746719974139</v>
      </c>
      <c r="I26" s="52">
        <f>(EXP($B$6)/(1+(1/Data!$D$20)))*($B$2^(1+(1/Data!$D$20))-B26^(1+(1/Data!$D$20)))</f>
        <v>-2810945.0164326578</v>
      </c>
      <c r="J26" s="52">
        <f>(EXP($B$7)/(1+(1/Data!$D$21)))*($B$3^(1+(1/Data!$D$21))-C26^(1+(1/Data!$D$21)))</f>
        <v>-1163687.0642973871</v>
      </c>
      <c r="K26" s="52">
        <f>(EXP($B$8)/(1+(1/Data!$D$22)))*($B$4^(1+(1/Data!$D$22))-D26^(1+(1/Data!$D$22)))</f>
        <v>-1760124.7902546595</v>
      </c>
    </row>
    <row r="27" spans="1:11">
      <c r="A27" s="47">
        <f t="shared" si="0"/>
        <v>1.2500000000000002</v>
      </c>
      <c r="B27" s="52">
        <f t="shared" si="1"/>
        <v>47499.859665992088</v>
      </c>
      <c r="C27" s="52">
        <f t="shared" si="2"/>
        <v>22901.718053246186</v>
      </c>
      <c r="D27" s="52">
        <f t="shared" si="3"/>
        <v>32232.047630494631</v>
      </c>
      <c r="E27" s="52">
        <f t="shared" si="4"/>
        <v>298.09385734773554</v>
      </c>
      <c r="F27" s="52">
        <f>EXP((LN(B27)/Data!$D$20)+Provo!$B$6)</f>
        <v>216.72556864971284</v>
      </c>
      <c r="G27" s="52">
        <f>EXP((LN(C27)/Data!$D$21)+Provo!$B$7)</f>
        <v>165.18755728147141</v>
      </c>
      <c r="H27" s="52">
        <f>EXP((LN(D27)/Data!$D$22)+Provo!$B$8)</f>
        <v>188.16487965889144</v>
      </c>
      <c r="I27" s="52">
        <f>(EXP($B$6)/(1+(1/Data!$D$20)))*($B$2^(1+(1/Data!$D$20))-B27^(1+(1/Data!$D$20)))</f>
        <v>-2410564.3710298473</v>
      </c>
      <c r="J27" s="52">
        <f>(EXP($B$7)/(1+(1/Data!$D$21)))*($B$3^(1+(1/Data!$D$21))-C27^(1+(1/Data!$D$21)))</f>
        <v>-1019998.5526176603</v>
      </c>
      <c r="K27" s="52">
        <f>(EXP($B$8)/(1+(1/Data!$D$22)))*($B$4^(1+(1/Data!$D$22))-D27^(1+(1/Data!$D$22)))</f>
        <v>-1527138.7711316058</v>
      </c>
    </row>
    <row r="28" spans="1:11">
      <c r="A28" s="47">
        <f t="shared" si="0"/>
        <v>1.2000000000000002</v>
      </c>
      <c r="B28" s="52">
        <f t="shared" si="1"/>
        <v>45599.865279352402</v>
      </c>
      <c r="C28" s="52">
        <f t="shared" si="2"/>
        <v>21985.649331116336</v>
      </c>
      <c r="D28" s="52">
        <f t="shared" si="3"/>
        <v>30942.765725274847</v>
      </c>
      <c r="E28" s="52">
        <f t="shared" si="4"/>
        <v>298.09385734773554</v>
      </c>
      <c r="F28" s="52">
        <f>EXP((LN(B28)/Data!$D$20)+Provo!$B$6)</f>
        <v>229.74018215946168</v>
      </c>
      <c r="G28" s="52">
        <f>EXP((LN(C28)/Data!$D$21)+Provo!$B$7)</f>
        <v>184.02584940322438</v>
      </c>
      <c r="H28" s="52">
        <f>EXP((LN(D28)/Data!$D$22)+Provo!$B$8)</f>
        <v>204.68816175006992</v>
      </c>
      <c r="I28" s="52">
        <f>(EXP($B$6)/(1+(1/Data!$D$20)))*($B$2^(1+(1/Data!$D$20))-B28^(1+(1/Data!$D$20)))</f>
        <v>-1986627.4337560316</v>
      </c>
      <c r="J28" s="52">
        <f>(EXP($B$7)/(1+(1/Data!$D$21)))*($B$3^(1+(1/Data!$D$21))-C28^(1+(1/Data!$D$21)))</f>
        <v>-860260.77839176054</v>
      </c>
      <c r="K28" s="52">
        <f>(EXP($B$8)/(1+(1/Data!$D$22)))*($B$4^(1+(1/Data!$D$22))-D28^(1+(1/Data!$D$22)))</f>
        <v>-1274111.4720526168</v>
      </c>
    </row>
    <row r="29" spans="1:11">
      <c r="A29" s="47">
        <f t="shared" si="0"/>
        <v>1.1500000000000001</v>
      </c>
      <c r="B29" s="52">
        <f t="shared" si="1"/>
        <v>43699.870892712715</v>
      </c>
      <c r="C29" s="52">
        <f t="shared" si="2"/>
        <v>21069.580608986489</v>
      </c>
      <c r="D29" s="52">
        <f t="shared" si="3"/>
        <v>29653.483820055058</v>
      </c>
      <c r="E29" s="52">
        <f t="shared" si="4"/>
        <v>298.09385734773554</v>
      </c>
      <c r="F29" s="52">
        <f>EXP((LN(B29)/Data!$D$20)+Provo!$B$6)</f>
        <v>244.14162244727601</v>
      </c>
      <c r="G29" s="52">
        <f>EXP((LN(C29)/Data!$D$21)+Provo!$B$7)</f>
        <v>205.95708177084211</v>
      </c>
      <c r="H29" s="52">
        <f>EXP((LN(D29)/Data!$D$22)+Provo!$B$8)</f>
        <v>223.4615673515658</v>
      </c>
      <c r="I29" s="52">
        <f>(EXP($B$6)/(1+(1/Data!$D$20)))*($B$2^(1+(1/Data!$D$20))-B29^(1+(1/Data!$D$20)))</f>
        <v>-1536676.7093206209</v>
      </c>
      <c r="J29" s="52">
        <f>(EXP($B$7)/(1+(1/Data!$D$21)))*($B$3^(1+(1/Data!$D$21))-C29^(1+(1/Data!$D$21)))</f>
        <v>-681894.88859849633</v>
      </c>
      <c r="K29" s="52">
        <f>(EXP($B$8)/(1+(1/Data!$D$22)))*($B$4^(1+(1/Data!$D$22))-D29^(1+(1/Data!$D$22)))</f>
        <v>-998371.42155612586</v>
      </c>
    </row>
    <row r="30" spans="1:11">
      <c r="A30" s="47">
        <f t="shared" si="0"/>
        <v>1.1000000000000001</v>
      </c>
      <c r="B30" s="52">
        <f t="shared" si="1"/>
        <v>41799.876506073037</v>
      </c>
      <c r="C30" s="52">
        <f t="shared" si="2"/>
        <v>20153.511886856642</v>
      </c>
      <c r="D30" s="52">
        <f t="shared" si="3"/>
        <v>28364.201914835274</v>
      </c>
      <c r="E30" s="52">
        <f t="shared" si="4"/>
        <v>298.09385734773554</v>
      </c>
      <c r="F30" s="52">
        <f>EXP((LN(B30)/Data!$D$20)+Provo!$B$6)</f>
        <v>260.14807671884836</v>
      </c>
      <c r="G30" s="52">
        <f>EXP((LN(C30)/Data!$D$21)+Provo!$B$7)</f>
        <v>231.6586754042348</v>
      </c>
      <c r="H30" s="52">
        <f>EXP((LN(D30)/Data!$D$22)+Provo!$B$8)</f>
        <v>244.91043194662791</v>
      </c>
      <c r="I30" s="52">
        <f>(EXP($B$6)/(1+(1/Data!$D$20)))*($B$2^(1+(1/Data!$D$20))-B30^(1+(1/Data!$D$20)))</f>
        <v>-1057876.4767878444</v>
      </c>
      <c r="J30" s="52">
        <f>(EXP($B$7)/(1+(1/Data!$D$21)))*($B$3^(1+(1/Data!$D$21))-C30^(1+(1/Data!$D$21)))</f>
        <v>-481769.69707092125</v>
      </c>
      <c r="K30" s="52">
        <f>(EXP($B$8)/(1+(1/Data!$D$22)))*($B$4^(1+(1/Data!$D$22))-D30^(1+(1/Data!$D$22)))</f>
        <v>-696753.24505875399</v>
      </c>
    </row>
    <row r="31" spans="1:11">
      <c r="A31" s="47">
        <f t="shared" si="0"/>
        <v>1.05</v>
      </c>
      <c r="B31" s="52">
        <f t="shared" si="1"/>
        <v>39899.88211943335</v>
      </c>
      <c r="C31" s="52">
        <f t="shared" si="2"/>
        <v>19237.443164726792</v>
      </c>
      <c r="D31" s="52">
        <f t="shared" si="3"/>
        <v>27074.920009615485</v>
      </c>
      <c r="E31" s="52">
        <f t="shared" si="4"/>
        <v>298.09385734773554</v>
      </c>
      <c r="F31" s="52">
        <f>EXP((LN(B31)/Data!$D$20)+Provo!$B$6)</f>
        <v>278.02419990824637</v>
      </c>
      <c r="G31" s="52">
        <f>EXP((LN(C31)/Data!$D$21)+Provo!$B$7)</f>
        <v>261.99721818092877</v>
      </c>
      <c r="H31" s="52">
        <f>EXP((LN(D31)/Data!$D$22)+Provo!$B$8)</f>
        <v>269.56515342817266</v>
      </c>
      <c r="I31" s="52">
        <f>(EXP($B$6)/(1+(1/Data!$D$20)))*($B$2^(1+(1/Data!$D$20))-B31^(1+(1/Data!$D$20)))</f>
        <v>-546934.05750796199</v>
      </c>
      <c r="J31" s="52">
        <f>(EXP($B$7)/(1+(1/Data!$D$21)))*($B$3^(1+(1/Data!$D$21))-C31^(1+(1/Data!$D$21)))</f>
        <v>-256050.99243404472</v>
      </c>
      <c r="K31" s="52">
        <f>(EXP($B$8)/(1+(1/Data!$D$22)))*($B$4^(1+(1/Data!$D$22))-D31^(1+(1/Data!$D$22)))</f>
        <v>-365478.44607438205</v>
      </c>
    </row>
    <row r="32" spans="1:11">
      <c r="A32" s="47">
        <v>1</v>
      </c>
      <c r="B32" s="52">
        <f>B2</f>
        <v>37999.887732793664</v>
      </c>
      <c r="C32" s="52">
        <f>B3</f>
        <v>18321.374442596945</v>
      </c>
      <c r="D32" s="52">
        <f>B4</f>
        <v>25785.638104395701</v>
      </c>
      <c r="E32" s="52">
        <f t="shared" si="4"/>
        <v>298.09385734773554</v>
      </c>
      <c r="F32" s="52">
        <f>EXP((LN(B32)/Data!$D$20)+Provo!$B$6)</f>
        <v>298.09385734773554</v>
      </c>
      <c r="G32" s="52">
        <f>EXP((LN(C32)/Data!$D$21)+Provo!$B$7)</f>
        <v>298.09385734773554</v>
      </c>
      <c r="H32" s="52">
        <f>EXP((LN(D32)/Data!$D$22)+Provo!$B$8)</f>
        <v>298.09385734773554</v>
      </c>
      <c r="I32" s="38">
        <f>(EXP($B$6)/(1+(1/Data!$D$20)))*($B$2^(1+(1/Data!$D$20))-B32^(1+(1/Data!$D$20)))</f>
        <v>0</v>
      </c>
      <c r="J32" s="38">
        <f>(EXP($B$7)/(1+(1/Data!$D$21)))*($B$3^(1+(1/Data!$D$21))-C32^(1+(1/Data!$D$21)))</f>
        <v>0</v>
      </c>
      <c r="K32" s="38">
        <f>(EXP($B$8)/(1+(1/Data!$D$22)))*($B$4^(1+(1/Data!$D$22))-D32^(1+(1/Data!$D$22)))</f>
        <v>0</v>
      </c>
    </row>
    <row r="33" spans="1:11">
      <c r="A33" s="47">
        <v>0.95</v>
      </c>
      <c r="B33" s="52">
        <f>$B$32*A33</f>
        <v>36099.893346153978</v>
      </c>
      <c r="C33" s="52">
        <f>$C$32*A33</f>
        <v>17405.305720467099</v>
      </c>
      <c r="D33" s="52">
        <f>$D$32*A33</f>
        <v>24496.356199175916</v>
      </c>
      <c r="E33" s="52">
        <f t="shared" si="4"/>
        <v>298.09385734773554</v>
      </c>
      <c r="F33" s="52">
        <f>EXP((LN(B33)/Data!$D$20)+Provo!$B$6)</f>
        <v>320.75722523270116</v>
      </c>
      <c r="G33" s="52">
        <f>EXP((LN(C33)/Data!$D$21)+Provo!$B$7)</f>
        <v>341.41711484440191</v>
      </c>
      <c r="H33" s="52">
        <f>EXP((LN(D33)/Data!$D$22)+Provo!$B$8)</f>
        <v>331.34753005885187</v>
      </c>
      <c r="I33" s="52">
        <f>(EXP($B$6)/(1+(1/Data!$D$20)))*($B$2^(1+(1/Data!$D$20))-B33^(1+(1/Data!$D$20)))/1000000</f>
        <v>0.58745985167204384</v>
      </c>
      <c r="J33" s="52">
        <f>(EXP($B$7)/(1+(1/Data!$D$21)))*($B$3^(1+(1/Data!$D$21))-C33^(1+(1/Data!$D$21)))/1000000</f>
        <v>0.29229979293882485</v>
      </c>
      <c r="K33" s="52">
        <f>(EXP($B$8)/(1+(1/Data!$D$22)))*($B$4^(1+(1/Data!$D$22))-D33^(1+(1/Data!$D$22)))/1000000</f>
        <v>0.4052027101620696</v>
      </c>
    </row>
    <row r="34" spans="1:11">
      <c r="A34" s="47">
        <v>0.9</v>
      </c>
      <c r="B34" s="52">
        <f t="shared" ref="B34:B51" si="5">$B$32*A34</f>
        <v>34199.898959514299</v>
      </c>
      <c r="C34" s="52">
        <f t="shared" ref="C34:C51" si="6">$C$32*A34</f>
        <v>16489.236998337252</v>
      </c>
      <c r="D34" s="52">
        <f t="shared" ref="D34:D51" si="7">$D$32*A34</f>
        <v>23207.074293956131</v>
      </c>
      <c r="E34" s="52">
        <f t="shared" si="4"/>
        <v>298.09385734773554</v>
      </c>
      <c r="F34" s="52">
        <f>EXP((LN(B34)/Data!$D$20)+Provo!$B$6)</f>
        <v>346.51406756109145</v>
      </c>
      <c r="G34" s="52">
        <f>EXP((LN(C34)/Data!$D$21)+Provo!$B$7)</f>
        <v>393.91687794727119</v>
      </c>
      <c r="H34" s="52">
        <f>EXP((LN(D34)/Data!$D$22)+Provo!$B$8)</f>
        <v>370.42336123553457</v>
      </c>
      <c r="I34" s="52">
        <f>(EXP($B$6)/(1+(1/Data!$D$20)))*($B$2^(1+(1/Data!$D$20))-B34^(1+(1/Data!$D$20)))/1000000</f>
        <v>1.2208302997106926</v>
      </c>
      <c r="J34" s="52">
        <f>(EXP($B$7)/(1+(1/Data!$D$21)))*($B$3^(1+(1/Data!$D$21))-C34^(1+(1/Data!$D$21)))/1000000</f>
        <v>0.62831839343284579</v>
      </c>
      <c r="K34" s="52">
        <f>(EXP($B$8)/(1+(1/Data!$D$22)))*($B$4^(1+(1/Data!$D$22))-D34^(1+(1/Data!$D$22)))/1000000</f>
        <v>0.85689812967671697</v>
      </c>
    </row>
    <row r="35" spans="1:11">
      <c r="A35" s="47">
        <v>0.85</v>
      </c>
      <c r="B35" s="52">
        <f t="shared" si="5"/>
        <v>32299.904572874613</v>
      </c>
      <c r="C35" s="52">
        <f t="shared" si="6"/>
        <v>15573.168276207403</v>
      </c>
      <c r="D35" s="52">
        <f t="shared" si="7"/>
        <v>21917.792388736347</v>
      </c>
      <c r="E35" s="52">
        <f t="shared" si="4"/>
        <v>298.09385734773554</v>
      </c>
      <c r="F35" s="52">
        <f>EXP((LN(B35)/Data!$D$20)+Provo!$B$6)</f>
        <v>375.99592055450756</v>
      </c>
      <c r="G35" s="52">
        <f>EXP((LN(C35)/Data!$D$21)+Provo!$B$7)</f>
        <v>458.22148200579284</v>
      </c>
      <c r="H35" s="52">
        <f>EXP((LN(D35)/Data!$D$22)+Provo!$B$8)</f>
        <v>416.75518819996591</v>
      </c>
      <c r="I35" s="52">
        <f>(EXP($B$6)/(1+(1/Data!$D$20)))*($B$2^(1+(1/Data!$D$20))-B35^(1+(1/Data!$D$20)))/1000000</f>
        <v>1.9065648948532372</v>
      </c>
      <c r="J35" s="52">
        <f>(EXP($B$7)/(1+(1/Data!$D$21)))*($B$3^(1+(1/Data!$D$21))-C35^(1+(1/Data!$D$21)))/1000000</f>
        <v>1.0176046037482527</v>
      </c>
      <c r="K35" s="52">
        <f>(EXP($B$8)/(1+(1/Data!$D$22)))*($B$4^(1+(1/Data!$D$22))-D35^(1+(1/Data!$D$22)))/1000000</f>
        <v>1.3634747225515043</v>
      </c>
    </row>
    <row r="36" spans="1:11">
      <c r="A36" s="47">
        <v>0.8</v>
      </c>
      <c r="B36" s="52">
        <f t="shared" si="5"/>
        <v>30399.910186234934</v>
      </c>
      <c r="C36" s="52">
        <f t="shared" si="6"/>
        <v>14657.099554077557</v>
      </c>
      <c r="D36" s="52">
        <f t="shared" si="7"/>
        <v>20628.510483516562</v>
      </c>
      <c r="E36" s="52">
        <f t="shared" si="4"/>
        <v>298.09385734773554</v>
      </c>
      <c r="F36" s="52">
        <f>EXP((LN(B36)/Data!$D$20)+Provo!$B$6)</f>
        <v>410.01137217950281</v>
      </c>
      <c r="G36" s="52">
        <f>EXP((LN(C36)/Data!$D$21)+Provo!$B$7)</f>
        <v>537.93366310901274</v>
      </c>
      <c r="H36" s="52">
        <f>EXP((LN(D36)/Data!$D$22)+Provo!$B$8)</f>
        <v>472.24512857839539</v>
      </c>
      <c r="I36" s="52">
        <f>(EXP($B$6)/(1+(1/Data!$D$20)))*($B$2^(1+(1/Data!$D$20))-B36^(1+(1/Data!$D$20)))/1000000</f>
        <v>2.6524768119324778</v>
      </c>
      <c r="J36" s="52">
        <f>(EXP($B$7)/(1+(1/Data!$D$21)))*($B$3^(1+(1/Data!$D$21))-C36^(1+(1/Data!$D$21)))/1000000</f>
        <v>1.4725336849472697</v>
      </c>
      <c r="K36" s="52">
        <f>(EXP($B$8)/(1+(1/Data!$D$22)))*($B$4^(1+(1/Data!$D$22))-D36^(1+(1/Data!$D$22)))/1000000</f>
        <v>1.9354544283381536</v>
      </c>
    </row>
    <row r="37" spans="1:11">
      <c r="A37" s="47">
        <v>0.75</v>
      </c>
      <c r="B37" s="52">
        <f t="shared" si="5"/>
        <v>28499.915799595248</v>
      </c>
      <c r="C37" s="52">
        <f t="shared" si="6"/>
        <v>13741.030831947708</v>
      </c>
      <c r="D37" s="52">
        <f t="shared" si="7"/>
        <v>19339.228578296774</v>
      </c>
      <c r="E37" s="52">
        <f t="shared" si="4"/>
        <v>298.09385734773554</v>
      </c>
      <c r="F37" s="52">
        <f>EXP((LN(B37)/Data!$D$20)+Provo!$B$6)</f>
        <v>449.61100863428192</v>
      </c>
      <c r="G37" s="52">
        <f>EXP((LN(C37)/Data!$D$21)+Provo!$B$7)</f>
        <v>638.08536682467707</v>
      </c>
      <c r="H37" s="52">
        <f>EXP((LN(D37)/Data!$D$22)+Provo!$B$8)</f>
        <v>539.45928117348012</v>
      </c>
      <c r="I37" s="52">
        <f>(EXP($B$6)/(1+(1/Data!$D$20)))*($B$2^(1+(1/Data!$D$20))-B37^(1+(1/Data!$D$20)))/1000000</f>
        <v>3.4681331430638718</v>
      </c>
      <c r="J37" s="52">
        <f>(EXP($B$7)/(1+(1/Data!$D$21)))*($B$3^(1+(1/Data!$D$21))-C37^(1+(1/Data!$D$21)))/1000000</f>
        <v>2.0093930134257545</v>
      </c>
      <c r="K37" s="52">
        <f>(EXP($B$8)/(1+(1/Data!$D$22)))*($B$4^(1+(1/Data!$D$22))-D37^(1+(1/Data!$D$22)))/1000000</f>
        <v>2.586214019386412</v>
      </c>
    </row>
    <row r="38" spans="1:11">
      <c r="A38" s="47">
        <v>0.7</v>
      </c>
      <c r="B38" s="52">
        <f t="shared" si="5"/>
        <v>26599.921412955562</v>
      </c>
      <c r="C38" s="52">
        <f t="shared" si="6"/>
        <v>12824.962109817861</v>
      </c>
      <c r="D38" s="52">
        <f t="shared" si="7"/>
        <v>18049.946673076989</v>
      </c>
      <c r="E38" s="52">
        <f t="shared" si="4"/>
        <v>298.09385734773554</v>
      </c>
      <c r="F38" s="52">
        <f>EXP((LN(B38)/Data!$D$20)+Provo!$B$6)</f>
        <v>496.18261216649586</v>
      </c>
      <c r="G38" s="52">
        <f>EXP((LN(C38)/Data!$D$21)+Provo!$B$7)</f>
        <v>765.85503480886712</v>
      </c>
      <c r="H38" s="52">
        <f>EXP((LN(D38)/Data!$D$22)+Provo!$B$8)</f>
        <v>621.92571105494721</v>
      </c>
      <c r="I38" s="52">
        <f>(EXP($B$6)/(1+(1/Data!$D$20)))*($B$2^(1+(1/Data!$D$20))-B38^(1+(1/Data!$D$20)))/1000000</f>
        <v>4.365399213127076</v>
      </c>
      <c r="J38" s="52">
        <f>(EXP($B$7)/(1+(1/Data!$D$21)))*($B$3^(1+(1/Data!$D$21))-C38^(1+(1/Data!$D$21)))/1000000</f>
        <v>2.6499942953291495</v>
      </c>
      <c r="K38" s="52">
        <f>(EXP($B$8)/(1+(1/Data!$D$22)))*($B$4^(1+(1/Data!$D$22))-D38^(1+(1/Data!$D$22)))/1000000</f>
        <v>3.333019441429006</v>
      </c>
    </row>
    <row r="39" spans="1:11">
      <c r="A39" s="47">
        <v>0.65</v>
      </c>
      <c r="B39" s="52">
        <f t="shared" si="5"/>
        <v>24699.927026315883</v>
      </c>
      <c r="C39" s="52">
        <f t="shared" si="6"/>
        <v>11908.893387688015</v>
      </c>
      <c r="D39" s="52">
        <f t="shared" si="7"/>
        <v>16760.664767857204</v>
      </c>
      <c r="E39" s="52">
        <f t="shared" si="4"/>
        <v>298.09385734773554</v>
      </c>
      <c r="F39" s="52">
        <f>EXP((LN(B39)/Data!$D$20)+Provo!$B$6)</f>
        <v>551.59416100657631</v>
      </c>
      <c r="G39" s="52">
        <f>EXP((LN(C39)/Data!$D$21)+Provo!$B$7)</f>
        <v>931.73248350690028</v>
      </c>
      <c r="H39" s="52">
        <f>EXP((LN(D39)/Data!$D$22)+Provo!$B$8)</f>
        <v>724.60058991682308</v>
      </c>
      <c r="I39" s="52">
        <f>(EXP($B$6)/(1+(1/Data!$D$20)))*($B$2^(1+(1/Data!$D$20))-B39^(1+(1/Data!$D$20)))/1000000</f>
        <v>5.3592056278950508</v>
      </c>
      <c r="J39" s="52">
        <f>(EXP($B$7)/(1+(1/Data!$D$21)))*($B$3^(1+(1/Data!$D$21))-C39^(1+(1/Data!$D$21)))/1000000</f>
        <v>3.4241291849776276</v>
      </c>
      <c r="K39" s="52">
        <f>(EXP($B$8)/(1+(1/Data!$D$22)))*($B$4^(1+(1/Data!$D$22))-D39^(1+(1/Data!$D$22)))/1000000</f>
        <v>4.1985435280884662</v>
      </c>
    </row>
    <row r="40" spans="1:11">
      <c r="A40" s="47">
        <v>0.6</v>
      </c>
      <c r="B40" s="52">
        <f t="shared" si="5"/>
        <v>22799.932639676197</v>
      </c>
      <c r="C40" s="52">
        <f t="shared" si="6"/>
        <v>10992.824665558166</v>
      </c>
      <c r="D40" s="52">
        <f t="shared" si="7"/>
        <v>15471.38286263742</v>
      </c>
      <c r="E40" s="52">
        <f t="shared" si="4"/>
        <v>298.09385734773554</v>
      </c>
      <c r="F40" s="52">
        <f>EXP((LN(B40)/Data!$D$20)+Provo!$B$6)</f>
        <v>618.41471084762441</v>
      </c>
      <c r="G40" s="52">
        <f>EXP((LN(C40)/Data!$D$21)+Provo!$B$7)</f>
        <v>1151.4749139961282</v>
      </c>
      <c r="H40" s="52">
        <f>EXP((LN(D40)/Data!$D$22)+Provo!$B$8)</f>
        <v>854.62015174435101</v>
      </c>
      <c r="I40" s="52">
        <f>(EXP($B$6)/(1+(1/Data!$D$20)))*($B$2^(1+(1/Data!$D$20))-B40^(1+(1/Data!$D$20)))/1000000</f>
        <v>6.4686548212097579</v>
      </c>
      <c r="J40" s="52">
        <f>(EXP($B$7)/(1+(1/Data!$D$21)))*($B$3^(1+(1/Data!$D$21))-C40^(1+(1/Data!$D$21)))/1000000</f>
        <v>4.3734190744153389</v>
      </c>
      <c r="K40" s="52">
        <f>(EXP($B$8)/(1+(1/Data!$D$22)))*($B$4^(1+(1/Data!$D$22))-D40^(1+(1/Data!$D$22)))/1000000</f>
        <v>5.2131522191830868</v>
      </c>
    </row>
    <row r="41" spans="1:11">
      <c r="A41" s="47">
        <v>0.55000000000000004</v>
      </c>
      <c r="B41" s="52">
        <f t="shared" si="5"/>
        <v>20899.938253036518</v>
      </c>
      <c r="C41" s="52">
        <f t="shared" si="6"/>
        <v>10076.755943428321</v>
      </c>
      <c r="D41" s="52">
        <f t="shared" si="7"/>
        <v>14182.100957417637</v>
      </c>
      <c r="E41" s="52">
        <f t="shared" si="4"/>
        <v>298.09385734773554</v>
      </c>
      <c r="F41" s="52">
        <f>EXP((LN(B41)/Data!$D$20)+Provo!$B$6)</f>
        <v>700.26669313767025</v>
      </c>
      <c r="G41" s="52">
        <f>EXP((LN(C41)/Data!$D$21)+Provo!$B$7)</f>
        <v>1449.5200223370057</v>
      </c>
      <c r="H41" s="52">
        <f>EXP((LN(D41)/Data!$D$22)+Provo!$B$8)</f>
        <v>1022.5573805756756</v>
      </c>
      <c r="I41" s="52">
        <f>(EXP($B$6)/(1+(1/Data!$D$20)))*($B$2^(1+(1/Data!$D$20))-B41^(1+(1/Data!$D$20)))/1000000</f>
        <v>7.7186609131007238</v>
      </c>
      <c r="J41" s="52">
        <f>(EXP($B$7)/(1+(1/Data!$D$21)))*($B$3^(1+(1/Data!$D$21))-C41^(1+(1/Data!$D$21)))/1000000</f>
        <v>5.557554310648567</v>
      </c>
      <c r="K41" s="52">
        <f>(EXP($B$8)/(1+(1/Data!$D$22)))*($B$4^(1+(1/Data!$D$22))-D41^(1+(1/Data!$D$22)))/1000000</f>
        <v>6.4184539116347175</v>
      </c>
    </row>
    <row r="42" spans="1:11">
      <c r="A42" s="47">
        <v>0.5</v>
      </c>
      <c r="B42" s="52">
        <f t="shared" si="5"/>
        <v>18999.943866396832</v>
      </c>
      <c r="C42" s="52">
        <f t="shared" si="6"/>
        <v>9160.6872212984727</v>
      </c>
      <c r="D42" s="52">
        <f t="shared" si="7"/>
        <v>12892.81905219785</v>
      </c>
      <c r="E42" s="52">
        <f t="shared" si="4"/>
        <v>298.09385734773554</v>
      </c>
      <c r="F42" s="52">
        <f>EXP((LN(B42)/Data!$D$20)+Provo!$B$6)</f>
        <v>802.40916005367899</v>
      </c>
      <c r="G42" s="52">
        <f>EXP((LN(C42)/Data!$D$21)+Provo!$B$7)</f>
        <v>1865.2140439257428</v>
      </c>
      <c r="H42" s="52">
        <f>EXP((LN(D42)/Data!$D$22)+Provo!$B$8)</f>
        <v>1244.6104133352146</v>
      </c>
      <c r="I42" s="52">
        <f>(EXP($B$6)/(1+(1/Data!$D$20)))*($B$2^(1+(1/Data!$D$20))-B42^(1+(1/Data!$D$20)))/1000000</f>
        <v>9.1424570669907297</v>
      </c>
      <c r="J42" s="52">
        <f>(EXP($B$7)/(1+(1/Data!$D$21)))*($B$3^(1+(1/Data!$D$21))-C42^(1+(1/Data!$D$21)))/1000000</f>
        <v>7.0648037603852876</v>
      </c>
      <c r="K42" s="52">
        <f>(EXP($B$8)/(1+(1/Data!$D$22)))*($B$4^(1+(1/Data!$D$22))-D42^(1+(1/Data!$D$22)))/1000000</f>
        <v>7.873006434187424</v>
      </c>
    </row>
    <row r="43" spans="1:11">
      <c r="A43" s="47">
        <v>0.45</v>
      </c>
      <c r="B43" s="52">
        <f t="shared" si="5"/>
        <v>17099.94947975715</v>
      </c>
      <c r="C43" s="52">
        <f t="shared" si="6"/>
        <v>8244.6184991686259</v>
      </c>
      <c r="D43" s="52">
        <f t="shared" si="7"/>
        <v>11603.537146978066</v>
      </c>
      <c r="E43" s="52">
        <f t="shared" si="4"/>
        <v>298.09385734773554</v>
      </c>
      <c r="F43" s="52">
        <f>EXP((LN(B43)/Data!$D$20)+Provo!$B$6)</f>
        <v>932.74670056058892</v>
      </c>
      <c r="G43" s="52">
        <f>EXP((LN(C43)/Data!$D$21)+Provo!$B$7)</f>
        <v>2464.7917921687908</v>
      </c>
      <c r="H43" s="52">
        <f>EXP((LN(D43)/Data!$D$22)+Provo!$B$8)</f>
        <v>1546.6027272026979</v>
      </c>
      <c r="I43" s="52">
        <f>(EXP($B$6)/(1+(1/Data!$D$20)))*($B$2^(1+(1/Data!$D$20))-B43^(1+(1/Data!$D$20)))/1000000</f>
        <v>10.785572802542729</v>
      </c>
      <c r="J43" s="52">
        <f>(EXP($B$7)/(1+(1/Data!$D$21)))*($B$3^(1+(1/Data!$D$21))-C43^(1+(1/Data!$D$21)))/1000000</f>
        <v>9.0305408304395183</v>
      </c>
      <c r="K43" s="52">
        <f>(EXP($B$8)/(1+(1/Data!$D$22)))*($B$4^(1+(1/Data!$D$22))-D43^(1+(1/Data!$D$22)))/1000000</f>
        <v>9.6618798193223014</v>
      </c>
    </row>
    <row r="44" spans="1:11">
      <c r="A44" s="47">
        <v>0.4</v>
      </c>
      <c r="B44" s="52">
        <f t="shared" si="5"/>
        <v>15199.955093117467</v>
      </c>
      <c r="C44" s="52">
        <f t="shared" si="6"/>
        <v>7328.5497770387783</v>
      </c>
      <c r="D44" s="52">
        <f t="shared" si="7"/>
        <v>10314.255241758281</v>
      </c>
      <c r="E44" s="52">
        <f t="shared" si="4"/>
        <v>298.09385734773554</v>
      </c>
      <c r="F44" s="52">
        <f>EXP((LN(B44)/Data!$D$20)+Provo!$B$6)</f>
        <v>1103.6687695956994</v>
      </c>
      <c r="G44" s="52">
        <f>EXP((LN(C44)/Data!$D$21)+Provo!$B$7)</f>
        <v>3365.9245180651214</v>
      </c>
      <c r="H44" s="52">
        <f>EXP((LN(D44)/Data!$D$22)+Provo!$B$8)</f>
        <v>1971.7320239506278</v>
      </c>
      <c r="I44" s="52">
        <f>(EXP($B$6)/(1+(1/Data!$D$20)))*($B$2^(1+(1/Data!$D$20))-B44^(1+(1/Data!$D$20)))/1000000</f>
        <v>12.712426119123514</v>
      </c>
      <c r="J44" s="52">
        <f>(EXP($B$7)/(1+(1/Data!$D$21)))*($B$3^(1+(1/Data!$D$21))-C44^(1+(1/Data!$D$21)))/1000000</f>
        <v>11.67172611322226</v>
      </c>
      <c r="K44" s="52">
        <f>(EXP($B$8)/(1+(1/Data!$D$22)))*($B$4^(1+(1/Data!$D$22))-D44^(1+(1/Data!$D$22)))/1000000</f>
        <v>11.913490121906268</v>
      </c>
    </row>
    <row r="45" spans="1:11">
      <c r="A45" s="47">
        <v>0.35</v>
      </c>
      <c r="B45" s="52">
        <f t="shared" si="5"/>
        <v>13299.960706477781</v>
      </c>
      <c r="C45" s="52">
        <f t="shared" si="6"/>
        <v>6412.4810549089307</v>
      </c>
      <c r="D45" s="52">
        <f t="shared" si="7"/>
        <v>9024.9733365384946</v>
      </c>
      <c r="E45" s="52">
        <f t="shared" si="4"/>
        <v>298.09385734773554</v>
      </c>
      <c r="F45" s="52">
        <f>EXP((LN(B45)/Data!$D$20)+Provo!$B$6)</f>
        <v>1335.6245465914253</v>
      </c>
      <c r="G45" s="52">
        <f>EXP((LN(C45)/Data!$D$21)+Provo!$B$7)</f>
        <v>4792.0597198699334</v>
      </c>
      <c r="H45" s="52">
        <f>EXP((LN(D45)/Data!$D$22)+Provo!$B$8)</f>
        <v>2596.6828809791232</v>
      </c>
      <c r="I45" s="52">
        <f>(EXP($B$6)/(1+(1/Data!$D$20)))*($B$2^(1+(1/Data!$D$20))-B45^(1+(1/Data!$D$20)))/1000000</f>
        <v>15.017848708855599</v>
      </c>
      <c r="J45" s="52">
        <f>(EXP($B$7)/(1+(1/Data!$D$21)))*($B$3^(1+(1/Data!$D$21))-C45^(1+(1/Data!$D$21)))/1000000</f>
        <v>15.355492169648782</v>
      </c>
      <c r="K45" s="52">
        <f>(EXP($B$8)/(1+(1/Data!$D$22)))*($B$4^(1+(1/Data!$D$22))-D45^(1+(1/Data!$D$22)))/1000000</f>
        <v>14.831067800430448</v>
      </c>
    </row>
    <row r="46" spans="1:11">
      <c r="A46" s="47">
        <v>0.3</v>
      </c>
      <c r="B46" s="52">
        <f t="shared" si="5"/>
        <v>11399.966319838099</v>
      </c>
      <c r="C46" s="52">
        <f t="shared" si="6"/>
        <v>5496.412332779083</v>
      </c>
      <c r="D46" s="52">
        <f t="shared" si="7"/>
        <v>7735.6914313187099</v>
      </c>
      <c r="E46" s="52">
        <f t="shared" si="4"/>
        <v>298.09385734773554</v>
      </c>
      <c r="F46" s="52">
        <f>EXP((LN(B46)/Data!$D$20)+Provo!$B$6)</f>
        <v>1664.6489569130015</v>
      </c>
      <c r="G46" s="52">
        <f>EXP((LN(C46)/Data!$D$21)+Provo!$B$7)</f>
        <v>7204.936055788472</v>
      </c>
      <c r="H46" s="52">
        <f>EXP((LN(D46)/Data!$D$22)+Provo!$B$8)</f>
        <v>3568.2356884876763</v>
      </c>
      <c r="I46" s="52">
        <f>(EXP($B$6)/(1+(1/Data!$D$20)))*($B$2^(1+(1/Data!$D$20))-B46^(1+(1/Data!$D$20)))/1000000</f>
        <v>17.848620836929157</v>
      </c>
      <c r="J46" s="52">
        <f>(EXP($B$7)/(1+(1/Data!$D$21)))*($B$3^(1+(1/Data!$D$21))-C46^(1+(1/Data!$D$21)))/1000000</f>
        <v>20.74734447113936</v>
      </c>
      <c r="K46" s="52">
        <f>(EXP($B$8)/(1+(1/Data!$D$22)))*($B$4^(1+(1/Data!$D$22))-D46^(1+(1/Data!$D$22)))/1000000</f>
        <v>18.756061180813788</v>
      </c>
    </row>
    <row r="47" spans="1:11">
      <c r="A47" s="47">
        <v>0.25</v>
      </c>
      <c r="B47" s="52">
        <f t="shared" si="5"/>
        <v>9499.9719331984161</v>
      </c>
      <c r="C47" s="52">
        <f t="shared" si="6"/>
        <v>4580.3436106492363</v>
      </c>
      <c r="D47" s="52">
        <f t="shared" si="7"/>
        <v>6446.4095260989252</v>
      </c>
      <c r="E47" s="52">
        <f t="shared" si="4"/>
        <v>298.09385734773554</v>
      </c>
      <c r="F47" s="52">
        <f>EXP((LN(B47)/Data!$D$20)+Provo!$B$6)</f>
        <v>2159.9252861724281</v>
      </c>
      <c r="G47" s="52">
        <f>EXP((LN(C47)/Data!$D$21)+Provo!$B$7)</f>
        <v>11670.899429502288</v>
      </c>
      <c r="H47" s="52">
        <f>EXP((LN(D47)/Data!$D$22)+Provo!$B$8)</f>
        <v>5196.5347248851194</v>
      </c>
      <c r="I47" s="52">
        <f>(EXP($B$6)/(1+(1/Data!$D$20)))*($B$2^(1+(1/Data!$D$20))-B47^(1+(1/Data!$D$20)))/1000000</f>
        <v>21.44729179458658</v>
      </c>
      <c r="J47" s="52">
        <f>(EXP($B$7)/(1+(1/Data!$D$21)))*($B$3^(1+(1/Data!$D$21))-C47^(1+(1/Data!$D$21)))/1000000</f>
        <v>29.167525548574027</v>
      </c>
      <c r="K47" s="52">
        <f>(EXP($B$8)/(1+(1/Data!$D$22)))*($B$4^(1+(1/Data!$D$22))-D47^(1+(1/Data!$D$22)))/1000000</f>
        <v>24.308812725918919</v>
      </c>
    </row>
    <row r="48" spans="1:11">
      <c r="A48" s="47">
        <v>0.2</v>
      </c>
      <c r="B48" s="52">
        <f t="shared" si="5"/>
        <v>7599.9775465587336</v>
      </c>
      <c r="C48" s="52">
        <f t="shared" si="6"/>
        <v>3664.2748885193892</v>
      </c>
      <c r="D48" s="52">
        <f t="shared" si="7"/>
        <v>5157.1276208791405</v>
      </c>
      <c r="E48" s="52">
        <f t="shared" si="4"/>
        <v>298.09385734773554</v>
      </c>
      <c r="F48" s="52">
        <f>EXP((LN(B48)/Data!$D$20)+Provo!$B$6)</f>
        <v>2970.8560192023356</v>
      </c>
      <c r="G48" s="52">
        <f>EXP((LN(C48)/Data!$D$21)+Provo!$B$7)</f>
        <v>21061.050159666243</v>
      </c>
      <c r="H48" s="52">
        <f>EXP((LN(D48)/Data!$D$22)+Provo!$B$8)</f>
        <v>8232.434680640763</v>
      </c>
      <c r="I48" s="52">
        <f>(EXP($B$6)/(1+(1/Data!$D$20)))*($B$2^(1+(1/Data!$D$20))-B48^(1+(1/Data!$D$20)))/1000000</f>
        <v>26.252113829543642</v>
      </c>
      <c r="J48" s="52">
        <f>(EXP($B$7)/(1+(1/Data!$D$21)))*($B$3^(1+(1/Data!$D$21))-C48^(1+(1/Data!$D$21)))/1000000</f>
        <v>43.580597237205083</v>
      </c>
      <c r="K48" s="52">
        <f>(EXP($B$8)/(1+(1/Data!$D$22)))*($B$4^(1+(1/Data!$D$22))-D48^(1+(1/Data!$D$22)))/1000000</f>
        <v>32.743787061501486</v>
      </c>
    </row>
    <row r="49" spans="1:11">
      <c r="A49" s="47">
        <v>0.15</v>
      </c>
      <c r="B49" s="52">
        <f t="shared" si="5"/>
        <v>5699.9831599190493</v>
      </c>
      <c r="C49" s="52">
        <f t="shared" si="6"/>
        <v>2748.2061663895415</v>
      </c>
      <c r="D49" s="52">
        <f t="shared" si="7"/>
        <v>3867.8457156593549</v>
      </c>
      <c r="E49" s="52">
        <f t="shared" si="4"/>
        <v>298.09385734773554</v>
      </c>
      <c r="F49" s="52">
        <f>EXP((LN(B49)/Data!$D$20)+Provo!$B$6)</f>
        <v>4480.9027035489207</v>
      </c>
      <c r="G49" s="52">
        <f>EXP((LN(C49)/Data!$D$21)+Provo!$B$7)</f>
        <v>45082.270518465935</v>
      </c>
      <c r="H49" s="52">
        <f>EXP((LN(D49)/Data!$D$22)+Provo!$B$8)</f>
        <v>14898.204661579091</v>
      </c>
      <c r="I49" s="52">
        <f>(EXP($B$6)/(1+(1/Data!$D$20)))*($B$2^(1+(1/Data!$D$20))-B49^(1+(1/Data!$D$20)))/1000000</f>
        <v>33.164919289635556</v>
      </c>
      <c r="J49" s="52">
        <f>(EXP($B$7)/(1+(1/Data!$D$21)))*($B$3^(1+(1/Data!$D$21))-C49^(1+(1/Data!$D$21)))/1000000</f>
        <v>71.974290030998858</v>
      </c>
      <c r="K49" s="52">
        <f>(EXP($B$8)/(1+(1/Data!$D$22)))*($B$4^(1+(1/Data!$D$22))-D49^(1+(1/Data!$D$22)))/1000000</f>
        <v>47.028441011897911</v>
      </c>
    </row>
    <row r="50" spans="1:11">
      <c r="A50" s="47">
        <v>0.1</v>
      </c>
      <c r="B50" s="52">
        <f t="shared" si="5"/>
        <v>3799.9887732793668</v>
      </c>
      <c r="C50" s="52">
        <f t="shared" si="6"/>
        <v>1832.1374442596946</v>
      </c>
      <c r="D50" s="52">
        <f t="shared" si="7"/>
        <v>2578.5638104395703</v>
      </c>
      <c r="E50" s="52">
        <f t="shared" si="4"/>
        <v>298.09385734773554</v>
      </c>
      <c r="F50" s="52">
        <f>EXP((LN(B50)/Data!$D$20)+Provo!$B$6)</f>
        <v>7996.9513770548392</v>
      </c>
      <c r="G50" s="52">
        <f>EXP((LN(C50)/Data!$D$21)+Provo!$B$7)</f>
        <v>131781.87194850092</v>
      </c>
      <c r="H50" s="52">
        <f>EXP((LN(D50)/Data!$D$22)+Provo!$B$8)</f>
        <v>34372.308177672319</v>
      </c>
      <c r="I50" s="52">
        <f>(EXP($B$6)/(1+(1/Data!$D$20)))*($B$2^(1+(1/Data!$D$20))-B50^(1+(1/Data!$D$20)))/1000000</f>
        <v>44.475182127180041</v>
      </c>
      <c r="J50" s="52">
        <f>(EXP($B$7)/(1+(1/Data!$D$21)))*($B$3^(1+(1/Data!$D$21))-C50^(1+(1/Data!$D$21)))/1000000</f>
        <v>143.40968307583259</v>
      </c>
      <c r="K50" s="52">
        <f>(EXP($B$8)/(1+(1/Data!$D$22)))*($B$4^(1+(1/Data!$D$22))-D50^(1+(1/Data!$D$22)))/1000000</f>
        <v>76.229427313460761</v>
      </c>
    </row>
    <row r="51" spans="1:11">
      <c r="A51" s="47">
        <v>0.05</v>
      </c>
      <c r="B51" s="52">
        <f t="shared" si="5"/>
        <v>1899.9943866396834</v>
      </c>
      <c r="C51" s="52">
        <f t="shared" si="6"/>
        <v>916.06872212984729</v>
      </c>
      <c r="D51" s="52">
        <f t="shared" si="7"/>
        <v>1289.2819052197851</v>
      </c>
      <c r="E51" s="52">
        <f t="shared" si="4"/>
        <v>298.09385734773554</v>
      </c>
      <c r="F51" s="52">
        <f>EXP((LN(B51)/Data!$D$20)+Provo!$B$6)</f>
        <v>21526.196797699398</v>
      </c>
      <c r="G51" s="52">
        <f>EXP((LN(C51)/Data!$D$21)+Provo!$B$7)</f>
        <v>824577.20021527365</v>
      </c>
      <c r="H51" s="52">
        <f>EXP((LN(D51)/Data!$D$22)+Provo!$B$8)</f>
        <v>143512.29196378245</v>
      </c>
      <c r="I51" s="52">
        <f>(EXP($B$6)/(1+(1/Data!$D$20)))*($B$2^(1+(1/Data!$D$20))-B51^(1+(1/Data!$D$20)))/1000000</f>
        <v>69.001613259321431</v>
      </c>
      <c r="J51" s="52">
        <f>(EXP($B$7)/(1+(1/Data!$D$21)))*($B$3^(1+(1/Data!$D$21))-C51^(1+(1/Data!$D$21)))/1000000</f>
        <v>455.73180630775391</v>
      </c>
      <c r="K51" s="52">
        <f>(EXP($B$8)/(1+(1/Data!$D$22)))*($B$4^(1+(1/Data!$D$22))-D51^(1+(1/Data!$D$22)))/1000000</f>
        <v>167.01070199266678</v>
      </c>
    </row>
    <row r="52" spans="1:11">
      <c r="A52" s="44"/>
      <c r="B52">
        <v>0</v>
      </c>
      <c r="E52" s="32">
        <f>E51</f>
        <v>298.09385734773554</v>
      </c>
    </row>
    <row r="53" spans="1:11">
      <c r="A53" s="46" t="s">
        <v>200</v>
      </c>
    </row>
    <row r="54" spans="1:11">
      <c r="A54" s="49" t="s">
        <v>187</v>
      </c>
      <c r="B54" s="49">
        <f>Data!$E$7*Data!$E$10</f>
        <v>36816.905678651892</v>
      </c>
      <c r="C54" s="49"/>
      <c r="D54" s="49"/>
      <c r="E54" s="49"/>
      <c r="F54" s="49"/>
      <c r="G54" s="49"/>
      <c r="H54" s="49"/>
      <c r="I54" s="49"/>
      <c r="J54" s="49"/>
      <c r="K54" s="49"/>
    </row>
    <row r="55" spans="1:11">
      <c r="A55" s="49"/>
      <c r="B55" s="51"/>
      <c r="C55" s="51"/>
      <c r="D55" s="51"/>
      <c r="E55" s="51"/>
      <c r="F55" s="49"/>
      <c r="G55" s="49"/>
      <c r="H55" s="50"/>
      <c r="I55" s="50"/>
      <c r="J55" s="49"/>
      <c r="K55" s="49"/>
    </row>
    <row r="56" spans="1:11">
      <c r="A56" s="49" t="s">
        <v>180</v>
      </c>
      <c r="B56" s="49" t="s">
        <v>203</v>
      </c>
      <c r="C56" s="49" t="s">
        <v>204</v>
      </c>
      <c r="D56" s="49" t="s">
        <v>205</v>
      </c>
      <c r="E56" s="49" t="s">
        <v>181</v>
      </c>
      <c r="F56" s="49" t="s">
        <v>182</v>
      </c>
      <c r="G56" s="49" t="s">
        <v>183</v>
      </c>
      <c r="H56" s="49"/>
      <c r="I56" s="49"/>
      <c r="J56" s="49"/>
      <c r="K56" s="49"/>
    </row>
    <row r="57" spans="1:11">
      <c r="A57" s="50">
        <v>1</v>
      </c>
      <c r="B57" s="49">
        <f>(B32+$B$54*(1/12))/1000</f>
        <v>41.067963206014653</v>
      </c>
      <c r="C57" s="49">
        <f>(C32+$B$54*(1/12))/1000</f>
        <v>21.389449915817934</v>
      </c>
      <c r="D57" s="49">
        <f>(D32+$B$54*(1/12))/1000</f>
        <v>28.853713577616691</v>
      </c>
      <c r="E57" s="49">
        <f>I32</f>
        <v>0</v>
      </c>
      <c r="F57" s="49">
        <f>J32</f>
        <v>0</v>
      </c>
      <c r="G57" s="49">
        <f>K32</f>
        <v>0</v>
      </c>
      <c r="H57" s="49"/>
      <c r="I57" s="49"/>
      <c r="J57" s="49"/>
      <c r="K57" s="49"/>
    </row>
    <row r="58" spans="1:11">
      <c r="A58" s="50">
        <v>0.95</v>
      </c>
      <c r="B58" s="49">
        <f t="shared" ref="B58:D76" si="8">(B33+$B$54*(1/12))/1000</f>
        <v>39.16796881937497</v>
      </c>
      <c r="C58" s="49">
        <f t="shared" si="8"/>
        <v>20.473381193688088</v>
      </c>
      <c r="D58" s="49">
        <f t="shared" si="8"/>
        <v>27.564431672396907</v>
      </c>
      <c r="E58" s="49">
        <f t="shared" ref="E58:G73" si="9">I33</f>
        <v>0.58745985167204384</v>
      </c>
      <c r="F58" s="49">
        <f t="shared" si="9"/>
        <v>0.29229979293882485</v>
      </c>
      <c r="G58" s="49">
        <f t="shared" si="9"/>
        <v>0.4052027101620696</v>
      </c>
      <c r="H58" s="49"/>
      <c r="I58" s="49"/>
      <c r="J58" s="49"/>
      <c r="K58" s="49"/>
    </row>
    <row r="59" spans="1:11">
      <c r="A59" s="50">
        <v>0.9</v>
      </c>
      <c r="B59" s="49">
        <f t="shared" si="8"/>
        <v>37.267974432735286</v>
      </c>
      <c r="C59" s="49">
        <f t="shared" si="8"/>
        <v>19.557312471558241</v>
      </c>
      <c r="D59" s="49">
        <f t="shared" si="8"/>
        <v>26.275149767177123</v>
      </c>
      <c r="E59" s="49">
        <f t="shared" si="9"/>
        <v>1.2208302997106926</v>
      </c>
      <c r="F59" s="49">
        <f t="shared" si="9"/>
        <v>0.62831839343284579</v>
      </c>
      <c r="G59" s="49">
        <f t="shared" si="9"/>
        <v>0.85689812967671697</v>
      </c>
      <c r="H59" s="49"/>
      <c r="I59" s="49"/>
      <c r="J59" s="49"/>
      <c r="K59" s="49"/>
    </row>
    <row r="60" spans="1:11">
      <c r="A60" s="50">
        <v>0.85</v>
      </c>
      <c r="B60" s="49">
        <f t="shared" si="8"/>
        <v>35.367980046095603</v>
      </c>
      <c r="C60" s="49">
        <f t="shared" si="8"/>
        <v>18.641243749428394</v>
      </c>
      <c r="D60" s="49">
        <f t="shared" si="8"/>
        <v>24.985867861957338</v>
      </c>
      <c r="E60" s="49">
        <f t="shared" si="9"/>
        <v>1.9065648948532372</v>
      </c>
      <c r="F60" s="49">
        <f t="shared" si="9"/>
        <v>1.0176046037482527</v>
      </c>
      <c r="G60" s="49">
        <f t="shared" si="9"/>
        <v>1.3634747225515043</v>
      </c>
      <c r="H60" s="49"/>
      <c r="I60" s="49"/>
      <c r="J60" s="49"/>
      <c r="K60" s="49"/>
    </row>
    <row r="61" spans="1:11">
      <c r="A61" s="50">
        <v>0.8</v>
      </c>
      <c r="B61" s="49">
        <f t="shared" si="8"/>
        <v>33.467985659455927</v>
      </c>
      <c r="C61" s="49">
        <f t="shared" si="8"/>
        <v>17.725175027298548</v>
      </c>
      <c r="D61" s="49">
        <f t="shared" si="8"/>
        <v>23.69658595673755</v>
      </c>
      <c r="E61" s="49">
        <f t="shared" si="9"/>
        <v>2.6524768119324778</v>
      </c>
      <c r="F61" s="49">
        <f t="shared" si="9"/>
        <v>1.4725336849472697</v>
      </c>
      <c r="G61" s="49">
        <f t="shared" si="9"/>
        <v>1.9354544283381536</v>
      </c>
      <c r="H61" s="49"/>
      <c r="I61" s="49"/>
      <c r="J61" s="49"/>
      <c r="K61" s="49"/>
    </row>
    <row r="62" spans="1:11">
      <c r="A62" s="50">
        <v>0.75</v>
      </c>
      <c r="B62" s="49">
        <f t="shared" si="8"/>
        <v>31.567991272816236</v>
      </c>
      <c r="C62" s="49">
        <f t="shared" si="8"/>
        <v>16.809106305168697</v>
      </c>
      <c r="D62" s="49">
        <f t="shared" si="8"/>
        <v>22.407304051517762</v>
      </c>
      <c r="E62" s="49">
        <f t="shared" si="9"/>
        <v>3.4681331430638718</v>
      </c>
      <c r="F62" s="49">
        <f t="shared" si="9"/>
        <v>2.0093930134257545</v>
      </c>
      <c r="G62" s="49">
        <f t="shared" si="9"/>
        <v>2.586214019386412</v>
      </c>
      <c r="H62" s="49"/>
      <c r="I62" s="49"/>
      <c r="J62" s="49"/>
      <c r="K62" s="49"/>
    </row>
    <row r="63" spans="1:11">
      <c r="A63" s="50">
        <v>0.7</v>
      </c>
      <c r="B63" s="49">
        <f t="shared" si="8"/>
        <v>29.667996886176553</v>
      </c>
      <c r="C63" s="49">
        <f t="shared" si="8"/>
        <v>15.893037583038851</v>
      </c>
      <c r="D63" s="49">
        <f t="shared" si="8"/>
        <v>21.118022146297978</v>
      </c>
      <c r="E63" s="49">
        <f t="shared" si="9"/>
        <v>4.365399213127076</v>
      </c>
      <c r="F63" s="49">
        <f t="shared" si="9"/>
        <v>2.6499942953291495</v>
      </c>
      <c r="G63" s="49">
        <f t="shared" si="9"/>
        <v>3.333019441429006</v>
      </c>
      <c r="H63" s="49"/>
      <c r="I63" s="49"/>
      <c r="J63" s="49"/>
      <c r="K63" s="49"/>
    </row>
    <row r="64" spans="1:11">
      <c r="A64" s="50">
        <v>0.65</v>
      </c>
      <c r="B64" s="49">
        <f t="shared" si="8"/>
        <v>27.768002499536873</v>
      </c>
      <c r="C64" s="49">
        <f t="shared" si="8"/>
        <v>14.976968860909004</v>
      </c>
      <c r="D64" s="49">
        <f t="shared" si="8"/>
        <v>19.828740241078194</v>
      </c>
      <c r="E64" s="49">
        <f t="shared" si="9"/>
        <v>5.3592056278950508</v>
      </c>
      <c r="F64" s="49">
        <f t="shared" si="9"/>
        <v>3.4241291849776276</v>
      </c>
      <c r="G64" s="49">
        <f t="shared" si="9"/>
        <v>4.1985435280884662</v>
      </c>
      <c r="H64" s="49"/>
      <c r="I64" s="49"/>
      <c r="J64" s="49"/>
      <c r="K64" s="49"/>
    </row>
    <row r="65" spans="1:11">
      <c r="A65" s="50">
        <v>0.6</v>
      </c>
      <c r="B65" s="49">
        <f t="shared" si="8"/>
        <v>25.868008112897186</v>
      </c>
      <c r="C65" s="49">
        <f t="shared" si="8"/>
        <v>14.060900138779157</v>
      </c>
      <c r="D65" s="49">
        <f t="shared" si="8"/>
        <v>18.539458335858409</v>
      </c>
      <c r="E65" s="49">
        <f t="shared" si="9"/>
        <v>6.4686548212097579</v>
      </c>
      <c r="F65" s="49">
        <f t="shared" si="9"/>
        <v>4.3734190744153389</v>
      </c>
      <c r="G65" s="49">
        <f t="shared" si="9"/>
        <v>5.2131522191830868</v>
      </c>
      <c r="H65" s="49"/>
      <c r="I65" s="49"/>
      <c r="J65" s="49"/>
      <c r="K65" s="49"/>
    </row>
    <row r="66" spans="1:11">
      <c r="A66" s="50">
        <v>0.55000000000000004</v>
      </c>
      <c r="B66" s="49">
        <f t="shared" si="8"/>
        <v>23.968013726257507</v>
      </c>
      <c r="C66" s="49">
        <f t="shared" si="8"/>
        <v>13.144831416649311</v>
      </c>
      <c r="D66" s="49">
        <f t="shared" si="8"/>
        <v>17.250176430638628</v>
      </c>
      <c r="E66" s="49">
        <f t="shared" si="9"/>
        <v>7.7186609131007238</v>
      </c>
      <c r="F66" s="49">
        <f t="shared" si="9"/>
        <v>5.557554310648567</v>
      </c>
      <c r="G66" s="49">
        <f t="shared" si="9"/>
        <v>6.4184539116347175</v>
      </c>
      <c r="H66" s="49"/>
      <c r="I66" s="49"/>
      <c r="J66" s="49"/>
      <c r="K66" s="49"/>
    </row>
    <row r="67" spans="1:11">
      <c r="A67" s="50">
        <v>0.5</v>
      </c>
      <c r="B67" s="49">
        <f t="shared" si="8"/>
        <v>22.068019339617823</v>
      </c>
      <c r="C67" s="49">
        <f t="shared" si="8"/>
        <v>12.228762694519464</v>
      </c>
      <c r="D67" s="49">
        <f t="shared" si="8"/>
        <v>15.960894525418841</v>
      </c>
      <c r="E67" s="49">
        <f t="shared" si="9"/>
        <v>9.1424570669907297</v>
      </c>
      <c r="F67" s="49">
        <f t="shared" si="9"/>
        <v>7.0648037603852876</v>
      </c>
      <c r="G67" s="49">
        <f t="shared" si="9"/>
        <v>7.873006434187424</v>
      </c>
      <c r="H67" s="49"/>
      <c r="I67" s="49"/>
      <c r="J67" s="49"/>
      <c r="K67" s="49"/>
    </row>
    <row r="68" spans="1:11">
      <c r="A68" s="50">
        <v>0.45</v>
      </c>
      <c r="B68" s="49">
        <f t="shared" si="8"/>
        <v>20.16802495297814</v>
      </c>
      <c r="C68" s="49">
        <f t="shared" si="8"/>
        <v>11.312693972389617</v>
      </c>
      <c r="D68" s="49">
        <f t="shared" si="8"/>
        <v>14.671612620199056</v>
      </c>
      <c r="E68" s="49">
        <f t="shared" si="9"/>
        <v>10.785572802542729</v>
      </c>
      <c r="F68" s="49">
        <f t="shared" si="9"/>
        <v>9.0305408304395183</v>
      </c>
      <c r="G68" s="49">
        <f t="shared" si="9"/>
        <v>9.6618798193223014</v>
      </c>
      <c r="H68" s="49"/>
      <c r="I68" s="49"/>
      <c r="J68" s="49"/>
      <c r="K68" s="49"/>
    </row>
    <row r="69" spans="1:11">
      <c r="A69" s="50">
        <v>0.4</v>
      </c>
      <c r="B69" s="49">
        <f t="shared" si="8"/>
        <v>18.268030566338457</v>
      </c>
      <c r="C69" s="49">
        <f t="shared" si="8"/>
        <v>10.396625250259769</v>
      </c>
      <c r="D69" s="49">
        <f t="shared" si="8"/>
        <v>13.38233071497927</v>
      </c>
      <c r="E69" s="49">
        <f t="shared" si="9"/>
        <v>12.712426119123514</v>
      </c>
      <c r="F69" s="49">
        <f t="shared" si="9"/>
        <v>11.67172611322226</v>
      </c>
      <c r="G69" s="49">
        <f t="shared" si="9"/>
        <v>11.913490121906268</v>
      </c>
      <c r="H69" s="49"/>
      <c r="I69" s="49"/>
      <c r="J69" s="49"/>
      <c r="K69" s="49"/>
    </row>
    <row r="70" spans="1:11">
      <c r="A70" s="50">
        <v>0.35</v>
      </c>
      <c r="B70" s="49">
        <f t="shared" si="8"/>
        <v>16.36803617969877</v>
      </c>
      <c r="C70" s="49">
        <f t="shared" si="8"/>
        <v>9.4805565281299202</v>
      </c>
      <c r="D70" s="49">
        <f t="shared" si="8"/>
        <v>12.093048809759486</v>
      </c>
      <c r="E70" s="49">
        <f t="shared" si="9"/>
        <v>15.017848708855599</v>
      </c>
      <c r="F70" s="49">
        <f t="shared" si="9"/>
        <v>15.355492169648782</v>
      </c>
      <c r="G70" s="49">
        <f t="shared" si="9"/>
        <v>14.831067800430448</v>
      </c>
      <c r="H70" s="49"/>
      <c r="I70" s="49"/>
      <c r="J70" s="49"/>
      <c r="K70" s="49"/>
    </row>
    <row r="71" spans="1:11">
      <c r="A71" s="50">
        <v>0.3</v>
      </c>
      <c r="B71" s="49">
        <f t="shared" si="8"/>
        <v>14.468041793059088</v>
      </c>
      <c r="C71" s="49">
        <f t="shared" si="8"/>
        <v>8.5644878060000735</v>
      </c>
      <c r="D71" s="49">
        <f t="shared" si="8"/>
        <v>10.803766904539701</v>
      </c>
      <c r="E71" s="49">
        <f t="shared" si="9"/>
        <v>17.848620836929157</v>
      </c>
      <c r="F71" s="49">
        <f t="shared" si="9"/>
        <v>20.74734447113936</v>
      </c>
      <c r="G71" s="49">
        <f t="shared" si="9"/>
        <v>18.756061180813788</v>
      </c>
      <c r="H71" s="49"/>
      <c r="I71" s="49"/>
      <c r="J71" s="49"/>
      <c r="K71" s="49"/>
    </row>
    <row r="72" spans="1:11">
      <c r="A72" s="50">
        <v>0.25</v>
      </c>
      <c r="B72" s="49">
        <f t="shared" si="8"/>
        <v>12.568047406419407</v>
      </c>
      <c r="C72" s="49">
        <f t="shared" si="8"/>
        <v>7.6484190838702268</v>
      </c>
      <c r="D72" s="49">
        <f t="shared" si="8"/>
        <v>9.514484999319917</v>
      </c>
      <c r="E72" s="49">
        <f t="shared" si="9"/>
        <v>21.44729179458658</v>
      </c>
      <c r="F72" s="49">
        <f t="shared" si="9"/>
        <v>29.167525548574027</v>
      </c>
      <c r="G72" s="49">
        <f t="shared" si="9"/>
        <v>24.308812725918919</v>
      </c>
      <c r="H72" s="49"/>
      <c r="I72" s="49"/>
      <c r="J72" s="49"/>
      <c r="K72" s="49"/>
    </row>
    <row r="73" spans="1:11">
      <c r="A73" s="50">
        <v>0.2</v>
      </c>
      <c r="B73" s="49">
        <f t="shared" si="8"/>
        <v>10.668053019779723</v>
      </c>
      <c r="C73" s="49">
        <f t="shared" si="8"/>
        <v>6.7323503617403802</v>
      </c>
      <c r="D73" s="49">
        <f t="shared" si="8"/>
        <v>8.2252030941001326</v>
      </c>
      <c r="E73" s="49">
        <f t="shared" si="9"/>
        <v>26.252113829543642</v>
      </c>
      <c r="F73" s="49">
        <f t="shared" si="9"/>
        <v>43.580597237205083</v>
      </c>
      <c r="G73" s="49">
        <f t="shared" si="9"/>
        <v>32.743787061501486</v>
      </c>
      <c r="H73" s="49"/>
      <c r="I73" s="49"/>
      <c r="J73" s="49"/>
      <c r="K73" s="49"/>
    </row>
    <row r="74" spans="1:11">
      <c r="A74" s="50">
        <v>0.15</v>
      </c>
      <c r="B74" s="49">
        <f t="shared" si="8"/>
        <v>8.7680586331400416</v>
      </c>
      <c r="C74" s="49">
        <f t="shared" si="8"/>
        <v>5.8162816396105317</v>
      </c>
      <c r="D74" s="49">
        <f t="shared" si="8"/>
        <v>6.9359211888803456</v>
      </c>
      <c r="E74" s="49">
        <f t="shared" ref="E74:G76" si="10">I49</f>
        <v>33.164919289635556</v>
      </c>
      <c r="F74" s="49">
        <f t="shared" si="10"/>
        <v>71.974290030998858</v>
      </c>
      <c r="G74" s="49">
        <f t="shared" si="10"/>
        <v>47.028441011897911</v>
      </c>
      <c r="H74" s="49"/>
      <c r="I74" s="49"/>
      <c r="J74" s="49"/>
      <c r="K74" s="49"/>
    </row>
    <row r="75" spans="1:11">
      <c r="A75" s="50">
        <v>0.1</v>
      </c>
      <c r="B75" s="49">
        <f t="shared" si="8"/>
        <v>6.8680642465003574</v>
      </c>
      <c r="C75" s="49">
        <f t="shared" si="8"/>
        <v>4.900212917480685</v>
      </c>
      <c r="D75" s="49">
        <f t="shared" si="8"/>
        <v>5.6466392836605612</v>
      </c>
      <c r="E75" s="49">
        <f t="shared" si="10"/>
        <v>44.475182127180041</v>
      </c>
      <c r="F75" s="49">
        <f t="shared" si="10"/>
        <v>143.40968307583259</v>
      </c>
      <c r="G75" s="49">
        <f t="shared" si="10"/>
        <v>76.229427313460761</v>
      </c>
      <c r="H75" s="49"/>
      <c r="I75" s="49"/>
      <c r="J75" s="49"/>
      <c r="K75" s="49"/>
    </row>
    <row r="76" spans="1:11">
      <c r="A76" s="50">
        <v>0.05</v>
      </c>
      <c r="B76" s="49">
        <f t="shared" si="8"/>
        <v>4.9680698598606741</v>
      </c>
      <c r="C76" s="49">
        <f t="shared" si="8"/>
        <v>3.9841441953508379</v>
      </c>
      <c r="D76" s="49">
        <f t="shared" si="8"/>
        <v>4.357357378440776</v>
      </c>
      <c r="E76" s="49">
        <f t="shared" si="10"/>
        <v>69.001613259321431</v>
      </c>
      <c r="F76" s="49">
        <f t="shared" si="10"/>
        <v>455.73180630775391</v>
      </c>
      <c r="G76" s="49">
        <f t="shared" si="10"/>
        <v>167.01070199266678</v>
      </c>
      <c r="H76" s="49"/>
      <c r="I76" s="49"/>
      <c r="J76" s="49"/>
      <c r="K76" s="49"/>
    </row>
    <row r="77" spans="1:11">
      <c r="A77" s="44"/>
    </row>
    <row r="78" spans="1:11">
      <c r="A78" s="42"/>
    </row>
    <row r="80" spans="1:11">
      <c r="H80" s="44"/>
      <c r="I80" s="44"/>
    </row>
    <row r="81" spans="1:9">
      <c r="H81" s="44"/>
      <c r="I81" s="44"/>
    </row>
    <row r="82" spans="1:9">
      <c r="H82" s="44"/>
      <c r="I82" s="44"/>
    </row>
    <row r="83" spans="1:9">
      <c r="B83" s="17"/>
      <c r="C83" s="17"/>
      <c r="D83" s="17"/>
      <c r="E83" s="17"/>
      <c r="H83" s="44"/>
      <c r="I83" s="44"/>
    </row>
    <row r="84" spans="1:9">
      <c r="B84" s="17"/>
      <c r="C84" s="17"/>
      <c r="D84" s="17"/>
      <c r="E84" s="17"/>
      <c r="H84" s="44"/>
      <c r="I84" s="44"/>
    </row>
    <row r="85" spans="1:9">
      <c r="B85" s="17"/>
      <c r="C85" s="17"/>
      <c r="D85" s="17"/>
      <c r="E85" s="17"/>
      <c r="H85" s="44"/>
      <c r="I85" s="44"/>
    </row>
    <row r="86" spans="1:9">
      <c r="B86" s="17"/>
      <c r="C86" s="17"/>
      <c r="D86" s="17"/>
      <c r="E86" s="17"/>
      <c r="H86" s="44"/>
      <c r="I86" s="44"/>
    </row>
    <row r="88" spans="1:9">
      <c r="A88" s="44"/>
    </row>
    <row r="89" spans="1:9">
      <c r="A89" s="44"/>
    </row>
    <row r="90" spans="1:9">
      <c r="A90" s="44"/>
    </row>
    <row r="91" spans="1:9">
      <c r="A91" s="44"/>
    </row>
    <row r="92" spans="1:9">
      <c r="A92" s="44"/>
    </row>
    <row r="93" spans="1:9">
      <c r="A93" s="44"/>
    </row>
    <row r="94" spans="1:9">
      <c r="A94" s="44"/>
    </row>
    <row r="95" spans="1:9">
      <c r="A95" s="44"/>
    </row>
    <row r="96" spans="1:9">
      <c r="A96" s="44"/>
    </row>
    <row r="97" spans="1:1">
      <c r="A97" s="44"/>
    </row>
    <row r="98" spans="1:1">
      <c r="A98" s="44"/>
    </row>
    <row r="99" spans="1:1">
      <c r="A99" s="44"/>
    </row>
    <row r="100" spans="1:1">
      <c r="A100" s="44"/>
    </row>
    <row r="101" spans="1:1">
      <c r="A101" s="44"/>
    </row>
    <row r="102" spans="1:1">
      <c r="A102" s="44"/>
    </row>
    <row r="103" spans="1:1">
      <c r="A103" s="44"/>
    </row>
    <row r="104" spans="1:1">
      <c r="A104" s="44"/>
    </row>
    <row r="105" spans="1:1">
      <c r="A105" s="44"/>
    </row>
    <row r="106" spans="1:1">
      <c r="A106" s="44"/>
    </row>
    <row r="107" spans="1:1">
      <c r="A107" s="44"/>
    </row>
  </sheetData>
  <mergeCells count="1">
    <mergeCell ref="E9:H9"/>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9"/>
  <sheetViews>
    <sheetView workbookViewId="0">
      <pane xSplit="3" ySplit="4" topLeftCell="D5" activePane="bottomRight" state="frozen"/>
      <selection pane="topRight" activeCell="D1" sqref="D1"/>
      <selection pane="bottomLeft" activeCell="A5" sqref="A5"/>
      <selection pane="bottomRight" activeCell="G24" sqref="G24"/>
    </sheetView>
  </sheetViews>
  <sheetFormatPr defaultRowHeight="15"/>
  <cols>
    <col min="1" max="1" width="3" customWidth="1"/>
    <col min="2" max="2" width="19.42578125" bestFit="1" customWidth="1"/>
    <col min="3" max="3" width="15.28515625" bestFit="1" customWidth="1"/>
    <col min="4" max="4" width="19" bestFit="1" customWidth="1"/>
    <col min="5" max="5" width="10" customWidth="1"/>
    <col min="6" max="6" width="27" customWidth="1"/>
    <col min="7" max="7" width="24" customWidth="1"/>
    <col min="8" max="8" width="16" bestFit="1" customWidth="1"/>
    <col min="9" max="9" width="28.85546875" bestFit="1" customWidth="1"/>
    <col min="10" max="10" width="22.7109375" bestFit="1" customWidth="1"/>
  </cols>
  <sheetData>
    <row r="1" spans="1:15">
      <c r="A1" t="s">
        <v>107</v>
      </c>
      <c r="C1" s="6">
        <v>2763885</v>
      </c>
    </row>
    <row r="2" spans="1:15">
      <c r="A2" t="s">
        <v>112</v>
      </c>
      <c r="C2" s="6">
        <f>C5+C18+C54+C77</f>
        <v>2151932</v>
      </c>
      <c r="E2">
        <f>C2/C1</f>
        <v>0.77858955781445316</v>
      </c>
      <c r="F2" t="s">
        <v>113</v>
      </c>
    </row>
    <row r="3" spans="1:15">
      <c r="G3" s="17"/>
    </row>
    <row r="4" spans="1:15">
      <c r="C4" t="s">
        <v>63</v>
      </c>
      <c r="D4" t="s">
        <v>64</v>
      </c>
      <c r="E4" t="s">
        <v>109</v>
      </c>
      <c r="F4" t="s">
        <v>108</v>
      </c>
      <c r="G4" t="s">
        <v>144</v>
      </c>
      <c r="H4" t="s">
        <v>143</v>
      </c>
      <c r="I4" t="s">
        <v>152</v>
      </c>
      <c r="J4" t="s">
        <v>154</v>
      </c>
      <c r="K4" t="s">
        <v>153</v>
      </c>
      <c r="L4" s="35" t="s">
        <v>162</v>
      </c>
      <c r="M4" s="35" t="s">
        <v>163</v>
      </c>
      <c r="N4" s="35" t="s">
        <v>164</v>
      </c>
      <c r="O4" s="35" t="s">
        <v>165</v>
      </c>
    </row>
    <row r="5" spans="1:15">
      <c r="A5" t="s">
        <v>20</v>
      </c>
      <c r="C5" s="5">
        <f>SUM(C6:C15)</f>
        <v>96888</v>
      </c>
      <c r="D5" s="5">
        <f>AVERAGE(D6:D15)</f>
        <v>41.870000000000005</v>
      </c>
      <c r="E5" s="5">
        <f>SUM(E6:E15)</f>
        <v>55.849999999999994</v>
      </c>
      <c r="F5" s="5">
        <f>C5/E5</f>
        <v>1734.7896150402867</v>
      </c>
      <c r="G5" s="5">
        <f>C6+C8+C9+C11+C12+C13+C14+C15</f>
        <v>83841</v>
      </c>
      <c r="H5" s="22">
        <f>H6*G6+H8*G8+H9*G9+H11*G11+H12*G12+H13*G13+H14*G14+H15*G15</f>
        <v>274.05584460085157</v>
      </c>
      <c r="I5" s="21">
        <f>I6*$J$6+I7*$J$7+I8*$J$8+I9*$J$9+I10*$J$10+I11*$J$11+I12*$J$12+I13*$J$13+I14*$J$14+I15*$J$15</f>
        <v>259.10764565822512</v>
      </c>
      <c r="J5" s="5">
        <f>K5</f>
        <v>96860</v>
      </c>
      <c r="K5" s="5">
        <f>SUM(K6:K15)</f>
        <v>96860</v>
      </c>
      <c r="L5" s="21">
        <f>L6*$J$6+L7*$J$7+L8*$J$8+L9*$J$9+L10*$J$10+L11*$J$11+L12*$J$12+L13*$J$13+L14*$J$14+L15*$J$15</f>
        <v>0.65091914082033486</v>
      </c>
      <c r="M5" s="21">
        <f>M6*$J$6+M7*$J$7+M8*$J$8+M9*$J$9+M10*$J$10+M11*$J$11+M12*$J$12+M13*$J$13+M14*$J$14+M15*$J$15</f>
        <v>0.12525106921819129</v>
      </c>
      <c r="N5" s="21">
        <f t="shared" ref="N5:O5" si="0">N6*$J$6+N7*$J$7+N8*$J$8+N9*$J$9+N10*$J$10+N11*$J$11+N12*$J$12+N13*$J$13+N14*$J$14+N15*$J$15</f>
        <v>4.3419971560896324E-2</v>
      </c>
      <c r="O5" s="21">
        <f t="shared" si="0"/>
        <v>0.18040981751017393</v>
      </c>
    </row>
    <row r="6" spans="1:15">
      <c r="B6" t="s">
        <v>21</v>
      </c>
      <c r="C6">
        <v>3833</v>
      </c>
      <c r="D6">
        <v>29.7</v>
      </c>
      <c r="E6">
        <v>3.37</v>
      </c>
      <c r="F6">
        <v>1137.4000000000001</v>
      </c>
      <c r="G6" s="17">
        <f>C6/$G$5</f>
        <v>4.5717489056666789E-2</v>
      </c>
      <c r="H6" s="17">
        <f>VLOOKUP(B6, '2010 Water Rates'!$A$5:$F$88, 6, FALSE)</f>
        <v>162.9255</v>
      </c>
      <c r="I6" s="17">
        <f>VLOOKUP(B6, '2010 Water Use'!$A$5:$D$91, 4, FALSE)</f>
        <v>245.09659188904004</v>
      </c>
      <c r="J6" s="17">
        <f>K6/$J$5</f>
        <v>3.9541606442287838E-2</v>
      </c>
      <c r="K6">
        <f>VLOOKUP(B6, '2010 Water Use'!$A$5:$C$91, 3, FALSE)</f>
        <v>3830</v>
      </c>
      <c r="L6">
        <f>VLOOKUP($B6, '2010 Water Use'!$A$5:$H$91, 5, FALSE)</f>
        <v>0.92524964083708872</v>
      </c>
      <c r="M6">
        <f>VLOOKUP($B6, '2010 Water Use'!$A$5:$H$91, 6, FALSE)</f>
        <v>4.5839277223014743E-2</v>
      </c>
      <c r="N6">
        <f>VLOOKUP($B6, '2010 Water Use'!$A$5:$H$91,7, FALSE)</f>
        <v>1.6167379933428433E-3</v>
      </c>
      <c r="O6">
        <f>VLOOKUP($B6, '2010 Water Use'!$A$5:$H$91, 8, FALSE)</f>
        <v>2.7294341417023298E-2</v>
      </c>
    </row>
    <row r="7" spans="1:15">
      <c r="B7" t="s">
        <v>22</v>
      </c>
      <c r="C7">
        <v>7609</v>
      </c>
      <c r="D7">
        <v>20.5</v>
      </c>
      <c r="E7">
        <v>4.84</v>
      </c>
      <c r="F7">
        <v>1575.4</v>
      </c>
      <c r="G7" s="17"/>
      <c r="H7" s="17"/>
      <c r="I7" s="17">
        <f>VLOOKUP(B7, '2010 Water Use'!$A$5:$D$91, 4, FALSE)</f>
        <v>671.40234615220209</v>
      </c>
      <c r="J7" s="17">
        <f t="shared" ref="J7:J15" si="1">K7/$J$5</f>
        <v>7.7947553169523023E-2</v>
      </c>
      <c r="K7">
        <f>VLOOKUP(B7, '2010 Water Use'!$A$5:$C$91, 3, FALSE)</f>
        <v>7550</v>
      </c>
      <c r="L7">
        <f>VLOOKUP($B7, '2010 Water Use'!$A$5:$H$91, 5, FALSE)</f>
        <v>0.3013155790424254</v>
      </c>
      <c r="M7">
        <f>VLOOKUP($B7, '2010 Water Use'!$A$5:$H$91, 6, FALSE)</f>
        <v>6.3401489935013475E-2</v>
      </c>
      <c r="N7">
        <f>VLOOKUP($B7, '2010 Water Use'!$A$5:$H$91,7, FALSE)</f>
        <v>0.41501558619960899</v>
      </c>
      <c r="O7">
        <f>VLOOKUP($B7, '2010 Water Use'!$A$5:$H$91, 8, FALSE)</f>
        <v>0.22026734294922595</v>
      </c>
    </row>
    <row r="8" spans="1:15">
      <c r="B8" t="s">
        <v>1</v>
      </c>
      <c r="C8">
        <v>48174</v>
      </c>
      <c r="D8">
        <v>12.9</v>
      </c>
      <c r="E8">
        <v>18.52</v>
      </c>
      <c r="F8">
        <v>2685.3</v>
      </c>
      <c r="G8" s="17">
        <f t="shared" ref="G8:G9" si="2">C8/$G$5</f>
        <v>0.57458761226607502</v>
      </c>
      <c r="H8" s="17">
        <f>VLOOKUP(B8, '2010 Water Rates'!$A$5:$F$88, 6, FALSE)</f>
        <v>293.26589999999999</v>
      </c>
      <c r="I8" s="17">
        <f>VLOOKUP(B8, '2010 Water Use'!$A$5:$D$91, 4, FALSE)</f>
        <v>200.44326779418557</v>
      </c>
      <c r="J8" s="17">
        <f t="shared" si="1"/>
        <v>0.49556060293206688</v>
      </c>
      <c r="K8">
        <f>VLOOKUP(B8, '2010 Water Use'!$A$5:$C$91, 3, FALSE)</f>
        <v>48000</v>
      </c>
      <c r="L8">
        <f>VLOOKUP($B8, '2010 Water Use'!$A$5:$H$91, 5, FALSE)</f>
        <v>0.58106001521826611</v>
      </c>
      <c r="M8">
        <f>VLOOKUP($B8, '2010 Water Use'!$A$5:$H$91, 6, FALSE)</f>
        <v>0.12990387113535984</v>
      </c>
      <c r="N8">
        <f>VLOOKUP($B8, '2010 Water Use'!$A$5:$H$91,7, FALSE)</f>
        <v>1.456779126303678E-2</v>
      </c>
      <c r="O8">
        <f>VLOOKUP($B8, '2010 Water Use'!$A$5:$H$91, 8, FALSE)</f>
        <v>0.27446832201313887</v>
      </c>
    </row>
    <row r="9" spans="1:15">
      <c r="B9" t="s">
        <v>23</v>
      </c>
      <c r="C9">
        <v>1829</v>
      </c>
      <c r="D9">
        <v>21.4</v>
      </c>
      <c r="E9">
        <v>2.11</v>
      </c>
      <c r="F9">
        <v>866.8</v>
      </c>
      <c r="G9" s="17">
        <f t="shared" si="2"/>
        <v>2.1815102396202334E-2</v>
      </c>
      <c r="H9" s="17">
        <f>VLOOKUP(B9, '2010 Water Rates'!$A$5:$F$88, 6, FALSE)</f>
        <v>228.09569999999999</v>
      </c>
      <c r="I9" s="17">
        <f>VLOOKUP(B9, '2010 Water Use'!$A$5:$D$91, 4, FALSE)</f>
        <v>233.75787651734316</v>
      </c>
      <c r="J9" s="17">
        <f t="shared" si="1"/>
        <v>1.9615940532727649E-2</v>
      </c>
      <c r="K9">
        <f>VLOOKUP(B9, '2010 Water Use'!$A$5:$C$91, 3, FALSE)</f>
        <v>1900</v>
      </c>
      <c r="L9">
        <f>VLOOKUP($B9, '2010 Water Use'!$A$5:$H$91, 5, FALSE)</f>
        <v>0.91999999910894448</v>
      </c>
      <c r="M9">
        <f>VLOOKUP($B9, '2010 Water Use'!$A$5:$H$91, 6, FALSE)</f>
        <v>6.1507537688442228E-2</v>
      </c>
      <c r="N9">
        <f>VLOOKUP($B9, '2010 Water Use'!$A$5:$H$91,7, FALSE)</f>
        <v>1.7889447236180907E-2</v>
      </c>
      <c r="O9">
        <f>VLOOKUP($B9, '2010 Water Use'!$A$5:$H$91, 8, FALSE)</f>
        <v>6.0301507537688446E-4</v>
      </c>
    </row>
    <row r="10" spans="1:15">
      <c r="B10" t="s">
        <v>24</v>
      </c>
      <c r="C10">
        <v>5438</v>
      </c>
      <c r="D10">
        <v>165.9</v>
      </c>
      <c r="E10">
        <v>4.03</v>
      </c>
      <c r="F10">
        <v>1349.4</v>
      </c>
      <c r="G10" s="17"/>
      <c r="H10" s="17"/>
      <c r="I10" s="17">
        <f>VLOOKUP(B10, '2010 Water Use'!$A$5:$D$91, 4, FALSE)</f>
        <v>187.74068292904539</v>
      </c>
      <c r="J10" s="17">
        <f t="shared" si="1"/>
        <v>5.5750567829857524E-2</v>
      </c>
      <c r="K10">
        <f>VLOOKUP(B10, '2010 Water Use'!$A$5:$C$91, 3, FALSE)</f>
        <v>5400</v>
      </c>
      <c r="L10">
        <f>VLOOKUP($B10, '2010 Water Use'!$A$5:$H$91, 5, FALSE)</f>
        <v>0.83929200188464137</v>
      </c>
      <c r="M10">
        <f>VLOOKUP($B10, '2010 Water Use'!$A$5:$H$91, 6, FALSE)</f>
        <v>0.11650228953856991</v>
      </c>
      <c r="N10">
        <f>VLOOKUP($B10, '2010 Water Use'!$A$5:$H$91,7, FALSE)</f>
        <v>2.069390630503698E-2</v>
      </c>
      <c r="O10">
        <f>VLOOKUP($B10, '2010 Water Use'!$A$5:$H$91, 8, FALSE)</f>
        <v>2.351179992955265E-2</v>
      </c>
    </row>
    <row r="11" spans="1:15">
      <c r="B11" t="s">
        <v>25</v>
      </c>
      <c r="C11">
        <v>8269</v>
      </c>
      <c r="D11">
        <v>34.200000000000003</v>
      </c>
      <c r="E11">
        <v>6.97</v>
      </c>
      <c r="F11">
        <v>1188.0999999999999</v>
      </c>
      <c r="G11" s="17">
        <f t="shared" ref="G11:G15" si="3">C11/$G$5</f>
        <v>9.8627163321048178E-2</v>
      </c>
      <c r="H11" s="17">
        <f>VLOOKUP(B11, '2010 Water Rates'!$A$5:$F$88, 6, FALSE)</f>
        <v>511.58607000000001</v>
      </c>
      <c r="I11" s="17">
        <f>VLOOKUP(B11, '2010 Water Use'!$A$5:$D$91, 4, FALSE)</f>
        <v>180.69131455981812</v>
      </c>
      <c r="J11" s="17">
        <f t="shared" si="1"/>
        <v>8.5174478628949002E-2</v>
      </c>
      <c r="K11">
        <f>VLOOKUP(B11, '2010 Water Use'!$A$5:$C$91, 3, FALSE)</f>
        <v>8250</v>
      </c>
      <c r="L11">
        <f>VLOOKUP($B11, '2010 Water Use'!$A$5:$H$91, 5, FALSE)</f>
        <v>0.68014133354818507</v>
      </c>
      <c r="M11">
        <f>VLOOKUP($B11, '2010 Water Use'!$A$5:$H$91, 6, FALSE)</f>
        <v>0.13738172236195947</v>
      </c>
      <c r="N11">
        <f>VLOOKUP($B11, '2010 Water Use'!$A$5:$H$91,7, FALSE)</f>
        <v>8.4441250449155559E-3</v>
      </c>
      <c r="O11">
        <f>VLOOKUP($B11, '2010 Water Use'!$A$5:$H$91, 8, FALSE)</f>
        <v>0.17403281830159301</v>
      </c>
    </row>
    <row r="12" spans="1:15">
      <c r="B12" t="s">
        <v>26</v>
      </c>
      <c r="C12">
        <v>7075</v>
      </c>
      <c r="D12">
        <v>61.6</v>
      </c>
      <c r="E12">
        <v>3.79</v>
      </c>
      <c r="F12">
        <v>1866.8</v>
      </c>
      <c r="G12" s="17">
        <f t="shared" si="3"/>
        <v>8.438592096945409E-2</v>
      </c>
      <c r="H12" s="17">
        <f>VLOOKUP(B12, '2010 Water Rates'!$A$5:$F$88, 6, FALSE)</f>
        <v>130.34040000000002</v>
      </c>
      <c r="I12" s="17">
        <f>VLOOKUP(B12, '2010 Water Use'!$A$5:$D$91, 4, FALSE)</f>
        <v>276.64850334779601</v>
      </c>
      <c r="J12" s="17">
        <f t="shared" si="1"/>
        <v>7.2269254594259758E-2</v>
      </c>
      <c r="K12">
        <f>VLOOKUP(B12, '2010 Water Use'!$A$5:$C$91, 3, FALSE)</f>
        <v>7000</v>
      </c>
      <c r="L12">
        <f>VLOOKUP($B12, '2010 Water Use'!$A$5:$H$91, 5, FALSE)</f>
        <v>0.84869998115129974</v>
      </c>
      <c r="M12">
        <f>VLOOKUP($B12, '2010 Water Use'!$A$5:$H$91, 6, FALSE)</f>
        <v>0.10653697215563342</v>
      </c>
      <c r="N12">
        <f>VLOOKUP($B12, '2010 Water Use'!$A$5:$H$91,7, FALSE)</f>
        <v>4.1489950212059747E-4</v>
      </c>
      <c r="O12">
        <f>VLOOKUP($B12, '2010 Water Use'!$A$5:$H$91, 8, FALSE)</f>
        <v>4.4348146782223867E-2</v>
      </c>
    </row>
    <row r="13" spans="1:15">
      <c r="B13" t="s">
        <v>27</v>
      </c>
      <c r="C13">
        <v>1734</v>
      </c>
      <c r="D13">
        <v>15.9</v>
      </c>
      <c r="E13">
        <v>0.63</v>
      </c>
      <c r="F13">
        <v>2752.4</v>
      </c>
      <c r="G13" s="17">
        <f t="shared" si="3"/>
        <v>2.0682005224174332E-2</v>
      </c>
      <c r="H13" s="17">
        <f>VLOOKUP(B13, '2010 Water Rates'!$A$5:$F$88, 6, FALSE)</f>
        <v>162.9255</v>
      </c>
      <c r="I13" s="17">
        <f>VLOOKUP(B13, '2010 Water Use'!$A$5:$D$91, 4, FALSE)</f>
        <v>254.4550680419319</v>
      </c>
      <c r="J13" s="17">
        <f t="shared" si="1"/>
        <v>1.992566590956019E-2</v>
      </c>
      <c r="K13">
        <f>VLOOKUP(B13, '2010 Water Use'!$A$5:$C$91, 3, FALSE)</f>
        <v>1930</v>
      </c>
      <c r="L13">
        <f>VLOOKUP($B13, '2010 Water Use'!$A$5:$H$91, 5, FALSE)</f>
        <v>0.95346300624253755</v>
      </c>
      <c r="M13">
        <f>VLOOKUP($B13, '2010 Water Use'!$A$5:$H$91, 6, FALSE)</f>
        <v>4.6536993273950181E-2</v>
      </c>
      <c r="N13">
        <f>VLOOKUP($B13, '2010 Water Use'!$A$5:$H$91,7, FALSE)</f>
        <v>0</v>
      </c>
      <c r="O13">
        <f>VLOOKUP($B13, '2010 Water Use'!$A$5:$H$91, 8, FALSE)</f>
        <v>0</v>
      </c>
    </row>
    <row r="14" spans="1:15">
      <c r="B14" t="s">
        <v>28</v>
      </c>
      <c r="C14">
        <v>9495</v>
      </c>
      <c r="D14">
        <v>30.8</v>
      </c>
      <c r="E14">
        <v>4.9800000000000004</v>
      </c>
      <c r="F14">
        <v>1906.6</v>
      </c>
      <c r="G14" s="17">
        <f t="shared" si="3"/>
        <v>0.1132500805095359</v>
      </c>
      <c r="H14" s="17">
        <f>VLOOKUP(B14, '2010 Water Rates'!$A$5:$F$88, 6, FALSE)</f>
        <v>179.21805000000001</v>
      </c>
      <c r="I14" s="17">
        <f>VLOOKUP(B14, '2010 Water Use'!$A$5:$D$91, 4, FALSE)</f>
        <v>287.3704608514235</v>
      </c>
      <c r="J14" s="17">
        <f t="shared" si="1"/>
        <v>9.9112120586413374E-2</v>
      </c>
      <c r="K14">
        <f>VLOOKUP(B14, '2010 Water Use'!$A$5:$C$91, 3, FALSE)</f>
        <v>9600</v>
      </c>
      <c r="L14">
        <f>VLOOKUP($B14, '2010 Water Use'!$A$5:$H$91, 5, FALSE)</f>
        <v>0.68959937660091486</v>
      </c>
      <c r="M14">
        <f>VLOOKUP($B14, '2010 Water Use'!$A$5:$H$91, 6, FALSE)</f>
        <v>0.246650702219921</v>
      </c>
      <c r="N14">
        <f>VLOOKUP($B14, '2010 Water Use'!$A$5:$H$91,7, FALSE)</f>
        <v>1.1843893599119797E-2</v>
      </c>
      <c r="O14">
        <f>VLOOKUP($B14, '2010 Water Use'!$A$5:$H$91, 8, FALSE)</f>
        <v>5.1906025499967624E-2</v>
      </c>
    </row>
    <row r="15" spans="1:15">
      <c r="B15" t="s">
        <v>29</v>
      </c>
      <c r="C15">
        <v>3432</v>
      </c>
      <c r="D15">
        <v>25.8</v>
      </c>
      <c r="E15">
        <v>6.61</v>
      </c>
      <c r="F15">
        <v>520</v>
      </c>
      <c r="G15" s="17">
        <f t="shared" si="3"/>
        <v>4.0934626256843312E-2</v>
      </c>
      <c r="H15" s="17">
        <f>VLOOKUP(B15, '2010 Water Rates'!$A$5:$F$88, 6, FALSE)</f>
        <v>195.51059999999998</v>
      </c>
      <c r="I15" s="17">
        <f>VLOOKUP(B15, '2010 Water Use'!$A$5:$D$91, 4, FALSE)</f>
        <v>392.07200491269526</v>
      </c>
      <c r="J15" s="17">
        <f t="shared" si="1"/>
        <v>3.5102209374354737E-2</v>
      </c>
      <c r="K15">
        <f>VLOOKUP(B15, '2010 Water Use'!$A$5:$C$91, 3, FALSE)</f>
        <v>3400</v>
      </c>
      <c r="L15">
        <f>VLOOKUP($B15, '2010 Water Use'!$A$5:$H$91, 5, FALSE)</f>
        <v>0.89586123749174917</v>
      </c>
      <c r="M15">
        <f>VLOOKUP($B15, '2010 Water Use'!$A$5:$H$91, 6, FALSE)</f>
        <v>4.6879185641575137E-2</v>
      </c>
      <c r="N15">
        <f>VLOOKUP($B15, '2010 Water Use'!$A$5:$H$91,7, FALSE)</f>
        <v>1.0246450575944281E-2</v>
      </c>
      <c r="O15">
        <f>VLOOKUP($B15, '2010 Water Use'!$A$5:$H$91, 8, FALSE)</f>
        <v>4.7013126171979648E-2</v>
      </c>
    </row>
    <row r="16" spans="1:15">
      <c r="G16" s="19">
        <f>G5/C5</f>
        <v>0.86533936091156805</v>
      </c>
      <c r="H16" s="20" t="s">
        <v>145</v>
      </c>
      <c r="I16" s="17"/>
      <c r="J16" s="17"/>
      <c r="K16" s="19">
        <f>K5/C5</f>
        <v>0.9997110065229956</v>
      </c>
    </row>
    <row r="17" spans="1:16">
      <c r="H17" s="17"/>
      <c r="I17" s="17"/>
      <c r="J17" s="17"/>
    </row>
    <row r="18" spans="1:16">
      <c r="A18" t="s">
        <v>30</v>
      </c>
      <c r="C18" s="5">
        <f>SUM(C19:C51)</f>
        <v>544969</v>
      </c>
      <c r="D18" s="5">
        <f>AVERAGE(D19:D51)</f>
        <v>44.330303030303035</v>
      </c>
      <c r="E18" s="5">
        <f>SUM(E19:E51)</f>
        <v>350.33</v>
      </c>
      <c r="F18" s="5">
        <f>C18/E18</f>
        <v>1555.5875888448036</v>
      </c>
      <c r="G18" s="5">
        <f>C19+C21+C23+C24+C26+C28+C29+C30+C32+C33+C34+C35+C37+C38+C39+C40+C42+C43+C44+C45+C46+C47+C49+C50+C51</f>
        <v>461963</v>
      </c>
      <c r="H18" s="22">
        <f>G19*H19+G21*H21+G23*H23+G24*H24+G26*H26+G28*H28+G29*H29+G30*H30+G32*H32+G33*H33+G34*H34+G35*H35+G37*H37+G38*H38+G39*H39+G40*H40+G42*H42+G43*H43+G44*H44+G45*H45+G46*H46+G47*H47+G49*H49+G50*H50+G51*H51</f>
        <v>405.07628630684707</v>
      </c>
      <c r="I18" s="21">
        <f>I19*$J$19+I20*$J$20+I21*$J$21+I22*$J$22+I23*$J$23+I24*$J$24+I26*$J$26+I28*$J$28+I29*$J$29+I30*$J$30+I32*$J$32+I33*$J$33+I34*$J$34+I35*$J$35+I37*$J$37+I38*$J$38+I39*$J$39+I40*$J$40+I41*$J$41+I43*$J$43+I44*$J$44+I45*$J$45+I46*$J$46+I47*$J$47+I49*$J$49+I50*$J$50+I51*$J$51</f>
        <v>234.56319538149017</v>
      </c>
      <c r="J18" s="5">
        <f>K18</f>
        <v>517350</v>
      </c>
      <c r="K18" s="5">
        <f>SUM(K19:K51)</f>
        <v>517350</v>
      </c>
      <c r="L18" s="21">
        <f t="shared" ref="L18:O18" si="4">L19*$J$19+L20*$J$20+L21*$J$21+L22*$J$22+L23*$J$23+L24*$J$24+L26*$J$26+L28*$J$28+L29*$J$29+L30*$J$30+L32*$J$32+L33*$J$33+L34*$J$34+L35*$J$35+L37*$J$37+L38*$J$38+L39*$J$39+L40*$J$40+L41*$J$41+L43*$J$43+L44*$J$44+L45*$J$45+L46*$J$46+L47*$J$47+L49*$J$49+L50*$J$50+L51*$J$51</f>
        <v>0.78973906542399253</v>
      </c>
      <c r="M18" s="21">
        <f t="shared" si="4"/>
        <v>9.0795364306741844E-2</v>
      </c>
      <c r="N18" s="21">
        <f t="shared" si="4"/>
        <v>1.5864776385567828E-2</v>
      </c>
      <c r="O18" s="21">
        <f t="shared" si="4"/>
        <v>0.10104932648203377</v>
      </c>
      <c r="P18" s="39"/>
    </row>
    <row r="19" spans="1:16">
      <c r="B19" t="s">
        <v>31</v>
      </c>
      <c r="C19">
        <v>42552</v>
      </c>
      <c r="D19">
        <v>3</v>
      </c>
      <c r="E19">
        <v>13.47</v>
      </c>
      <c r="F19">
        <v>3163.7</v>
      </c>
      <c r="G19" s="17">
        <f>C19/$G$18</f>
        <v>9.2111272980736555E-2</v>
      </c>
      <c r="H19" s="17">
        <f>VLOOKUP(B19, '2010 Water Rates'!$A$5:$F$88, 6, FALSE)</f>
        <v>358.43610000000001</v>
      </c>
      <c r="I19" s="17">
        <f>VLOOKUP(B19, '2010 Water Use'!$A$5:$D$91, 4, FALSE)</f>
        <v>233.89883604087123</v>
      </c>
      <c r="J19" s="17">
        <f>K19/$J$18</f>
        <v>7.4417705615154151E-2</v>
      </c>
      <c r="K19">
        <f>VLOOKUP(B19, '2010 Water Use'!$A$5:$C$91, 3, FALSE)</f>
        <v>38500</v>
      </c>
      <c r="L19">
        <f>VLOOKUP($B19, '2010 Water Use'!$A$5:$H$91, 5, FALSE)</f>
        <v>0.85347476533027489</v>
      </c>
      <c r="M19">
        <f>VLOOKUP($B19, '2010 Water Use'!$A$5:$H$91, 6, FALSE)</f>
        <v>0.10151680380688015</v>
      </c>
      <c r="N19">
        <f>VLOOKUP($B19, '2010 Water Use'!$A$5:$H$91,7, FALSE)</f>
        <v>8.5258253197184487E-3</v>
      </c>
      <c r="O19">
        <f>VLOOKUP($B19, '2010 Water Use'!$A$5:$H$91, 8, FALSE)</f>
        <v>3.6482601368097556E-2</v>
      </c>
    </row>
    <row r="20" spans="1:16">
      <c r="B20" t="s">
        <v>32</v>
      </c>
      <c r="C20">
        <v>17899</v>
      </c>
      <c r="D20">
        <v>2.8</v>
      </c>
      <c r="E20">
        <v>24.18</v>
      </c>
      <c r="F20">
        <v>750.8</v>
      </c>
      <c r="G20" s="17"/>
      <c r="H20" s="17"/>
      <c r="I20" s="17">
        <f>VLOOKUP(B20, '2010 Water Use'!$A$5:$D$91, 4, FALSE)</f>
        <v>295.418349507632</v>
      </c>
      <c r="J20" s="17">
        <f t="shared" ref="J20:J24" si="5">K20/$J$18</f>
        <v>3.4599400792500241E-2</v>
      </c>
      <c r="K20">
        <f>VLOOKUP(B20, '2010 Water Use'!$A$5:$C$91, 3, FALSE)</f>
        <v>17900</v>
      </c>
      <c r="L20">
        <f>VLOOKUP($B20, '2010 Water Use'!$A$5:$H$91, 5, FALSE)</f>
        <v>0.71718467731051949</v>
      </c>
      <c r="M20">
        <f>VLOOKUP($B20, '2010 Water Use'!$A$5:$H$91, 6, FALSE)</f>
        <v>0.17937636115003461</v>
      </c>
      <c r="N20">
        <f>VLOOKUP($B20, '2010 Water Use'!$A$5:$H$91,7, FALSE)</f>
        <v>1.4772170918238145E-2</v>
      </c>
      <c r="O20">
        <f>VLOOKUP($B20, '2010 Water Use'!$A$5:$H$91, 8, FALSE)</f>
        <v>8.8666790471527701E-2</v>
      </c>
    </row>
    <row r="21" spans="1:16">
      <c r="B21" t="s">
        <v>33</v>
      </c>
      <c r="C21">
        <v>15335</v>
      </c>
      <c r="D21">
        <v>5.0999999999999996</v>
      </c>
      <c r="E21">
        <v>6.04</v>
      </c>
      <c r="F21">
        <v>2564.4</v>
      </c>
      <c r="G21" s="17">
        <f>C21/$G$18</f>
        <v>3.3195299190627824E-2</v>
      </c>
      <c r="H21" s="17">
        <f>VLOOKUP(B21, '2010 Water Rates'!$A$5:$F$88, 6, FALSE)</f>
        <v>244.38825</v>
      </c>
      <c r="I21" s="17">
        <f>VLOOKUP(B21, '2010 Water Use'!$A$5:$D$91, 4, FALSE)</f>
        <v>188.88744966558815</v>
      </c>
      <c r="J21" s="17">
        <f t="shared" si="5"/>
        <v>3.2279887890209726E-2</v>
      </c>
      <c r="K21">
        <f>VLOOKUP(B21, '2010 Water Use'!$A$5:$C$91, 3, FALSE)</f>
        <v>16700</v>
      </c>
      <c r="L21">
        <f>VLOOKUP($B21, '2010 Water Use'!$A$5:$H$91, 5, FALSE)</f>
        <v>0.86036112024338962</v>
      </c>
      <c r="M21">
        <f>VLOOKUP($B21, '2010 Water Use'!$A$5:$H$91, 6, FALSE)</f>
        <v>5.8046074602366E-2</v>
      </c>
      <c r="N21">
        <f>VLOOKUP($B21, '2010 Water Use'!$A$5:$H$91,7, FALSE)</f>
        <v>7.0753382011660157E-4</v>
      </c>
      <c r="O21">
        <f>VLOOKUP($B21, '2010 Water Use'!$A$5:$H$91, 8, FALSE)</f>
        <v>8.0885266315729898E-2</v>
      </c>
    </row>
    <row r="22" spans="1:16">
      <c r="B22" t="s">
        <v>34</v>
      </c>
      <c r="C22">
        <v>30112</v>
      </c>
      <c r="D22">
        <v>15.9</v>
      </c>
      <c r="E22">
        <v>7.66</v>
      </c>
      <c r="F22">
        <v>3951.7</v>
      </c>
      <c r="G22" s="17"/>
      <c r="H22" s="17"/>
      <c r="I22" s="17">
        <f>VLOOKUP(B22, '2010 Water Use'!$A$5:$D$91, 4, FALSE)</f>
        <v>266.18081425992688</v>
      </c>
      <c r="J22" s="17">
        <f t="shared" si="5"/>
        <v>5.2536967236880255E-2</v>
      </c>
      <c r="K22">
        <f>VLOOKUP(B22, '2010 Water Use'!$A$5:$C$91, 3, FALSE)</f>
        <v>27180</v>
      </c>
      <c r="L22">
        <f>VLOOKUP($B22, '2010 Water Use'!$A$5:$H$91, 5, FALSE)</f>
        <v>0.75777393852214936</v>
      </c>
      <c r="M22">
        <f>VLOOKUP($B22, '2010 Water Use'!$A$5:$H$91, 6, FALSE)</f>
        <v>8.7240868706811442E-2</v>
      </c>
      <c r="N22">
        <f>VLOOKUP($B22, '2010 Water Use'!$A$5:$H$91,7, FALSE)</f>
        <v>6.7744323790720609E-2</v>
      </c>
      <c r="O22">
        <f>VLOOKUP($B22, '2010 Water Use'!$A$5:$H$91, 8, FALSE)</f>
        <v>8.7240868706811442E-2</v>
      </c>
    </row>
    <row r="23" spans="1:16">
      <c r="B23" t="s">
        <v>35</v>
      </c>
      <c r="C23">
        <v>20426</v>
      </c>
      <c r="D23">
        <v>62.3</v>
      </c>
      <c r="E23">
        <v>5.85</v>
      </c>
      <c r="F23">
        <v>3491.6</v>
      </c>
      <c r="G23" s="17">
        <f t="shared" ref="G23:G24" si="6">C23/$G$18</f>
        <v>4.4215662293300546E-2</v>
      </c>
      <c r="H23" s="17">
        <f>VLOOKUP(B23, '2010 Water Rates'!$A$5:$F$88, 6, FALSE)</f>
        <v>342.14355</v>
      </c>
      <c r="I23" s="17">
        <f>VLOOKUP(B23, '2010 Water Use'!$A$5:$D$91, 4, FALSE)</f>
        <v>212.21242273747279</v>
      </c>
      <c r="J23" s="17">
        <f t="shared" si="5"/>
        <v>3.947037788731033E-2</v>
      </c>
      <c r="K23">
        <f>VLOOKUP(B23, '2010 Water Use'!$A$5:$C$91, 3, FALSE)</f>
        <v>20420</v>
      </c>
      <c r="L23">
        <f>VLOOKUP($B23, '2010 Water Use'!$A$5:$H$91, 5, FALSE)</f>
        <v>0.86382364530049205</v>
      </c>
      <c r="M23">
        <f>VLOOKUP($B23, '2010 Water Use'!$A$5:$H$91, 6, FALSE)</f>
        <v>0.10939431396786156</v>
      </c>
      <c r="N23">
        <f>VLOOKUP($B23, '2010 Water Use'!$A$5:$H$91,7, FALSE)</f>
        <v>0</v>
      </c>
      <c r="O23">
        <f>VLOOKUP($B23, '2010 Water Use'!$A$5:$H$91, 8, FALSE)</f>
        <v>2.6782035434693041E-2</v>
      </c>
    </row>
    <row r="24" spans="1:16">
      <c r="B24" t="s">
        <v>36</v>
      </c>
      <c r="C24">
        <v>18275</v>
      </c>
      <c r="D24">
        <v>51.3</v>
      </c>
      <c r="E24">
        <v>9.9499999999999993</v>
      </c>
      <c r="F24">
        <v>1853.4</v>
      </c>
      <c r="G24" s="17">
        <f t="shared" si="6"/>
        <v>3.9559445236956203E-2</v>
      </c>
      <c r="H24" s="17">
        <f>VLOOKUP(B24, '2010 Water Rates'!$A$5:$F$88, 6, FALSE)</f>
        <v>814.62750000000005</v>
      </c>
      <c r="I24" s="17">
        <f>VLOOKUP(B24, '2010 Water Use'!$A$5:$D$91, 4, FALSE)</f>
        <v>205.48731824827738</v>
      </c>
      <c r="J24" s="17">
        <f t="shared" si="5"/>
        <v>3.5333913211558904E-2</v>
      </c>
      <c r="K24">
        <f>VLOOKUP(B24, '2010 Water Use'!$A$5:$C$91, 3, FALSE)</f>
        <v>18280</v>
      </c>
      <c r="L24">
        <f>VLOOKUP($B24, '2010 Water Use'!$A$5:$H$91, 5, FALSE)</f>
        <v>0.81155527586310294</v>
      </c>
      <c r="M24">
        <f>VLOOKUP($B24, '2010 Water Use'!$A$5:$H$91, 6, FALSE)</f>
        <v>5.7396140317520689E-2</v>
      </c>
      <c r="N24">
        <f>VLOOKUP($B24, '2010 Water Use'!$A$5:$H$91,7, FALSE)</f>
        <v>0</v>
      </c>
      <c r="O24">
        <f>VLOOKUP($B24, '2010 Water Use'!$A$5:$H$91, 8, FALSE)</f>
        <v>0.13104857876223977</v>
      </c>
    </row>
    <row r="25" spans="1:16">
      <c r="B25" t="s">
        <v>37</v>
      </c>
      <c r="C25">
        <v>5928</v>
      </c>
      <c r="D25">
        <v>91.6</v>
      </c>
      <c r="E25">
        <v>6.04</v>
      </c>
      <c r="F25">
        <v>981.5</v>
      </c>
      <c r="G25" s="17"/>
      <c r="H25" s="17"/>
      <c r="I25" s="17"/>
      <c r="J25" s="17"/>
    </row>
    <row r="26" spans="1:16">
      <c r="B26" t="s">
        <v>38</v>
      </c>
      <c r="C26">
        <v>4987</v>
      </c>
      <c r="D26">
        <v>6.1</v>
      </c>
      <c r="E26">
        <v>2.2799999999999998</v>
      </c>
      <c r="F26">
        <v>2196.9</v>
      </c>
      <c r="G26" s="17">
        <f>C26/$G$18</f>
        <v>1.0795236847972673E-2</v>
      </c>
      <c r="H26" s="17">
        <f>VLOOKUP(B26, '2010 Water Rates'!$A$5:$F$88, 6, FALSE)</f>
        <v>276.97334999999998</v>
      </c>
      <c r="I26" s="17">
        <f>VLOOKUP(B26, '2010 Water Use'!$A$5:$D$91, 4, FALSE)</f>
        <v>375.14873618738517</v>
      </c>
      <c r="J26" s="17">
        <f>K26/$J$18</f>
        <v>9.6646370928771628E-3</v>
      </c>
      <c r="K26">
        <f>VLOOKUP(B26, '2010 Water Use'!$A$5:$C$91, 3, FALSE)</f>
        <v>5000</v>
      </c>
      <c r="L26">
        <f>VLOOKUP($B26, '2010 Water Use'!$A$5:$H$91, 5, FALSE)</f>
        <v>0.66684117421064981</v>
      </c>
      <c r="M26">
        <f>VLOOKUP($B26, '2010 Water Use'!$A$5:$H$91, 6, FALSE)</f>
        <v>0.31888058635952599</v>
      </c>
      <c r="N26">
        <f>VLOOKUP($B26, '2010 Water Use'!$A$5:$H$91,7, FALSE)</f>
        <v>0</v>
      </c>
      <c r="O26">
        <f>VLOOKUP($B26, '2010 Water Use'!$A$5:$H$91, 8, FALSE)</f>
        <v>1.4278235210128028E-2</v>
      </c>
    </row>
    <row r="27" spans="1:16">
      <c r="B27" t="s">
        <v>39</v>
      </c>
      <c r="C27">
        <v>5567</v>
      </c>
      <c r="D27">
        <v>52.7</v>
      </c>
      <c r="E27">
        <v>3.01</v>
      </c>
      <c r="F27">
        <v>1849.5</v>
      </c>
      <c r="G27" s="17"/>
      <c r="H27" s="17"/>
      <c r="I27" s="17"/>
      <c r="J27" s="17"/>
    </row>
    <row r="28" spans="1:16">
      <c r="B28" t="s">
        <v>40</v>
      </c>
      <c r="C28">
        <v>7218</v>
      </c>
      <c r="D28">
        <v>83.9</v>
      </c>
      <c r="E28">
        <v>89.49</v>
      </c>
      <c r="F28">
        <v>268.5</v>
      </c>
      <c r="G28" s="17">
        <f t="shared" ref="G28:G30" si="7">C28/$G$18</f>
        <v>1.5624627946393976E-2</v>
      </c>
      <c r="H28" s="17">
        <f>VLOOKUP(B28, '2010 Water Rates'!$A$5:$F$88, 6, FALSE)</f>
        <v>374.72864999999996</v>
      </c>
      <c r="I28" s="17">
        <f>VLOOKUP(B28, '2010 Water Use'!$A$5:$D$91, 4, FALSE)</f>
        <v>209.05540245597172</v>
      </c>
      <c r="J28" s="17">
        <f t="shared" ref="J28:J30" si="8">K28/$J$18</f>
        <v>3.1274765632550501E-2</v>
      </c>
      <c r="K28">
        <f>VLOOKUP(B28, '2010 Water Use'!$A$5:$C$91, 3, FALSE)</f>
        <v>16180</v>
      </c>
      <c r="L28">
        <f>VLOOKUP($B28, '2010 Water Use'!$A$5:$H$91, 5, FALSE)</f>
        <v>0.97268335894892743</v>
      </c>
      <c r="M28">
        <f>VLOOKUP($B28, '2010 Water Use'!$A$5:$H$91, 6, FALSE)</f>
        <v>1.7260946448837394E-2</v>
      </c>
      <c r="N28">
        <f>VLOOKUP($B28, '2010 Water Use'!$A$5:$H$91,7, FALSE)</f>
        <v>0</v>
      </c>
      <c r="O28">
        <f>VLOOKUP($B28, '2010 Water Use'!$A$5:$H$91, 8, FALSE)</f>
        <v>1.0055688986249308E-2</v>
      </c>
    </row>
    <row r="29" spans="1:16">
      <c r="B29" t="s">
        <v>41</v>
      </c>
      <c r="C29">
        <v>27300</v>
      </c>
      <c r="D29">
        <v>34.1</v>
      </c>
      <c r="E29">
        <v>10.5</v>
      </c>
      <c r="F29">
        <v>2612.4</v>
      </c>
      <c r="G29" s="17">
        <f t="shared" si="7"/>
        <v>5.9095641858763578E-2</v>
      </c>
      <c r="H29" s="17">
        <f>VLOOKUP(B29, '2010 Water Rates'!$A$5:$F$88, 6, FALSE)</f>
        <v>651.702</v>
      </c>
      <c r="I29" s="17">
        <f>VLOOKUP(B29, '2010 Water Use'!$A$5:$D$91, 4, FALSE)</f>
        <v>222.79349746196567</v>
      </c>
      <c r="J29" s="17">
        <f t="shared" si="8"/>
        <v>5.2768918527109306E-2</v>
      </c>
      <c r="K29">
        <f>VLOOKUP(B29, '2010 Water Use'!$A$5:$C$91, 3, FALSE)</f>
        <v>27300</v>
      </c>
      <c r="L29">
        <f>VLOOKUP($B29, '2010 Water Use'!$A$5:$H$91, 5, FALSE)</f>
        <v>0.87333039243349264</v>
      </c>
      <c r="M29">
        <f>VLOOKUP($B29, '2010 Water Use'!$A$5:$H$91, 6, FALSE)</f>
        <v>7.9700572435050646E-2</v>
      </c>
      <c r="N29">
        <f>VLOOKUP($B29, '2010 Water Use'!$A$5:$H$91,7, FALSE)</f>
        <v>5.8711287244972848E-3</v>
      </c>
      <c r="O29">
        <f>VLOOKUP($B29, '2010 Water Use'!$A$5:$H$91, 8, FALSE)</f>
        <v>4.1097901071480994E-2</v>
      </c>
    </row>
    <row r="30" spans="1:16">
      <c r="B30" t="s">
        <v>42</v>
      </c>
      <c r="C30">
        <v>67311</v>
      </c>
      <c r="D30">
        <v>15.1</v>
      </c>
      <c r="E30">
        <v>22.17</v>
      </c>
      <c r="F30">
        <v>3059.6</v>
      </c>
      <c r="G30" s="17">
        <f t="shared" si="7"/>
        <v>0.14570647432803061</v>
      </c>
      <c r="H30" s="17">
        <f>VLOOKUP(B30, '2010 Water Rates'!$A$5:$F$88, 6, FALSE)</f>
        <v>371.47013999999996</v>
      </c>
      <c r="I30" s="17">
        <f>VLOOKUP(B30, '2010 Water Use'!$A$5:$D$91, 4, FALSE)</f>
        <v>191.45378953310342</v>
      </c>
      <c r="J30" s="17">
        <f t="shared" si="8"/>
        <v>0.13010534454431236</v>
      </c>
      <c r="K30">
        <f>VLOOKUP(B30, '2010 Water Use'!$A$5:$C$91, 3, FALSE)</f>
        <v>67310</v>
      </c>
      <c r="L30">
        <f>VLOOKUP($B30, '2010 Water Use'!$A$5:$H$91, 5, FALSE)</f>
        <v>0.73754069815275303</v>
      </c>
      <c r="M30">
        <f>VLOOKUP($B30, '2010 Water Use'!$A$5:$H$91, 6, FALSE)</f>
        <v>4.8299272601316251E-2</v>
      </c>
      <c r="N30">
        <f>VLOOKUP($B30, '2010 Water Use'!$A$5:$H$91,7, FALSE)</f>
        <v>0</v>
      </c>
      <c r="O30">
        <f>VLOOKUP($B30, '2010 Water Use'!$A$5:$H$91, 8, FALSE)</f>
        <v>0.21416002771042603</v>
      </c>
    </row>
    <row r="31" spans="1:16">
      <c r="B31" t="s">
        <v>43</v>
      </c>
      <c r="C31">
        <v>1701</v>
      </c>
      <c r="D31">
        <v>19.399999999999999</v>
      </c>
      <c r="E31">
        <v>7.39</v>
      </c>
      <c r="F31">
        <v>236.9</v>
      </c>
      <c r="G31" s="17"/>
      <c r="H31" s="17"/>
      <c r="I31" s="17"/>
      <c r="J31" s="17"/>
    </row>
    <row r="32" spans="1:16">
      <c r="B32" t="s">
        <v>44</v>
      </c>
      <c r="C32">
        <v>17357</v>
      </c>
      <c r="D32">
        <v>15.5</v>
      </c>
      <c r="E32">
        <v>7.04</v>
      </c>
      <c r="F32">
        <v>2465.5</v>
      </c>
      <c r="G32" s="17">
        <f t="shared" ref="G32:G35" si="9">C32/$G$18</f>
        <v>3.7572273104123061E-2</v>
      </c>
      <c r="H32" s="17">
        <f>VLOOKUP(B32, '2010 Water Rates'!$A$5:$F$88, 6, FALSE)</f>
        <v>488.7765</v>
      </c>
      <c r="I32" s="17">
        <f>VLOOKUP(B32, '2010 Water Use'!$A$5:$D$91, 4, FALSE)</f>
        <v>207.95887340065761</v>
      </c>
      <c r="J32" s="17">
        <f t="shared" ref="J32:J35" si="10">K32/$J$18</f>
        <v>3.3555619986469505E-2</v>
      </c>
      <c r="K32">
        <f>VLOOKUP(B32, '2010 Water Use'!$A$5:$C$91, 3, FALSE)</f>
        <v>17360</v>
      </c>
      <c r="L32">
        <f>VLOOKUP($B32, '2010 Water Use'!$A$5:$H$91, 5, FALSE)</f>
        <v>0.92133830632517899</v>
      </c>
      <c r="M32">
        <f>VLOOKUP($B32, '2010 Water Use'!$A$5:$H$91, 6, FALSE)</f>
        <v>5.4724399713148214E-2</v>
      </c>
      <c r="N32">
        <f>VLOOKUP($B32, '2010 Water Use'!$A$5:$H$91,7, FALSE)</f>
        <v>0</v>
      </c>
      <c r="O32">
        <f>VLOOKUP($B32, '2010 Water Use'!$A$5:$H$91, 8, FALSE)</f>
        <v>2.3937288261331884E-2</v>
      </c>
    </row>
    <row r="33" spans="2:15">
      <c r="B33" t="s">
        <v>45</v>
      </c>
      <c r="C33">
        <v>16322</v>
      </c>
      <c r="D33">
        <v>86.6</v>
      </c>
      <c r="E33">
        <v>8.59</v>
      </c>
      <c r="F33">
        <v>1915.7</v>
      </c>
      <c r="G33" s="17">
        <f t="shared" si="9"/>
        <v>3.5331833934752352E-2</v>
      </c>
      <c r="H33" s="17">
        <f>VLOOKUP(B33, '2010 Water Rates'!$A$5:$F$88, 6, FALSE)</f>
        <v>456.19139999999999</v>
      </c>
      <c r="I33" s="17">
        <f>VLOOKUP(B33, '2010 Water Use'!$A$5:$D$91, 4, FALSE)</f>
        <v>255.50881199474276</v>
      </c>
      <c r="J33" s="17">
        <f t="shared" si="10"/>
        <v>3.0926838697206919E-2</v>
      </c>
      <c r="K33">
        <f>VLOOKUP(B33, '2010 Water Use'!$A$5:$C$91, 3, FALSE)</f>
        <v>16000</v>
      </c>
      <c r="L33">
        <f>VLOOKUP($B33, '2010 Water Use'!$A$5:$H$91, 5, FALSE)</f>
        <v>0.50584150353466273</v>
      </c>
      <c r="M33">
        <f>VLOOKUP($B33, '2010 Water Use'!$A$5:$H$91, 6, FALSE)</f>
        <v>0.103683969165593</v>
      </c>
      <c r="N33">
        <f>VLOOKUP($B33, '2010 Water Use'!$A$5:$H$91,7, FALSE)</f>
        <v>0.19544471862511736</v>
      </c>
      <c r="O33">
        <f>VLOOKUP($B33, '2010 Water Use'!$A$5:$H$91, 8, FALSE)</f>
        <v>0.19502980804926517</v>
      </c>
    </row>
    <row r="34" spans="2:15">
      <c r="B34" t="s">
        <v>46</v>
      </c>
      <c r="C34">
        <v>82825</v>
      </c>
      <c r="D34">
        <v>7.3</v>
      </c>
      <c r="E34">
        <v>27.1</v>
      </c>
      <c r="F34">
        <v>3057.4</v>
      </c>
      <c r="G34" s="17">
        <f t="shared" si="9"/>
        <v>0.17928925043780564</v>
      </c>
      <c r="H34" s="17">
        <f>VLOOKUP(B34, '2010 Water Rates'!$A$5:$F$88, 6, FALSE)</f>
        <v>420.34779000000003</v>
      </c>
      <c r="I34" s="17">
        <f>VLOOKUP(B34, '2010 Water Use'!$A$5:$D$91, 4, FALSE)</f>
        <v>285.02913069605717</v>
      </c>
      <c r="J34" s="17">
        <f t="shared" si="10"/>
        <v>0.16010437808060307</v>
      </c>
      <c r="K34">
        <f>VLOOKUP(B34, '2010 Water Use'!$A$5:$C$91, 3, FALSE)</f>
        <v>82830</v>
      </c>
      <c r="L34">
        <f>VLOOKUP($B34, '2010 Water Use'!$A$5:$H$91, 5, FALSE)</f>
        <v>0.7239444273566058</v>
      </c>
      <c r="M34">
        <f>VLOOKUP($B34, '2010 Water Use'!$A$5:$H$91, 6, FALSE)</f>
        <v>0.19137543769426818</v>
      </c>
      <c r="N34">
        <f>VLOOKUP($B34, '2010 Water Use'!$A$5:$H$91,7, FALSE)</f>
        <v>2.3989049135199312E-2</v>
      </c>
      <c r="O34">
        <f>VLOOKUP($B34, '2010 Water Use'!$A$5:$H$91, 8, FALSE)</f>
        <v>6.0691084271744793E-2</v>
      </c>
    </row>
    <row r="35" spans="2:15">
      <c r="B35" t="s">
        <v>47</v>
      </c>
      <c r="C35">
        <v>4512</v>
      </c>
      <c r="D35">
        <v>89.3</v>
      </c>
      <c r="E35">
        <v>8.0399999999999991</v>
      </c>
      <c r="F35">
        <v>561.20000000000005</v>
      </c>
      <c r="G35" s="17">
        <f t="shared" si="9"/>
        <v>9.7670159731407056E-3</v>
      </c>
      <c r="H35" s="17">
        <f>VLOOKUP(B35, '2010 Water Rates'!$A$5:$F$88, 6, FALSE)</f>
        <v>309.55844999999999</v>
      </c>
      <c r="I35" s="17">
        <f>VLOOKUP(B35, '2010 Water Use'!$A$5:$D$91, 4, FALSE)</f>
        <v>211.49334056657852</v>
      </c>
      <c r="J35" s="17">
        <f t="shared" si="10"/>
        <v>8.736831931960955E-3</v>
      </c>
      <c r="K35">
        <f>VLOOKUP(B35, '2010 Water Use'!$A$5:$C$91, 3, FALSE)</f>
        <v>4520</v>
      </c>
      <c r="L35">
        <f>VLOOKUP($B35, '2010 Water Use'!$A$5:$H$91, 5, FALSE)</f>
        <v>0.9305192338958328</v>
      </c>
      <c r="M35">
        <f>VLOOKUP($B35, '2010 Water Use'!$A$5:$H$91, 6, FALSE)</f>
        <v>1.7930519237952931E-2</v>
      </c>
      <c r="N35">
        <f>VLOOKUP($B35, '2010 Water Use'!$A$5:$H$91,7, FALSE)</f>
        <v>0</v>
      </c>
      <c r="O35">
        <f>VLOOKUP($B35, '2010 Water Use'!$A$5:$H$91, 8, FALSE)</f>
        <v>5.1550242809114681E-2</v>
      </c>
    </row>
    <row r="36" spans="2:15">
      <c r="B36" t="s">
        <v>48</v>
      </c>
      <c r="C36">
        <v>5476</v>
      </c>
      <c r="D36">
        <v>57</v>
      </c>
      <c r="E36">
        <v>11.96</v>
      </c>
      <c r="F36">
        <v>166.8</v>
      </c>
      <c r="G36" s="17"/>
      <c r="H36" s="17"/>
      <c r="I36" s="17"/>
      <c r="J36" s="17"/>
    </row>
    <row r="37" spans="2:15">
      <c r="B37" t="s">
        <v>49</v>
      </c>
      <c r="C37">
        <v>7979</v>
      </c>
      <c r="D37">
        <v>41.7</v>
      </c>
      <c r="E37">
        <v>6.91</v>
      </c>
      <c r="F37">
        <v>1154.7</v>
      </c>
      <c r="G37" s="17">
        <f t="shared" ref="G37:G40" si="11">C37/$G$18</f>
        <v>1.7271946021651084E-2</v>
      </c>
      <c r="H37" s="17">
        <f>VLOOKUP(B37, '2010 Water Rates'!$A$5:$F$88, 6, FALSE)</f>
        <v>325.851</v>
      </c>
      <c r="I37" s="17">
        <f>VLOOKUP(B37, '2010 Water Use'!$A$5:$D$91, 4, FALSE)</f>
        <v>230.2760101722838</v>
      </c>
      <c r="J37" s="17">
        <f t="shared" ref="J37:J41" si="12">K37/$J$18</f>
        <v>1.5308785155117426E-2</v>
      </c>
      <c r="K37">
        <f>VLOOKUP(B37, '2010 Water Use'!$A$5:$C$91, 3, FALSE)</f>
        <v>7920</v>
      </c>
      <c r="L37">
        <f>VLOOKUP($B37, '2010 Water Use'!$A$5:$H$91, 5, FALSE)</f>
        <v>0.7576973874918973</v>
      </c>
      <c r="M37">
        <f>VLOOKUP($B37, '2010 Water Use'!$A$5:$H$91, 6, FALSE)</f>
        <v>1.2237505506877482E-2</v>
      </c>
      <c r="N37">
        <f>VLOOKUP($B37, '2010 Water Use'!$A$5:$H$91,7, FALSE)</f>
        <v>0</v>
      </c>
      <c r="O37">
        <f>VLOOKUP($B37, '2010 Water Use'!$A$5:$H$91, 8, FALSE)</f>
        <v>0.23006510352929663</v>
      </c>
    </row>
    <row r="38" spans="2:15">
      <c r="B38" t="s">
        <v>50</v>
      </c>
      <c r="C38">
        <v>8426</v>
      </c>
      <c r="D38">
        <v>10.1</v>
      </c>
      <c r="E38">
        <v>4.57</v>
      </c>
      <c r="F38">
        <v>1843.8</v>
      </c>
      <c r="G38" s="17">
        <f t="shared" si="11"/>
        <v>1.8239555981756115E-2</v>
      </c>
      <c r="H38" s="17">
        <f>VLOOKUP(B38, '2010 Water Rates'!$A$5:$F$88, 6, FALSE)</f>
        <v>179.21805000000001</v>
      </c>
      <c r="I38" s="17">
        <f>VLOOKUP(B38, '2010 Water Use'!$A$5:$D$91, 4, FALSE)</f>
        <v>313.25453306932582</v>
      </c>
      <c r="J38" s="17">
        <f t="shared" si="12"/>
        <v>1.6294578138590896E-2</v>
      </c>
      <c r="K38">
        <f>VLOOKUP(B38, '2010 Water Use'!$A$5:$C$91, 3, FALSE)</f>
        <v>8430</v>
      </c>
      <c r="L38">
        <f>VLOOKUP($B38, '2010 Water Use'!$A$5:$H$91, 5, FALSE)</f>
        <v>0.64773495554184557</v>
      </c>
      <c r="M38">
        <f>VLOOKUP($B38, '2010 Water Use'!$A$5:$H$91, 6, FALSE)</f>
        <v>4.8343475321162947E-2</v>
      </c>
      <c r="N38">
        <f>VLOOKUP($B38, '2010 Water Use'!$A$5:$H$91,7, FALSE)</f>
        <v>2.0283975659229209E-3</v>
      </c>
      <c r="O38">
        <f>VLOOKUP($B38, '2010 Water Use'!$A$5:$H$91, 8, FALSE)</f>
        <v>0.30189317106152808</v>
      </c>
    </row>
    <row r="39" spans="2:15">
      <c r="B39" t="s">
        <v>51</v>
      </c>
      <c r="C39">
        <v>36884</v>
      </c>
      <c r="D39">
        <v>12.2</v>
      </c>
      <c r="E39">
        <v>7.92</v>
      </c>
      <c r="F39">
        <v>4657.1000000000004</v>
      </c>
      <c r="G39" s="17">
        <f t="shared" si="11"/>
        <v>7.9841892099583728E-2</v>
      </c>
      <c r="H39" s="17">
        <f>VLOOKUP(B39, '2010 Water Rates'!$A$5:$F$88, 6, FALSE)</f>
        <v>208.54464000000002</v>
      </c>
      <c r="I39" s="17">
        <f>VLOOKUP(B39, '2010 Water Use'!$A$5:$D$91, 4, FALSE)</f>
        <v>200.1947059494438</v>
      </c>
      <c r="J39" s="17">
        <f t="shared" si="12"/>
        <v>7.0551850778003286E-2</v>
      </c>
      <c r="K39">
        <f>VLOOKUP(B39, '2010 Water Use'!$A$5:$C$91, 3, FALSE)</f>
        <v>36500</v>
      </c>
      <c r="L39">
        <f>VLOOKUP($B39, '2010 Water Use'!$A$5:$H$91, 5, FALSE)</f>
        <v>0.90656077693541648</v>
      </c>
      <c r="M39">
        <f>VLOOKUP($B39, '2010 Water Use'!$A$5:$H$91, 6, FALSE)</f>
        <v>2.2871105681124004E-2</v>
      </c>
      <c r="N39">
        <f>VLOOKUP($B39, '2010 Water Use'!$A$5:$H$91,7, FALSE)</f>
        <v>0</v>
      </c>
      <c r="O39">
        <f>VLOOKUP($B39, '2010 Water Use'!$A$5:$H$91, 8, FALSE)</f>
        <v>7.0568112400733046E-2</v>
      </c>
    </row>
    <row r="40" spans="2:15">
      <c r="B40" t="s">
        <v>52</v>
      </c>
      <c r="C40">
        <v>16532</v>
      </c>
      <c r="D40">
        <v>15</v>
      </c>
      <c r="E40">
        <v>3.69</v>
      </c>
      <c r="F40">
        <v>4480.2</v>
      </c>
      <c r="G40" s="17">
        <f t="shared" si="11"/>
        <v>3.5786415795204377E-2</v>
      </c>
      <c r="H40" s="17">
        <f>VLOOKUP(B40, '2010 Water Rates'!$A$5:$F$88, 6, FALSE)</f>
        <v>423.60630000000003</v>
      </c>
      <c r="I40" s="17">
        <f>VLOOKUP(B40, '2010 Water Use'!$A$5:$D$91, 4, FALSE)</f>
        <v>230.69295201151309</v>
      </c>
      <c r="J40" s="17">
        <f t="shared" si="12"/>
        <v>3.1951290229051896E-2</v>
      </c>
      <c r="K40">
        <f>VLOOKUP(B40, '2010 Water Use'!$A$5:$C$91, 3, FALSE)</f>
        <v>16530</v>
      </c>
      <c r="L40">
        <f>VLOOKUP($B40, '2010 Water Use'!$A$5:$H$91, 5, FALSE)</f>
        <v>0.76036520651017003</v>
      </c>
      <c r="M40">
        <f>VLOOKUP($B40, '2010 Water Use'!$A$5:$H$91, 6, FALSE)</f>
        <v>2.7086503570174409E-2</v>
      </c>
      <c r="N40">
        <f>VLOOKUP($B40, '2010 Water Use'!$A$5:$H$91,7, FALSE)</f>
        <v>0</v>
      </c>
      <c r="O40">
        <f>VLOOKUP($B40, '2010 Water Use'!$A$5:$H$91, 8, FALSE)</f>
        <v>0.21254828514573332</v>
      </c>
    </row>
    <row r="41" spans="2:15">
      <c r="B41" t="s">
        <v>53</v>
      </c>
      <c r="C41">
        <v>6051</v>
      </c>
      <c r="D41">
        <v>42</v>
      </c>
      <c r="E41">
        <v>4.72</v>
      </c>
      <c r="F41">
        <v>1295.7</v>
      </c>
      <c r="G41" s="17"/>
      <c r="H41" s="17"/>
      <c r="I41" s="17">
        <f>VLOOKUP(B41, '2010 Water Use'!$A$5:$D$91, 4, FALSE)</f>
        <v>246.29395447342006</v>
      </c>
      <c r="J41" s="17">
        <f t="shared" si="12"/>
        <v>1.1694210882381366E-2</v>
      </c>
      <c r="K41">
        <f>VLOOKUP(B41, '2010 Water Use'!$A$5:$C$91, 3, FALSE)</f>
        <v>6050</v>
      </c>
      <c r="L41">
        <f>VLOOKUP($B41, '2010 Water Use'!$A$5:$H$91, 5, FALSE)</f>
        <v>0.92211370919693059</v>
      </c>
      <c r="M41">
        <f>VLOOKUP($B41, '2010 Water Use'!$A$5:$H$91, 6, FALSE)</f>
        <v>3.5947516625726442E-2</v>
      </c>
      <c r="N41">
        <f>VLOOKUP($B41, '2010 Water Use'!$A$5:$H$91,7, FALSE)</f>
        <v>0</v>
      </c>
      <c r="O41">
        <f>VLOOKUP($B41, '2010 Water Use'!$A$5:$H$91, 8, FALSE)</f>
        <v>4.1938769396680849E-2</v>
      </c>
    </row>
    <row r="42" spans="2:15">
      <c r="B42" t="s">
        <v>111</v>
      </c>
      <c r="C42">
        <v>1571</v>
      </c>
      <c r="D42">
        <v>168.1</v>
      </c>
      <c r="E42">
        <v>5.85</v>
      </c>
      <c r="F42">
        <v>268.5</v>
      </c>
      <c r="G42" s="17">
        <f t="shared" ref="G42:G47" si="13">C42/$G$18</f>
        <v>3.4007052512863584E-3</v>
      </c>
      <c r="H42" s="17">
        <f>VLOOKUP(B42, '2010 Water Rates'!$A$5:$F$88, 6, FALSE)</f>
        <v>423.60630000000003</v>
      </c>
      <c r="I42" s="17"/>
      <c r="J42" s="17"/>
      <c r="K42">
        <f>VLOOKUP(B42, '2010 Water Use'!$A$5:$C$91, 3, FALSE)</f>
        <v>1320</v>
      </c>
      <c r="L42">
        <f>VLOOKUP($B42, '2010 Water Use'!$A$5:$H$91, 5, FALSE)</f>
        <v>0.97695852207704936</v>
      </c>
      <c r="M42">
        <f>VLOOKUP($B42, '2010 Water Use'!$A$5:$H$91, 6, FALSE)</f>
        <v>0</v>
      </c>
      <c r="N42">
        <f>VLOOKUP($B42, '2010 Water Use'!$A$5:$H$91,7, FALSE)</f>
        <v>0</v>
      </c>
      <c r="O42">
        <f>VLOOKUP($B42, '2010 Water Use'!$A$5:$H$91, 8, FALSE)</f>
        <v>2.3041474654377878E-2</v>
      </c>
    </row>
    <row r="43" spans="2:15">
      <c r="B43" t="s">
        <v>54</v>
      </c>
      <c r="C43">
        <v>5122</v>
      </c>
      <c r="D43">
        <v>-1.6</v>
      </c>
      <c r="E43">
        <v>1.31</v>
      </c>
      <c r="F43">
        <v>3909.9</v>
      </c>
      <c r="G43" s="17">
        <f t="shared" si="13"/>
        <v>1.1087468043977549E-2</v>
      </c>
      <c r="H43" s="17">
        <f>VLOOKUP(B43, '2010 Water Rates'!$A$5:$F$88, 6, FALSE)</f>
        <v>19.55106</v>
      </c>
      <c r="I43" s="17">
        <f>VLOOKUP(B43, '2010 Water Use'!$A$5:$D$91, 4, FALSE)</f>
        <v>161.72260438626256</v>
      </c>
      <c r="J43" s="17">
        <f t="shared" ref="J43:J47" si="14">K43/$J$18</f>
        <v>9.8965883831062147E-3</v>
      </c>
      <c r="K43">
        <f>VLOOKUP(B43, '2010 Water Use'!$A$5:$C$91, 3, FALSE)</f>
        <v>5120</v>
      </c>
      <c r="L43">
        <f>VLOOKUP($B43, '2010 Water Use'!$A$5:$H$91, 5, FALSE)</f>
        <v>0.80420485170422651</v>
      </c>
      <c r="M43">
        <f>VLOOKUP($B43, '2010 Water Use'!$A$5:$H$91, 6, FALSE)</f>
        <v>0.13466307277628034</v>
      </c>
      <c r="N43">
        <f>VLOOKUP($B43, '2010 Water Use'!$A$5:$H$91,7, FALSE)</f>
        <v>0</v>
      </c>
      <c r="O43">
        <f>VLOOKUP($B43, '2010 Water Use'!$A$5:$H$91, 8, FALSE)</f>
        <v>6.1132075471698126E-2</v>
      </c>
    </row>
    <row r="44" spans="2:15">
      <c r="B44" t="s">
        <v>55</v>
      </c>
      <c r="C44">
        <v>24331</v>
      </c>
      <c r="D44">
        <v>158.9</v>
      </c>
      <c r="E44">
        <v>9.58</v>
      </c>
      <c r="F44">
        <v>2542.4</v>
      </c>
      <c r="G44" s="17">
        <f t="shared" si="13"/>
        <v>5.2668720222182296E-2</v>
      </c>
      <c r="H44" s="17">
        <f>VLOOKUP(B44, '2010 Water Rates'!$A$5:$F$88, 6, FALSE)</f>
        <v>537.65414999999996</v>
      </c>
      <c r="I44" s="17">
        <f>VLOOKUP(B44, '2010 Water Use'!$A$5:$D$91, 4, FALSE)</f>
        <v>218.34608951108149</v>
      </c>
      <c r="J44" s="17">
        <f t="shared" si="14"/>
        <v>4.702812409394027E-2</v>
      </c>
      <c r="K44">
        <f>VLOOKUP(B44, '2010 Water Use'!$A$5:$C$91, 3, FALSE)</f>
        <v>24330</v>
      </c>
      <c r="L44">
        <f>VLOOKUP($B44, '2010 Water Use'!$A$5:$H$91, 5, FALSE)</f>
        <v>0.75632708859644215</v>
      </c>
      <c r="M44">
        <f>VLOOKUP($B44, '2010 Water Use'!$A$5:$H$91, 6, FALSE)</f>
        <v>0.11595469364433839</v>
      </c>
      <c r="N44">
        <f>VLOOKUP($B44, '2010 Water Use'!$A$5:$H$91,7, FALSE)</f>
        <v>0</v>
      </c>
      <c r="O44">
        <f>VLOOKUP($B44, '2010 Water Use'!$A$5:$H$91, 8, FALSE)</f>
        <v>0.12771821328941618</v>
      </c>
    </row>
    <row r="45" spans="2:15">
      <c r="B45" t="s">
        <v>56</v>
      </c>
      <c r="C45">
        <v>1322</v>
      </c>
      <c r="D45">
        <v>17.3</v>
      </c>
      <c r="E45">
        <v>1.06</v>
      </c>
      <c r="F45">
        <v>1247.2</v>
      </c>
      <c r="G45" s="17">
        <f t="shared" si="13"/>
        <v>2.8617010453218113E-3</v>
      </c>
      <c r="H45" s="17">
        <f>VLOOKUP(B45, '2010 Water Rates'!$A$5:$F$88, 6, FALSE)</f>
        <v>977.553</v>
      </c>
      <c r="I45" s="17">
        <f>VLOOKUP(B45, '2010 Water Use'!$A$5:$D$91, 4, FALSE)</f>
        <v>366.09252818911517</v>
      </c>
      <c r="J45" s="17">
        <f t="shared" si="14"/>
        <v>2.5514641925195708E-3</v>
      </c>
      <c r="K45">
        <f>VLOOKUP(B45, '2010 Water Use'!$A$5:$C$91, 3, FALSE)</f>
        <v>1320</v>
      </c>
      <c r="L45">
        <f>VLOOKUP($B45, '2010 Water Use'!$A$5:$H$91, 5, FALSE)</f>
        <v>0.88435248213825868</v>
      </c>
      <c r="M45">
        <f>VLOOKUP($B45, '2010 Water Use'!$A$5:$H$91, 6, FALSE)</f>
        <v>9.237021984112323E-2</v>
      </c>
      <c r="N45">
        <f>VLOOKUP($B45, '2010 Water Use'!$A$5:$H$91,7, FALSE)</f>
        <v>4.8032514317384086E-3</v>
      </c>
      <c r="O45">
        <f>VLOOKUP($B45, '2010 Water Use'!$A$5:$H$91, 8, FALSE)</f>
        <v>1.8474043968224642E-2</v>
      </c>
    </row>
    <row r="46" spans="2:15">
      <c r="B46" t="s">
        <v>57</v>
      </c>
      <c r="C46">
        <v>9067</v>
      </c>
      <c r="D46">
        <v>6</v>
      </c>
      <c r="E46">
        <v>1.97</v>
      </c>
      <c r="F46">
        <v>4602.5</v>
      </c>
      <c r="G46" s="17">
        <f t="shared" si="13"/>
        <v>1.9627112993897779E-2</v>
      </c>
      <c r="H46" s="17">
        <f>VLOOKUP(B46, '2010 Water Rates'!$A$5:$F$88, 6, FALSE)</f>
        <v>293.26589999999999</v>
      </c>
      <c r="I46" s="17">
        <f>VLOOKUP(B46, '2010 Water Use'!$A$5:$D$91, 4, FALSE)</f>
        <v>173.03675137389919</v>
      </c>
      <c r="J46" s="17">
        <f t="shared" si="14"/>
        <v>1.7531651686479174E-2</v>
      </c>
      <c r="K46">
        <f>VLOOKUP(B46, '2010 Water Use'!$A$5:$C$91, 3, FALSE)</f>
        <v>9070</v>
      </c>
      <c r="L46">
        <f>VLOOKUP($B46, '2010 Water Use'!$A$5:$H$91, 5, FALSE)</f>
        <v>0.96131967641296712</v>
      </c>
      <c r="M46">
        <f>VLOOKUP($B46, '2010 Water Use'!$A$5:$H$91, 6, FALSE)</f>
        <v>2.4459613196814559E-2</v>
      </c>
      <c r="N46">
        <f>VLOOKUP($B46, '2010 Water Use'!$A$5:$H$91,7, FALSE)</f>
        <v>0</v>
      </c>
      <c r="O46">
        <f>VLOOKUP($B46, '2010 Water Use'!$A$5:$H$91, 8, FALSE)</f>
        <v>1.4220705346985212E-2</v>
      </c>
    </row>
    <row r="47" spans="2:15">
      <c r="B47" t="s">
        <v>58</v>
      </c>
      <c r="C47">
        <v>5265</v>
      </c>
      <c r="D47">
        <v>17.399999999999999</v>
      </c>
      <c r="E47">
        <v>3.26</v>
      </c>
      <c r="F47">
        <v>1620</v>
      </c>
      <c r="G47" s="17">
        <f t="shared" si="13"/>
        <v>1.1397016644190119E-2</v>
      </c>
      <c r="H47" s="17">
        <f>VLOOKUP(B47, '2010 Water Rates'!$A$5:$F$88, 6, FALSE)</f>
        <v>195.51059999999998</v>
      </c>
      <c r="I47" s="17">
        <f>VLOOKUP(B47, '2010 Water Use'!$A$5:$D$91, 4, FALSE)</f>
        <v>371.10692825205081</v>
      </c>
      <c r="J47" s="17">
        <f t="shared" si="14"/>
        <v>1.0186527495892529E-2</v>
      </c>
      <c r="K47">
        <f>VLOOKUP(B47, '2010 Water Use'!$A$5:$C$91, 3, FALSE)</f>
        <v>5270</v>
      </c>
      <c r="L47">
        <f>VLOOKUP($B47, '2010 Water Use'!$A$5:$H$91, 5, FALSE)</f>
        <v>0.7043867218188874</v>
      </c>
      <c r="M47">
        <f>VLOOKUP($B47, '2010 Water Use'!$A$5:$H$91, 6, FALSE)</f>
        <v>0.14292235358561189</v>
      </c>
      <c r="N47">
        <f>VLOOKUP($B47, '2010 Water Use'!$A$5:$H$91,7, FALSE)</f>
        <v>2.3828000182590042E-2</v>
      </c>
      <c r="O47">
        <f>VLOOKUP($B47, '2010 Water Use'!$A$5:$H$91, 8, FALSE)</f>
        <v>0.12886292052768522</v>
      </c>
    </row>
    <row r="48" spans="2:15">
      <c r="B48" t="s">
        <v>59</v>
      </c>
      <c r="C48">
        <v>10272</v>
      </c>
      <c r="D48">
        <v>158.4</v>
      </c>
      <c r="E48">
        <v>10.3</v>
      </c>
      <c r="F48">
        <v>997.3</v>
      </c>
      <c r="G48" s="17"/>
      <c r="H48" s="17"/>
      <c r="I48" s="17"/>
      <c r="J48" s="17"/>
    </row>
    <row r="49" spans="1:15">
      <c r="B49" t="s">
        <v>60</v>
      </c>
      <c r="C49">
        <v>9511</v>
      </c>
      <c r="D49">
        <v>57.6</v>
      </c>
      <c r="E49">
        <v>7.34</v>
      </c>
      <c r="F49">
        <v>1302.9000000000001</v>
      </c>
      <c r="G49" s="17">
        <f t="shared" ref="G49:G51" si="15">C49/$G$18</f>
        <v>2.0588228927424925E-2</v>
      </c>
      <c r="H49" s="17">
        <f>VLOOKUP(B49, '2010 Water Rates'!$A$5:$F$88, 6, FALSE)</f>
        <v>407.31375000000003</v>
      </c>
      <c r="I49" s="17">
        <f>VLOOKUP(B49, '2010 Water Use'!$A$5:$D$91, 4, FALSE)</f>
        <v>268.47427242374272</v>
      </c>
      <c r="J49" s="17">
        <f t="shared" ref="J49:J51" si="16">K49/$J$18</f>
        <v>1.6429883057891177E-2</v>
      </c>
      <c r="K49">
        <f>VLOOKUP(B49, '2010 Water Use'!$A$5:$C$91, 3, FALSE)</f>
        <v>8500</v>
      </c>
      <c r="L49">
        <f>VLOOKUP($B49, '2010 Water Use'!$A$5:$H$91, 5, FALSE)</f>
        <v>0.77224003888986581</v>
      </c>
      <c r="M49">
        <f>VLOOKUP($B49, '2010 Water Use'!$A$5:$H$91, 6, FALSE)</f>
        <v>1.6117674673343244E-2</v>
      </c>
      <c r="N49">
        <f>VLOOKUP($B49, '2010 Water Use'!$A$5:$H$91,7, FALSE)</f>
        <v>0</v>
      </c>
      <c r="O49">
        <f>VLOOKUP($B49, '2010 Water Use'!$A$5:$H$91, 8, FALSE)</f>
        <v>0.21164228151161882</v>
      </c>
    </row>
    <row r="50" spans="1:15">
      <c r="B50" t="s">
        <v>61</v>
      </c>
      <c r="C50">
        <v>1772</v>
      </c>
      <c r="D50">
        <v>8.6999999999999993</v>
      </c>
      <c r="E50">
        <v>7.2</v>
      </c>
      <c r="F50">
        <v>312.5</v>
      </c>
      <c r="G50" s="17">
        <f t="shared" si="15"/>
        <v>3.8358050320047277E-3</v>
      </c>
      <c r="H50" s="17">
        <f>VLOOKUP(B50, '2010 Water Rates'!$A$5:$F$88, 6, FALSE)</f>
        <v>358.43610000000001</v>
      </c>
      <c r="I50" s="17">
        <f>VLOOKUP(B50, '2010 Water Use'!$A$5:$D$91, 4, FALSE)</f>
        <v>272.61840344654655</v>
      </c>
      <c r="J50" s="17">
        <f t="shared" si="16"/>
        <v>3.3826229825070068E-3</v>
      </c>
      <c r="K50">
        <f>VLOOKUP(B50, '2010 Water Use'!$A$5:$C$91, 3, FALSE)</f>
        <v>1750</v>
      </c>
      <c r="L50">
        <f>VLOOKUP($B50, '2010 Water Use'!$A$5:$H$91, 5, FALSE)</f>
        <v>0.81886227483525065</v>
      </c>
      <c r="M50">
        <f>VLOOKUP($B50, '2010 Water Use'!$A$5:$H$91, 6, FALSE)</f>
        <v>0.12200598802395209</v>
      </c>
      <c r="N50">
        <f>VLOOKUP($B50, '2010 Water Use'!$A$5:$H$91,7, FALSE)</f>
        <v>9.3562874251496995E-4</v>
      </c>
      <c r="O50">
        <f>VLOOKUP($B50, '2010 Water Use'!$A$5:$H$91, 8, FALSE)</f>
        <v>5.8196107784431135E-2</v>
      </c>
    </row>
    <row r="51" spans="1:15">
      <c r="B51" t="s">
        <v>62</v>
      </c>
      <c r="C51">
        <v>9761</v>
      </c>
      <c r="D51">
        <v>52.1</v>
      </c>
      <c r="E51">
        <v>3.89</v>
      </c>
      <c r="F51">
        <v>2515.6999999999998</v>
      </c>
      <c r="G51" s="17">
        <f t="shared" si="15"/>
        <v>2.1129397808915432E-2</v>
      </c>
      <c r="H51" s="17">
        <f>VLOOKUP(B51, '2010 Water Rates'!$A$5:$F$88, 6, FALSE)</f>
        <v>521.36160000000007</v>
      </c>
      <c r="I51" s="17">
        <f>VLOOKUP(B51, '2010 Water Use'!$A$5:$D$91, 4, FALSE)</f>
        <v>215.75857779580429</v>
      </c>
      <c r="J51" s="17">
        <f t="shared" si="16"/>
        <v>1.8865371605296222E-2</v>
      </c>
      <c r="K51">
        <f>VLOOKUP(B51, '2010 Water Use'!$A$5:$C$91, 3, FALSE)</f>
        <v>9760</v>
      </c>
      <c r="L51">
        <f>VLOOKUP($B51, '2010 Water Use'!$A$5:$H$91, 5, FALSE)</f>
        <v>0.79989824865079506</v>
      </c>
      <c r="M51">
        <f>VLOOKUP($B51, '2010 Water Use'!$A$5:$H$91, 6, FALSE)</f>
        <v>4.358148210954723E-2</v>
      </c>
      <c r="N51">
        <f>VLOOKUP($B51, '2010 Water Use'!$A$5:$H$91,7, FALSE)</f>
        <v>3.4509072409699852E-2</v>
      </c>
      <c r="O51">
        <f>VLOOKUP($B51, '2010 Water Use'!$A$5:$H$91, 8, FALSE)</f>
        <v>0.12201119213159235</v>
      </c>
    </row>
    <row r="52" spans="1:15">
      <c r="G52" s="19">
        <f>G18/C18</f>
        <v>0.84768674915453912</v>
      </c>
      <c r="H52" s="20" t="s">
        <v>145</v>
      </c>
      <c r="I52" s="17"/>
      <c r="J52" s="17"/>
      <c r="K52" s="19">
        <f>K18/C18</f>
        <v>0.94932005306723866</v>
      </c>
    </row>
    <row r="53" spans="1:15">
      <c r="H53" s="17"/>
      <c r="I53" s="17"/>
      <c r="J53" s="17"/>
    </row>
    <row r="54" spans="1:15">
      <c r="A54" t="s">
        <v>65</v>
      </c>
      <c r="C54" s="5">
        <f>SUM(C55:C74)</f>
        <v>1016219</v>
      </c>
      <c r="D54" s="5">
        <f>AVERAGE(D55:D74)</f>
        <v>96.975000000000009</v>
      </c>
      <c r="E54" s="5">
        <f>SUM(E55:E74)</f>
        <v>379.87</v>
      </c>
      <c r="F54" s="5">
        <f>C54/E54</f>
        <v>2675.1757180087925</v>
      </c>
      <c r="G54" s="5">
        <f>C55+C57+C60+C61+C62+C63+C65+C68+C69+C71+C74+C67</f>
        <v>601668</v>
      </c>
      <c r="H54" s="22">
        <f>H55*G55+H57*G57+H60*G60+H61*G61+H62*G62+H63*G63+H65*G65+H67*G67+H68*G68+H69*G69+H71*G71+H74*G74</f>
        <v>484.20355422088255</v>
      </c>
      <c r="I54" s="21">
        <f>I55*$J$55+I57*$J$57+I59*$J$59+I60*$J$60+I61*$J$61+I62*$J$62+I63*$J$63+I65*$J$65+I66*$J$66+I67*$J$67+I68*$J$68+I69*$J$69+I70*$J$70+I71*$J$71+I72*$J$72+I73*$J$73+I74*$J$74</f>
        <v>212.67646300461283</v>
      </c>
      <c r="J54" s="37">
        <f>K54</f>
        <v>997190</v>
      </c>
      <c r="K54" s="5">
        <f>SUM(K55:K74)</f>
        <v>997190</v>
      </c>
      <c r="L54" s="21">
        <f t="shared" ref="L54:O54" si="17">L55*$J$55+L57*$J$57+L59*$J$59+L60*$J$60+L61*$J$61+L62*$J$62+L63*$J$63+L65*$J$65+L66*$J$66+L67*$J$67+L68*$J$68+L69*$J$69+L70*$J$70+L71*$J$71+L72*$J$72+L73*$J$73+L74*$J$74</f>
        <v>0.69717666591579841</v>
      </c>
      <c r="M54" s="21">
        <f t="shared" si="17"/>
        <v>0.10721069120226863</v>
      </c>
      <c r="N54" s="21">
        <f t="shared" si="17"/>
        <v>2.0217324610580612E-2</v>
      </c>
      <c r="O54" s="21">
        <f t="shared" si="17"/>
        <v>0.17539531795211072</v>
      </c>
    </row>
    <row r="55" spans="1:15">
      <c r="B55" t="s">
        <v>66</v>
      </c>
      <c r="C55">
        <v>7598</v>
      </c>
      <c r="D55">
        <v>61.7</v>
      </c>
      <c r="E55">
        <v>10.220000000000001</v>
      </c>
      <c r="F55">
        <v>743.4</v>
      </c>
      <c r="G55" s="17">
        <f>C55/$G$54</f>
        <v>1.2628226862655152E-2</v>
      </c>
      <c r="H55" s="17">
        <f>VLOOKUP(B55, '2010 Water Rates'!$A$5:$F$88, 6, FALSE)</f>
        <v>430.12332000000004</v>
      </c>
      <c r="I55" s="17">
        <f>VLOOKUP(B55, '2010 Water Use'!$A$5:$D$91, 4, FALSE)</f>
        <v>194.55134816685143</v>
      </c>
      <c r="J55" s="17">
        <f>K55/$J$54</f>
        <v>8.3133605431261852E-3</v>
      </c>
      <c r="K55">
        <f>VLOOKUP(B55, '2010 Water Use'!$A$5:$C$91, 3, FALSE)</f>
        <v>8290</v>
      </c>
      <c r="L55">
        <f>VLOOKUP($B55, '2010 Water Use'!$A$5:$H$91, 5, FALSE)</f>
        <v>0.78954942864137001</v>
      </c>
      <c r="M55">
        <f>VLOOKUP($B55, '2010 Water Use'!$A$5:$H$91, 6, FALSE)</f>
        <v>0.11291929591497843</v>
      </c>
      <c r="N55">
        <f>VLOOKUP($B55, '2010 Water Use'!$A$5:$H$91,7, FALSE)</f>
        <v>0</v>
      </c>
      <c r="O55">
        <f>VLOOKUP($B55, '2010 Water Use'!$A$5:$H$91, 8, FALSE)</f>
        <v>9.7531274216760777E-2</v>
      </c>
    </row>
    <row r="56" spans="1:15">
      <c r="B56" t="s">
        <v>67</v>
      </c>
      <c r="C56">
        <v>33433</v>
      </c>
      <c r="D56">
        <v>21.3</v>
      </c>
      <c r="E56">
        <v>8.83</v>
      </c>
      <c r="F56">
        <v>3786.3</v>
      </c>
      <c r="G56" s="17"/>
      <c r="H56" s="17"/>
      <c r="I56" s="17"/>
      <c r="J56" s="17"/>
    </row>
    <row r="57" spans="1:15">
      <c r="B57" t="s">
        <v>68</v>
      </c>
      <c r="C57">
        <v>42274</v>
      </c>
      <c r="D57">
        <v>67.599999999999994</v>
      </c>
      <c r="E57">
        <v>30.1</v>
      </c>
      <c r="F57">
        <v>1405.4</v>
      </c>
      <c r="G57" s="17">
        <f>C57/$G$54</f>
        <v>7.0261340141074477E-2</v>
      </c>
      <c r="H57" s="17">
        <f>VLOOKUP(B57, '2010 Water Rates'!$A$5:$F$88, 6, FALSE)</f>
        <v>488.7765</v>
      </c>
      <c r="I57" s="17">
        <f>VLOOKUP(B57, '2010 Water Use'!$A$5:$D$91, 4, FALSE)</f>
        <v>276.97429763178735</v>
      </c>
      <c r="J57" s="17">
        <f>K57/$J$54</f>
        <v>4.2409169767045396E-2</v>
      </c>
      <c r="K57">
        <f>VLOOKUP(B57, '2010 Water Use'!$A$5:$C$91, 3, FALSE)</f>
        <v>42290</v>
      </c>
      <c r="L57">
        <f>VLOOKUP($B57, '2010 Water Use'!$A$5:$H$91, 5, FALSE)</f>
        <v>0.76118160670012291</v>
      </c>
      <c r="M57">
        <f>VLOOKUP($B57, '2010 Water Use'!$A$5:$H$91, 6, FALSE)</f>
        <v>7.834876087116166E-2</v>
      </c>
      <c r="N57">
        <f>VLOOKUP($B57, '2010 Water Use'!$A$5:$H$91,7, FALSE)</f>
        <v>2.5261478466911177E-4</v>
      </c>
      <c r="O57">
        <f>VLOOKUP($B57, '2010 Water Use'!$A$5:$H$91, 8, FALSE)</f>
        <v>0.16021701543642433</v>
      </c>
    </row>
    <row r="58" spans="1:15">
      <c r="B58" t="s">
        <v>69</v>
      </c>
      <c r="C58">
        <v>1932</v>
      </c>
      <c r="D58">
        <v>-2.9</v>
      </c>
      <c r="E58">
        <v>2.0699999999999998</v>
      </c>
      <c r="F58">
        <v>933.3</v>
      </c>
      <c r="G58" s="17"/>
      <c r="H58" s="17"/>
      <c r="I58" s="17"/>
      <c r="J58" s="17"/>
    </row>
    <row r="59" spans="1:15">
      <c r="B59" t="s">
        <v>70</v>
      </c>
      <c r="C59">
        <v>21785</v>
      </c>
      <c r="D59">
        <v>1330.4</v>
      </c>
      <c r="E59">
        <v>20.27</v>
      </c>
      <c r="F59">
        <v>1074.7</v>
      </c>
      <c r="G59" s="17"/>
      <c r="H59" s="17"/>
      <c r="I59" s="17">
        <f>VLOOKUP(B59, '2010 Water Use'!$A$5:$D$91, 4, FALSE)</f>
        <v>207.28942139380203</v>
      </c>
      <c r="J59" s="17">
        <f t="shared" ref="J59:J63" si="18">K59/$J$54</f>
        <v>2.1851402440858814E-2</v>
      </c>
      <c r="K59">
        <f>VLOOKUP(B59, '2010 Water Use'!$A$5:$C$91, 3, FALSE)</f>
        <v>21790</v>
      </c>
      <c r="L59">
        <f>VLOOKUP($B59, '2010 Water Use'!$A$5:$H$91, 5, FALSE)</f>
        <v>0.96363276973866574</v>
      </c>
      <c r="M59">
        <f>VLOOKUP($B59, '2010 Water Use'!$A$5:$H$91, 6, FALSE)</f>
        <v>6.7200316236782302E-3</v>
      </c>
      <c r="N59">
        <f>VLOOKUP($B59, '2010 Water Use'!$A$5:$H$91,7, FALSE)</f>
        <v>0</v>
      </c>
      <c r="O59">
        <f>VLOOKUP($B59, '2010 Water Use'!$A$5:$H$91, 8, FALSE)</f>
        <v>2.9647198339756896E-2</v>
      </c>
    </row>
    <row r="60" spans="1:15">
      <c r="B60" t="s">
        <v>71</v>
      </c>
      <c r="C60">
        <v>26472</v>
      </c>
      <c r="D60">
        <v>95.2</v>
      </c>
      <c r="E60">
        <v>7.92</v>
      </c>
      <c r="F60">
        <v>3342.4</v>
      </c>
      <c r="G60" s="17">
        <f t="shared" ref="G60:G63" si="19">C60/$G$54</f>
        <v>4.3997686431719821E-2</v>
      </c>
      <c r="H60" s="17">
        <f>VLOOKUP(B60, '2010 Water Rates'!$A$5:$F$88, 6, FALSE)</f>
        <v>342.14355</v>
      </c>
      <c r="I60" s="17">
        <f>VLOOKUP(B60, '2010 Water Use'!$A$5:$D$91, 4, FALSE)</f>
        <v>249.89085060682092</v>
      </c>
      <c r="J60" s="17">
        <f t="shared" si="18"/>
        <v>1.5042268775258476E-2</v>
      </c>
      <c r="K60">
        <f>VLOOKUP(B60, '2010 Water Use'!$A$5:$C$91, 3, FALSE)</f>
        <v>15000</v>
      </c>
      <c r="L60">
        <f>VLOOKUP($B60, '2010 Water Use'!$A$5:$H$91, 5, FALSE)</f>
        <v>0.84616667024550196</v>
      </c>
      <c r="M60">
        <f>VLOOKUP($B60, '2010 Water Use'!$A$5:$H$91, 6, FALSE)</f>
        <v>4.1679567485173971E-2</v>
      </c>
      <c r="N60">
        <f>VLOOKUP($B60, '2010 Water Use'!$A$5:$H$91,7, FALSE)</f>
        <v>0</v>
      </c>
      <c r="O60">
        <f>VLOOKUP($B60, '2010 Water Use'!$A$5:$H$91, 8, FALSE)</f>
        <v>0.11215376187867671</v>
      </c>
    </row>
    <row r="61" spans="1:15">
      <c r="B61" t="s">
        <v>72</v>
      </c>
      <c r="C61">
        <v>35731</v>
      </c>
      <c r="D61">
        <v>6.2</v>
      </c>
      <c r="E61">
        <v>4.63</v>
      </c>
      <c r="F61">
        <v>7717.3</v>
      </c>
      <c r="G61" s="17">
        <f t="shared" si="19"/>
        <v>5.9386571996516355E-2</v>
      </c>
      <c r="H61" s="17">
        <f>VLOOKUP(B61, '2010 Water Rates'!$A$5:$F$88, 6, FALSE)</f>
        <v>602.82434999999998</v>
      </c>
      <c r="I61" s="17">
        <f>VLOOKUP(B61, '2010 Water Use'!$A$5:$D$91, 4, FALSE)</f>
        <v>127.85988508409297</v>
      </c>
      <c r="J61" s="17">
        <f t="shared" si="18"/>
        <v>4.7132442162476557E-2</v>
      </c>
      <c r="K61">
        <f>VLOOKUP(B61, '2010 Water Use'!$A$5:$C$91, 3, FALSE)</f>
        <v>47000</v>
      </c>
      <c r="L61">
        <f>VLOOKUP($B61, '2010 Water Use'!$A$5:$H$91, 5, FALSE)</f>
        <v>0.81892325519208475</v>
      </c>
      <c r="M61">
        <f>VLOOKUP($B61, '2010 Water Use'!$A$5:$H$91, 6, FALSE)</f>
        <v>1.8183438809163028E-2</v>
      </c>
      <c r="N61">
        <f>VLOOKUP($B61, '2010 Water Use'!$A$5:$H$91,7, FALSE)</f>
        <v>0</v>
      </c>
      <c r="O61">
        <f>VLOOKUP($B61, '2010 Water Use'!$A$5:$H$91, 8, FALSE)</f>
        <v>0.1628933059987521</v>
      </c>
    </row>
    <row r="62" spans="1:15">
      <c r="B62" t="s">
        <v>73</v>
      </c>
      <c r="C62">
        <v>26505</v>
      </c>
      <c r="D62">
        <v>16.399999999999999</v>
      </c>
      <c r="E62">
        <v>7.92</v>
      </c>
      <c r="F62">
        <v>3346.6</v>
      </c>
      <c r="G62" s="17">
        <f t="shared" si="19"/>
        <v>4.4052533955603421E-2</v>
      </c>
      <c r="H62" s="17">
        <f>VLOOKUP(B62, '2010 Water Rates'!$A$5:$F$88, 6, FALSE)</f>
        <v>439.89885000000004</v>
      </c>
      <c r="I62" s="17">
        <f>VLOOKUP(B62, '2010 Water Use'!$A$5:$D$91, 4, FALSE)</f>
        <v>131.88138216463375</v>
      </c>
      <c r="J62" s="17">
        <f t="shared" si="18"/>
        <v>2.7076083795465257E-2</v>
      </c>
      <c r="K62">
        <f>VLOOKUP(B62, '2010 Water Use'!$A$5:$C$91, 3, FALSE)</f>
        <v>27000</v>
      </c>
      <c r="L62">
        <f>VLOOKUP($B62, '2010 Water Use'!$A$5:$H$91, 5, FALSE)</f>
        <v>0.86017650303364579</v>
      </c>
      <c r="M62">
        <f>VLOOKUP($B62, '2010 Water Use'!$A$5:$H$91, 6, FALSE)</f>
        <v>6.2678634107205531E-4</v>
      </c>
      <c r="N62">
        <f>VLOOKUP($B62, '2010 Water Use'!$A$5:$H$91,7, FALSE)</f>
        <v>0</v>
      </c>
      <c r="O62">
        <f>VLOOKUP($B62, '2010 Water Use'!$A$5:$H$91, 8, FALSE)</f>
        <v>0.13919671062528205</v>
      </c>
    </row>
    <row r="63" spans="1:15">
      <c r="B63" t="s">
        <v>74</v>
      </c>
      <c r="C63">
        <v>27964</v>
      </c>
      <c r="D63">
        <v>3.7</v>
      </c>
      <c r="E63">
        <v>5.93</v>
      </c>
      <c r="F63">
        <v>4715.7</v>
      </c>
      <c r="G63" s="17">
        <f t="shared" si="19"/>
        <v>4.647745932973002E-2</v>
      </c>
      <c r="H63" s="17">
        <f>VLOOKUP(B63, '2010 Water Rates'!$A$5:$F$88, 6, FALSE)</f>
        <v>309.55844999999999</v>
      </c>
      <c r="I63" s="17">
        <f>VLOOKUP(B63, '2010 Water Use'!$A$5:$D$91, 4, FALSE)</f>
        <v>264.81752441828411</v>
      </c>
      <c r="J63" s="17">
        <f t="shared" si="18"/>
        <v>1.5042268775258476E-2</v>
      </c>
      <c r="K63">
        <f>VLOOKUP(B63, '2010 Water Use'!$A$5:$C$91, 3, FALSE)</f>
        <v>15000</v>
      </c>
      <c r="L63">
        <f>VLOOKUP($B63, '2010 Water Use'!$A$5:$H$91, 5, FALSE)</f>
        <v>0.53698168333520635</v>
      </c>
      <c r="M63">
        <f>VLOOKUP($B63, '2010 Water Use'!$A$5:$H$91, 6, FALSE)</f>
        <v>5.0455107315428703E-2</v>
      </c>
      <c r="N63">
        <f>VLOOKUP($B63, '2010 Water Use'!$A$5:$H$91,7, FALSE)</f>
        <v>0</v>
      </c>
      <c r="O63">
        <f>VLOOKUP($B63, '2010 Water Use'!$A$5:$H$91, 8, FALSE)</f>
        <v>0.41256320934936513</v>
      </c>
    </row>
    <row r="64" spans="1:15">
      <c r="B64" t="s">
        <v>75</v>
      </c>
      <c r="C64">
        <v>62139</v>
      </c>
      <c r="D64">
        <v>104.6</v>
      </c>
      <c r="E64">
        <v>13.65</v>
      </c>
      <c r="F64">
        <v>4552.3</v>
      </c>
      <c r="G64" s="17"/>
      <c r="H64" s="17"/>
      <c r="I64" s="17"/>
      <c r="J64" s="17"/>
    </row>
    <row r="65" spans="1:15">
      <c r="B65" t="s">
        <v>76</v>
      </c>
      <c r="C65">
        <v>46746</v>
      </c>
      <c r="D65">
        <v>37.4</v>
      </c>
      <c r="E65">
        <v>12.29</v>
      </c>
      <c r="F65">
        <v>3803.6</v>
      </c>
      <c r="G65" s="17">
        <f>C65/$G$54</f>
        <v>7.7694010650391915E-2</v>
      </c>
      <c r="H65" s="17">
        <f>VLOOKUP(B65, '2010 Water Rates'!$A$5:$F$88, 6, FALSE)</f>
        <v>417.08928000000003</v>
      </c>
      <c r="I65" s="17">
        <f>VLOOKUP(B65, '2010 Water Use'!$A$5:$D$91, 4, FALSE)</f>
        <v>253.91582254603881</v>
      </c>
      <c r="J65" s="17">
        <f t="shared" ref="J65:J74" si="20">K65/$J$54</f>
        <v>3.2090173387218084E-2</v>
      </c>
      <c r="K65">
        <f>VLOOKUP(B65, '2010 Water Use'!$A$5:$C$91, 3, FALSE)</f>
        <v>32000</v>
      </c>
      <c r="L65">
        <f>VLOOKUP($B65, '2010 Water Use'!$A$5:$H$91, 5, FALSE)</f>
        <v>0.67043893863648862</v>
      </c>
      <c r="M65">
        <f>VLOOKUP($B65, '2010 Water Use'!$A$5:$H$91, 6, FALSE)</f>
        <v>0.16480799868153603</v>
      </c>
      <c r="N65">
        <f>VLOOKUP($B65, '2010 Water Use'!$A$5:$H$91,7, FALSE)</f>
        <v>1.6480799868153602E-2</v>
      </c>
      <c r="O65">
        <f>VLOOKUP($B65, '2010 Water Use'!$A$5:$H$91, 8, FALSE)</f>
        <v>0.14827226281382191</v>
      </c>
    </row>
    <row r="66" spans="1:15">
      <c r="B66" t="s">
        <v>77</v>
      </c>
      <c r="C66">
        <v>38753</v>
      </c>
      <c r="D66">
        <v>54.9</v>
      </c>
      <c r="E66">
        <v>12.63</v>
      </c>
      <c r="F66">
        <v>3068.3</v>
      </c>
      <c r="G66" s="17"/>
      <c r="H66" s="17"/>
      <c r="I66" s="17">
        <f>VLOOKUP(B66, '2010 Water Use'!$A$5:$D$91, 4, FALSE)</f>
        <v>319.32806765113025</v>
      </c>
      <c r="J66" s="17">
        <f t="shared" si="20"/>
        <v>3.8859194336084396E-2</v>
      </c>
      <c r="K66">
        <f>VLOOKUP(B66, '2010 Water Use'!$A$5:$C$91, 3, FALSE)</f>
        <v>38750</v>
      </c>
      <c r="L66">
        <f>VLOOKUP($B66, '2010 Water Use'!$A$5:$H$91, 5, FALSE)</f>
        <v>0.7702552513261286</v>
      </c>
      <c r="M66">
        <f>VLOOKUP($B66, '2010 Water Use'!$A$5:$H$91, 6, FALSE)</f>
        <v>0.19377949006536513</v>
      </c>
      <c r="N66">
        <f>VLOOKUP($B66, '2010 Water Use'!$A$5:$H$91,7, FALSE)</f>
        <v>0</v>
      </c>
      <c r="O66">
        <f>VLOOKUP($B66, '2010 Water Use'!$A$5:$H$91, 8, FALSE)</f>
        <v>3.5965254029407097E-2</v>
      </c>
    </row>
    <row r="67" spans="1:15">
      <c r="B67" t="s">
        <v>78</v>
      </c>
      <c r="C67">
        <v>186440</v>
      </c>
      <c r="D67">
        <v>2.6</v>
      </c>
      <c r="E67">
        <v>111.73</v>
      </c>
      <c r="F67">
        <v>1678</v>
      </c>
      <c r="G67" s="17">
        <f t="shared" ref="G67:G69" si="21">C67/$G$54</f>
        <v>0.30987188948057731</v>
      </c>
      <c r="H67" s="17">
        <v>384.5</v>
      </c>
      <c r="I67" s="17">
        <f>VLOOKUP(B67, '2010 Water Use'!$A$5:$D$91, 4, FALSE)</f>
        <v>215.06209115863018</v>
      </c>
      <c r="J67" s="17">
        <f t="shared" si="20"/>
        <v>0.30636087405609763</v>
      </c>
      <c r="K67">
        <f>VLOOKUP(B67, '2010 Water Use'!$A$5:$C$91, 3, FALSE)</f>
        <v>305500</v>
      </c>
      <c r="L67">
        <f>VLOOKUP($B67, '2010 Water Use'!$A$5:$H$91, 5, FALSE)</f>
        <v>0.58948298116873976</v>
      </c>
      <c r="M67">
        <f>VLOOKUP($B67, '2010 Water Use'!$A$5:$H$91, 6, FALSE)</f>
        <v>0.11945104966369999</v>
      </c>
      <c r="N67">
        <f>VLOOKUP($B67, '2010 Water Use'!$A$5:$H$91,7, FALSE)</f>
        <v>4.615802703988043E-2</v>
      </c>
      <c r="O67">
        <f>VLOOKUP($B67, '2010 Water Use'!$A$5:$H$91, 8, FALSE)</f>
        <v>0.24490794211563288</v>
      </c>
    </row>
    <row r="68" spans="1:15">
      <c r="B68" t="s">
        <v>79</v>
      </c>
      <c r="C68">
        <v>87461</v>
      </c>
      <c r="D68">
        <v>-1.2</v>
      </c>
      <c r="E68">
        <v>22.88</v>
      </c>
      <c r="F68">
        <v>3824.3</v>
      </c>
      <c r="G68" s="17">
        <f t="shared" si="21"/>
        <v>0.1453642207995107</v>
      </c>
      <c r="H68" s="17">
        <f>VLOOKUP(B68, '2010 Water Rates'!$A$5:$F$88, 6, FALSE)</f>
        <v>798.33495000000005</v>
      </c>
      <c r="I68" s="17">
        <f>VLOOKUP(B68, '2010 Water Use'!$A$5:$D$91, 4, FALSE)</f>
        <v>215.96470484400817</v>
      </c>
      <c r="J68" s="17">
        <f t="shared" si="20"/>
        <v>0.10278883663093293</v>
      </c>
      <c r="K68">
        <f>VLOOKUP(B68, '2010 Water Use'!$A$5:$C$91, 3, FALSE)</f>
        <v>102500</v>
      </c>
      <c r="L68">
        <f>VLOOKUP($B68, '2010 Water Use'!$A$5:$H$91, 5, FALSE)</f>
        <v>0.74847857901266734</v>
      </c>
      <c r="M68">
        <f>VLOOKUP($B68, '2010 Water Use'!$A$5:$H$91, 6, FALSE)</f>
        <v>9.7491924068091915E-2</v>
      </c>
      <c r="N68">
        <f>VLOOKUP($B68, '2010 Water Use'!$A$5:$H$91,7, FALSE)</f>
        <v>0</v>
      </c>
      <c r="O68">
        <f>VLOOKUP($B68, '2010 Water Use'!$A$5:$H$91, 8, FALSE)</f>
        <v>0.15402949681197295</v>
      </c>
    </row>
    <row r="69" spans="1:15">
      <c r="B69" t="s">
        <v>80</v>
      </c>
      <c r="C69">
        <v>50418</v>
      </c>
      <c r="D69">
        <v>71.3</v>
      </c>
      <c r="E69">
        <v>22.13</v>
      </c>
      <c r="F69">
        <v>2286.5</v>
      </c>
      <c r="G69" s="17">
        <f t="shared" si="21"/>
        <v>8.3797044217076525E-2</v>
      </c>
      <c r="H69" s="17">
        <f>VLOOKUP(B69, '2010 Water Rates'!$A$5:$F$88, 6, FALSE)</f>
        <v>557.20520999999997</v>
      </c>
      <c r="I69" s="17">
        <f>VLOOKUP(B69, '2010 Water Use'!$A$5:$D$91, 4, FALSE)</f>
        <v>231.66184213734002</v>
      </c>
      <c r="J69" s="17">
        <f t="shared" si="20"/>
        <v>5.0562079443235493E-2</v>
      </c>
      <c r="K69">
        <f>VLOOKUP(B69, '2010 Water Use'!$A$5:$C$91, 3, FALSE)</f>
        <v>50420</v>
      </c>
      <c r="L69">
        <f>VLOOKUP($B69, '2010 Water Use'!$A$5:$H$91, 5, FALSE)</f>
        <v>0.66840419756903779</v>
      </c>
      <c r="M69">
        <f>VLOOKUP($B69, '2010 Water Use'!$A$5:$H$91, 6, FALSE)</f>
        <v>0.1644641806216896</v>
      </c>
      <c r="N69">
        <f>VLOOKUP($B69, '2010 Water Use'!$A$5:$H$91,7, FALSE)</f>
        <v>0</v>
      </c>
      <c r="O69">
        <f>VLOOKUP($B69, '2010 Water Use'!$A$5:$H$91, 8, FALSE)</f>
        <v>0.1671316217889435</v>
      </c>
    </row>
    <row r="70" spans="1:15">
      <c r="B70" t="s">
        <v>110</v>
      </c>
      <c r="C70">
        <v>23317</v>
      </c>
      <c r="D70">
        <v>7.2</v>
      </c>
      <c r="E70">
        <v>6.94</v>
      </c>
      <c r="F70">
        <v>3403</v>
      </c>
      <c r="G70" s="17"/>
      <c r="H70" s="17"/>
      <c r="I70" s="17">
        <f>VLOOKUP(B70, '2010 Water Use'!$A$5:$D$91, 4, FALSE)</f>
        <v>191.84249432110045</v>
      </c>
      <c r="J70" s="17">
        <f t="shared" si="20"/>
        <v>1.1030997101856215E-2</v>
      </c>
      <c r="K70">
        <f>VLOOKUP(B70, '2010 Water Use'!$A$5:$C$91, 3, FALSE)</f>
        <v>11000</v>
      </c>
      <c r="L70">
        <f>VLOOKUP($B70, '2010 Water Use'!$A$5:$H$91, 5, FALSE)</f>
        <v>0.47872070395126487</v>
      </c>
      <c r="M70">
        <f>VLOOKUP($B70, '2010 Water Use'!$A$5:$H$91, 6, FALSE)</f>
        <v>0</v>
      </c>
      <c r="N70">
        <f>VLOOKUP($B70, '2010 Water Use'!$A$5:$H$91,7, FALSE)</f>
        <v>0</v>
      </c>
      <c r="O70">
        <f>VLOOKUP($B70, '2010 Water Use'!$A$5:$H$91, 8, FALSE)</f>
        <v>0.52127929604873502</v>
      </c>
    </row>
    <row r="71" spans="1:15">
      <c r="B71" t="s">
        <v>81</v>
      </c>
      <c r="C71">
        <v>58652</v>
      </c>
      <c r="D71">
        <v>2.1</v>
      </c>
      <c r="E71">
        <v>10.85</v>
      </c>
      <c r="F71">
        <v>5405.7</v>
      </c>
      <c r="G71" s="17">
        <f>C71/$G$54</f>
        <v>9.748233244912477E-2</v>
      </c>
      <c r="H71" s="17">
        <f>VLOOKUP(B71, '2010 Water Rates'!$A$5:$F$88, 6, FALSE)</f>
        <v>439.89885000000004</v>
      </c>
      <c r="I71" s="17">
        <f>VLOOKUP(B71, '2010 Water Use'!$A$5:$D$91, 4, FALSE)</f>
        <v>204.16963534379869</v>
      </c>
      <c r="J71" s="17">
        <f t="shared" si="20"/>
        <v>5.8815270911260639E-2</v>
      </c>
      <c r="K71">
        <f>VLOOKUP(B71, '2010 Water Use'!$A$5:$C$91, 3, FALSE)</f>
        <v>58650</v>
      </c>
      <c r="L71">
        <f>VLOOKUP($B71, '2010 Water Use'!$A$5:$H$91, 5, FALSE)</f>
        <v>0.7273059374149361</v>
      </c>
      <c r="M71">
        <f>VLOOKUP($B71, '2010 Water Use'!$A$5:$H$91, 6, FALSE)</f>
        <v>0.14760832612650227</v>
      </c>
      <c r="N71">
        <f>VLOOKUP($B71, '2010 Water Use'!$A$5:$H$91,7, FALSE)</f>
        <v>5.5542301613336117E-3</v>
      </c>
      <c r="O71">
        <f>VLOOKUP($B71, '2010 Water Use'!$A$5:$H$91, 8, FALSE)</f>
        <v>0.11953150627739839</v>
      </c>
    </row>
    <row r="72" spans="1:15">
      <c r="B72" t="s">
        <v>82</v>
      </c>
      <c r="C72">
        <v>103712</v>
      </c>
      <c r="D72">
        <v>51.8</v>
      </c>
      <c r="E72">
        <v>32.46</v>
      </c>
      <c r="F72">
        <v>3185.1</v>
      </c>
      <c r="G72" s="17"/>
      <c r="H72" s="17"/>
      <c r="I72" s="17">
        <f>VLOOKUP(B72, '2010 Water Use'!$A$5:$D$91, 4, FALSE)</f>
        <v>196.93730822475447</v>
      </c>
      <c r="J72" s="17">
        <f t="shared" si="20"/>
        <v>9.2259248488251983E-2</v>
      </c>
      <c r="K72">
        <f>VLOOKUP(B72, '2010 Water Use'!$A$5:$C$91, 3, FALSE)</f>
        <v>92000</v>
      </c>
      <c r="L72">
        <f>VLOOKUP($B72, '2010 Water Use'!$A$5:$H$91, 5, FALSE)</f>
        <v>0.70692288739321807</v>
      </c>
      <c r="M72">
        <f>VLOOKUP($B72, '2010 Water Use'!$A$5:$H$91, 6, FALSE)</f>
        <v>8.677014042867702E-2</v>
      </c>
      <c r="N72">
        <f>VLOOKUP($B72, '2010 Water Use'!$A$5:$H$91,7, FALSE)</f>
        <v>5.1589061345158907E-2</v>
      </c>
      <c r="O72">
        <f>VLOOKUP($B72, '2010 Water Use'!$A$5:$H$91, 8, FALSE)</f>
        <v>0.15471791081547176</v>
      </c>
    </row>
    <row r="73" spans="1:15">
      <c r="B73" t="s">
        <v>83</v>
      </c>
      <c r="C73">
        <v>129480</v>
      </c>
      <c r="D73">
        <v>18.899999999999999</v>
      </c>
      <c r="E73">
        <v>35.61</v>
      </c>
      <c r="F73">
        <v>3641.2</v>
      </c>
      <c r="G73" s="17"/>
      <c r="H73" s="17"/>
      <c r="I73" s="17">
        <f>VLOOKUP(B73, '2010 Water Use'!$A$5:$D$91, 4, FALSE)</f>
        <v>190.78319928776804</v>
      </c>
      <c r="J73" s="17">
        <f t="shared" si="20"/>
        <v>0.11532406061031499</v>
      </c>
      <c r="K73">
        <f>VLOOKUP(B73, '2010 Water Use'!$A$5:$C$91, 3, FALSE)</f>
        <v>115000</v>
      </c>
      <c r="L73">
        <f>VLOOKUP($B73, '2010 Water Use'!$A$5:$H$91, 5, FALSE)</f>
        <v>0.73754882810696221</v>
      </c>
      <c r="M73">
        <f>VLOOKUP($B73, '2010 Water Use'!$A$5:$H$91, 6, FALSE)</f>
        <v>0.1396484375</v>
      </c>
      <c r="N73">
        <f>VLOOKUP($B73, '2010 Water Use'!$A$5:$H$91,7, FALSE)</f>
        <v>3.90625E-3</v>
      </c>
      <c r="O73">
        <f>VLOOKUP($B73, '2010 Water Use'!$A$5:$H$91, 8, FALSE)</f>
        <v>0.118896484375</v>
      </c>
    </row>
    <row r="74" spans="1:15">
      <c r="B74" t="s">
        <v>84</v>
      </c>
      <c r="C74">
        <v>5407</v>
      </c>
      <c r="D74">
        <v>-9.6999999999999993</v>
      </c>
      <c r="E74">
        <v>0.81</v>
      </c>
      <c r="F74">
        <v>6675.3</v>
      </c>
      <c r="G74" s="17">
        <f>C74/$G$54</f>
        <v>8.9866836860195316E-3</v>
      </c>
      <c r="H74" s="17">
        <f>VLOOKUP(B74, '2010 Water Rates'!$A$5:$F$88, 6, FALSE)</f>
        <v>293.26589999999999</v>
      </c>
      <c r="I74" s="17">
        <f>VLOOKUP(B74, '2010 Water Use'!$A$5:$D$91, 4, FALSE)</f>
        <v>185.63116275101206</v>
      </c>
      <c r="J74" s="17">
        <f t="shared" si="20"/>
        <v>1.5042268775258476E-2</v>
      </c>
      <c r="K74">
        <f>VLOOKUP(B74, '2010 Water Use'!$A$5:$C$91, 3, FALSE)</f>
        <v>15000</v>
      </c>
      <c r="L74">
        <f>VLOOKUP($B74, '2010 Water Use'!$A$5:$H$91, 5, FALSE)</f>
        <v>0.89579993557841286</v>
      </c>
      <c r="M74">
        <f>VLOOKUP($B74, '2010 Water Use'!$A$5:$H$91, 6, FALSE)</f>
        <v>0</v>
      </c>
      <c r="N74">
        <f>VLOOKUP($B74, '2010 Water Use'!$A$5:$H$91,7, FALSE)</f>
        <v>0</v>
      </c>
      <c r="O74">
        <f>VLOOKUP($B74, '2010 Water Use'!$A$5:$H$91, 8, FALSE)</f>
        <v>0.10420006412311639</v>
      </c>
    </row>
    <row r="75" spans="1:15">
      <c r="G75" s="19">
        <f>G54/C54</f>
        <v>0.59206529301262822</v>
      </c>
      <c r="H75" s="20" t="s">
        <v>145</v>
      </c>
      <c r="I75" s="17"/>
      <c r="J75" s="17"/>
      <c r="K75" s="19">
        <f>K54/C54</f>
        <v>0.98127470555067364</v>
      </c>
    </row>
    <row r="76" spans="1:15">
      <c r="H76" s="17"/>
      <c r="I76" s="17"/>
      <c r="J76" s="17"/>
    </row>
    <row r="77" spans="1:15">
      <c r="A77" t="s">
        <v>85</v>
      </c>
      <c r="C77" s="5">
        <f>SUM(C78:C98)</f>
        <v>493856</v>
      </c>
      <c r="D77" s="5">
        <f>AVERAGE(D78:D98)</f>
        <v>164.77619047619049</v>
      </c>
      <c r="E77" s="5">
        <f>SUM(E78:E98)</f>
        <v>281.14999999999998</v>
      </c>
      <c r="F77" s="5">
        <f>C77/E77</f>
        <v>1756.556998043749</v>
      </c>
      <c r="G77" s="5">
        <f>C79+C80+C81+C82+C83+C89+C90+C91+C94+C95</f>
        <v>274873</v>
      </c>
      <c r="H77" s="22">
        <f>G79*H79+G80*H80+G81*H81+G82*H82+G83*H83+G89*H89+G90*H90+G91*H91+G94*H94+G95*H95</f>
        <v>298.0938573477352</v>
      </c>
      <c r="I77" s="21">
        <f>I78*$J$78+I79*$J$79+I80*$J$80+I81*$J$81+I82*$J$82+I83*$J$83+I84*$J$84+I85*$J$85+I86*$J$86+I87*$J$87+I89*$J$89+I90*$J$90+I91*$J$91+I92*$J$92+I93*$J$93+I94*$J$94+I95*$J$95+I96*$J$96+I98*$J$98</f>
        <v>214.83578983236507</v>
      </c>
      <c r="J77" s="37">
        <f>K77</f>
        <v>493680</v>
      </c>
      <c r="K77" s="5">
        <f>SUM(K78:K98)</f>
        <v>493680</v>
      </c>
      <c r="L77" s="21">
        <f t="shared" ref="L77:O77" si="22">L78*$J$78+L79*$J$79+L80*$J$80+L81*$J$81+L82*$J$82+L83*$J$83+L84*$J$84+L85*$J$85+L86*$J$86+L87*$J$87+L89*$J$89+L90*$J$90+L91*$J$91+L92*$J$92+L93*$J$93+L94*$J$94+L95*$J$95+L96*$J$96+L98*$J$98</f>
        <v>0.69041601376996498</v>
      </c>
      <c r="M77" s="21">
        <f t="shared" si="22"/>
        <v>8.716910063209396E-2</v>
      </c>
      <c r="N77" s="21">
        <f t="shared" si="22"/>
        <v>1.7422566815947046E-2</v>
      </c>
      <c r="O77" s="21">
        <f t="shared" si="22"/>
        <v>0.20499231686809133</v>
      </c>
    </row>
    <row r="78" spans="1:15">
      <c r="B78" t="s">
        <v>86</v>
      </c>
      <c r="C78">
        <v>9555</v>
      </c>
      <c r="D78">
        <v>33.700000000000003</v>
      </c>
      <c r="E78">
        <v>7.42</v>
      </c>
      <c r="F78">
        <v>1287.7</v>
      </c>
      <c r="H78" s="17"/>
      <c r="I78" s="17">
        <f>VLOOKUP(B78, '2010 Water Use'!$A$5:$D$91, 4, FALSE)</f>
        <v>257.73770619981656</v>
      </c>
      <c r="J78" s="17">
        <f>K78/$J$77</f>
        <v>1.9364770701669098E-2</v>
      </c>
      <c r="K78">
        <f>VLOOKUP(B78, '2010 Water Use'!$A$5:$C$91, 3, FALSE)</f>
        <v>9560</v>
      </c>
      <c r="L78">
        <f>VLOOKUP($B78, '2010 Water Use'!$A$5:$H$91, 5, FALSE)</f>
        <v>0.85507245837141821</v>
      </c>
      <c r="M78">
        <f>VLOOKUP($B78, '2010 Water Use'!$A$5:$H$91, 6, FALSE)</f>
        <v>0.11460144927536231</v>
      </c>
      <c r="N78">
        <f>VLOOKUP($B78, '2010 Water Use'!$A$5:$H$91,7, FALSE)</f>
        <v>7.246376811594203E-3</v>
      </c>
      <c r="O78">
        <f>VLOOKUP($B78, '2010 Water Use'!$A$5:$H$91, 8, FALSE)</f>
        <v>2.3079710144927535E-2</v>
      </c>
    </row>
    <row r="79" spans="1:15">
      <c r="B79" t="s">
        <v>87</v>
      </c>
      <c r="C79">
        <v>26263</v>
      </c>
      <c r="D79">
        <v>19.7</v>
      </c>
      <c r="E79">
        <v>9.1999999999999993</v>
      </c>
      <c r="F79">
        <v>2854.7</v>
      </c>
      <c r="G79" s="17">
        <f>C79/$G$77</f>
        <v>9.554594303551095E-2</v>
      </c>
      <c r="H79" s="17">
        <f>VLOOKUP(B79, '2010 Water Rates'!$A$5:$F$88, 6, FALSE)</f>
        <v>651.702</v>
      </c>
      <c r="I79" s="17">
        <f>VLOOKUP(B79, '2010 Water Use'!$A$5:$D$91, 4, FALSE)</f>
        <v>146.42762980047277</v>
      </c>
      <c r="J79" s="17">
        <f t="shared" ref="J79:J87" si="23">K79/$J$77</f>
        <v>5.3212607356992382E-2</v>
      </c>
      <c r="K79">
        <f>VLOOKUP(B79, '2010 Water Use'!$A$5:$C$91, 3, FALSE)</f>
        <v>26270</v>
      </c>
      <c r="L79">
        <f>VLOOKUP($B79, '2010 Water Use'!$A$5:$H$91, 5, FALSE)</f>
        <v>0.68392591847941808</v>
      </c>
      <c r="M79">
        <f>VLOOKUP($B79, '2010 Water Use'!$A$5:$H$91, 6, FALSE)</f>
        <v>3.5624767916821384E-2</v>
      </c>
      <c r="N79">
        <f>VLOOKUP($B79, '2010 Water Use'!$A$5:$H$91,7, FALSE)</f>
        <v>0</v>
      </c>
      <c r="O79">
        <f>VLOOKUP($B79, '2010 Water Use'!$A$5:$H$91, 8, FALSE)</f>
        <v>0.28044931303379134</v>
      </c>
    </row>
    <row r="80" spans="1:15">
      <c r="B80" t="s">
        <v>88</v>
      </c>
      <c r="C80">
        <v>9796</v>
      </c>
      <c r="D80">
        <v>216.6</v>
      </c>
      <c r="E80">
        <v>2.76</v>
      </c>
      <c r="F80">
        <v>3549.3</v>
      </c>
      <c r="G80" s="17">
        <f t="shared" ref="G80:G83" si="24">C80/$G$77</f>
        <v>3.5638276585914223E-2</v>
      </c>
      <c r="H80" s="17">
        <f>VLOOKUP(B80, '2010 Water Rates'!$A$5:$F$88, 6, FALSE)</f>
        <v>407.31375000000003</v>
      </c>
      <c r="I80" s="17">
        <f>VLOOKUP(B80, '2010 Water Use'!$A$5:$D$91, 4, FALSE)</f>
        <v>209.35749532214138</v>
      </c>
      <c r="J80" s="17">
        <f t="shared" si="23"/>
        <v>1.9850915572840706E-2</v>
      </c>
      <c r="K80">
        <f>VLOOKUP(B80, '2010 Water Use'!$A$5:$C$91, 3, FALSE)</f>
        <v>9800</v>
      </c>
      <c r="L80">
        <f>VLOOKUP($B80, '2010 Water Use'!$A$5:$H$91, 5, FALSE)</f>
        <v>0.73187711661908972</v>
      </c>
      <c r="M80">
        <f>VLOOKUP($B80, '2010 Water Use'!$A$5:$H$91, 6, FALSE)</f>
        <v>4.5687929684100598E-2</v>
      </c>
      <c r="N80">
        <f>VLOOKUP($B80, '2010 Water Use'!$A$5:$H$91,7, FALSE)</f>
        <v>0</v>
      </c>
      <c r="O80">
        <f>VLOOKUP($B80, '2010 Water Use'!$A$5:$H$91, 8, FALSE)</f>
        <v>0.22243494909059267</v>
      </c>
    </row>
    <row r="81" spans="2:15">
      <c r="B81" t="s">
        <v>89</v>
      </c>
      <c r="C81">
        <v>21415</v>
      </c>
      <c r="D81">
        <v>892.8</v>
      </c>
      <c r="E81">
        <v>44.46</v>
      </c>
      <c r="F81">
        <v>481.7</v>
      </c>
      <c r="G81" s="17">
        <f t="shared" si="24"/>
        <v>7.7908706930109539E-2</v>
      </c>
      <c r="H81" s="17">
        <f>VLOOKUP(B81, '2010 Water Rates'!$A$5:$F$88, 6, FALSE)</f>
        <v>260.68080000000003</v>
      </c>
      <c r="I81" s="17">
        <f>VLOOKUP(B81, '2010 Water Use'!$A$5:$D$91, 4, FALSE)</f>
        <v>180.36589241175659</v>
      </c>
      <c r="J81" s="17">
        <f t="shared" si="23"/>
        <v>4.3388429752066117E-2</v>
      </c>
      <c r="K81">
        <f>VLOOKUP(B81, '2010 Water Use'!$A$5:$C$91, 3, FALSE)</f>
        <v>21420</v>
      </c>
      <c r="L81">
        <f>VLOOKUP($B81, '2010 Water Use'!$A$5:$H$91, 5, FALSE)</f>
        <v>0.81051853221184955</v>
      </c>
      <c r="M81">
        <f>VLOOKUP($B81, '2010 Water Use'!$A$5:$H$91, 6, FALSE)</f>
        <v>7.9466678990664563E-2</v>
      </c>
      <c r="N81">
        <f>VLOOKUP($B81, '2010 Water Use'!$A$5:$H$91,7, FALSE)</f>
        <v>0</v>
      </c>
      <c r="O81">
        <f>VLOOKUP($B81, '2010 Water Use'!$A$5:$H$91, 8, FALSE)</f>
        <v>0.11001478879748591</v>
      </c>
    </row>
    <row r="82" spans="2:15">
      <c r="B82" t="s">
        <v>90</v>
      </c>
      <c r="C82">
        <v>2436</v>
      </c>
      <c r="D82">
        <v>32.5</v>
      </c>
      <c r="E82">
        <v>2.68</v>
      </c>
      <c r="F82">
        <v>909</v>
      </c>
      <c r="G82" s="17">
        <f t="shared" si="24"/>
        <v>8.8622745777140709E-3</v>
      </c>
      <c r="H82" s="17">
        <f>VLOOKUP(B82, '2010 Water Rates'!$A$5:$F$88, 6, FALSE)</f>
        <v>586.53179999999998</v>
      </c>
      <c r="I82" s="17">
        <f>VLOOKUP(B82, '2010 Water Use'!$A$5:$D$91, 4, FALSE)</f>
        <v>177.6706212949679</v>
      </c>
      <c r="J82" s="17">
        <f t="shared" si="23"/>
        <v>4.9424728569113594E-3</v>
      </c>
      <c r="K82">
        <f>VLOOKUP(B82, '2010 Water Use'!$A$5:$C$91, 3, FALSE)</f>
        <v>2440</v>
      </c>
      <c r="L82">
        <f>VLOOKUP($B82, '2010 Water Use'!$A$5:$H$91, 5, FALSE)</f>
        <v>1</v>
      </c>
      <c r="M82">
        <f>VLOOKUP($B82, '2010 Water Use'!$A$5:$H$91, 6, FALSE)</f>
        <v>0</v>
      </c>
      <c r="N82">
        <f>VLOOKUP($B82, '2010 Water Use'!$A$5:$H$91,7, FALSE)</f>
        <v>0</v>
      </c>
      <c r="O82">
        <f>VLOOKUP($B82, '2010 Water Use'!$A$5:$H$91, 8, FALSE)</f>
        <v>0</v>
      </c>
    </row>
    <row r="83" spans="2:15">
      <c r="B83" t="s">
        <v>91</v>
      </c>
      <c r="C83">
        <v>15523</v>
      </c>
      <c r="D83">
        <v>90</v>
      </c>
      <c r="E83">
        <v>8.52</v>
      </c>
      <c r="F83">
        <v>1821.9</v>
      </c>
      <c r="G83" s="17">
        <f t="shared" si="24"/>
        <v>5.6473353148544965E-2</v>
      </c>
      <c r="H83" s="17">
        <f>VLOOKUP(B83, '2010 Water Rates'!$A$5:$F$88, 6, FALSE)</f>
        <v>325.851</v>
      </c>
      <c r="I83" s="17">
        <f>VLOOKUP(B83, '2010 Water Use'!$A$5:$D$91, 4, FALSE)</f>
        <v>428.01650888696162</v>
      </c>
      <c r="J83" s="17">
        <f t="shared" si="23"/>
        <v>3.1437368335764056E-2</v>
      </c>
      <c r="K83">
        <f>VLOOKUP(B83, '2010 Water Use'!$A$5:$C$91, 3, FALSE)</f>
        <v>15520</v>
      </c>
      <c r="L83">
        <f>VLOOKUP($B83, '2010 Water Use'!$A$5:$H$91, 5, FALSE)</f>
        <v>0.87743417479565378</v>
      </c>
      <c r="M83">
        <f>VLOOKUP($B83, '2010 Water Use'!$A$5:$H$91, 6, FALSE)</f>
        <v>6.9884019406254619E-2</v>
      </c>
      <c r="N83">
        <f>VLOOKUP($B83, '2010 Water Use'!$A$5:$H$91,7, FALSE)</f>
        <v>2.9566315902646188E-3</v>
      </c>
      <c r="O83">
        <f>VLOOKUP($B83, '2010 Water Use'!$A$5:$H$91, 8, FALSE)</f>
        <v>4.9725167654450397E-2</v>
      </c>
    </row>
    <row r="84" spans="2:15">
      <c r="B84" t="s">
        <v>92</v>
      </c>
      <c r="C84">
        <v>47407</v>
      </c>
      <c r="D84">
        <v>149.1</v>
      </c>
      <c r="E84">
        <v>26.68</v>
      </c>
      <c r="F84">
        <v>1799.8</v>
      </c>
      <c r="G84" s="17"/>
      <c r="H84" s="17"/>
      <c r="I84" s="17">
        <f>VLOOKUP(B84, '2010 Water Use'!$A$5:$D$91, 4, FALSE)</f>
        <v>257.90746398534208</v>
      </c>
      <c r="J84" s="17">
        <f t="shared" si="23"/>
        <v>9.662129314535732E-2</v>
      </c>
      <c r="K84">
        <f>VLOOKUP(B84, '2010 Water Use'!$A$5:$C$91, 3, FALSE)</f>
        <v>47700</v>
      </c>
      <c r="L84">
        <f>VLOOKUP($B84, '2010 Water Use'!$A$5:$H$91, 5, FALSE)</f>
        <v>0.70961959473306446</v>
      </c>
      <c r="M84">
        <f>VLOOKUP($B84, '2010 Water Use'!$A$5:$H$91, 6, FALSE)</f>
        <v>0.1822179649061697</v>
      </c>
      <c r="N84">
        <f>VLOOKUP($B84, '2010 Water Use'!$A$5:$H$91,7, FALSE)</f>
        <v>3.120419152116805E-3</v>
      </c>
      <c r="O84">
        <f>VLOOKUP($B84, '2010 Water Use'!$A$5:$H$91, 8, FALSE)</f>
        <v>0.10504201680672269</v>
      </c>
    </row>
    <row r="85" spans="2:15">
      <c r="B85" t="s">
        <v>93</v>
      </c>
      <c r="C85">
        <v>10070</v>
      </c>
      <c r="D85">
        <v>20.399999999999999</v>
      </c>
      <c r="E85">
        <v>8.57</v>
      </c>
      <c r="F85">
        <v>1201.7</v>
      </c>
      <c r="G85" s="17"/>
      <c r="H85" s="17"/>
      <c r="I85" s="17">
        <f>VLOOKUP(B85, '2010 Water Use'!$A$5:$D$91, 4, FALSE)</f>
        <v>422.0540903521819</v>
      </c>
      <c r="J85" s="17">
        <f t="shared" si="23"/>
        <v>2.0397828552908767E-2</v>
      </c>
      <c r="K85">
        <f>VLOOKUP(B85, '2010 Water Use'!$A$5:$C$91, 3, FALSE)</f>
        <v>10070</v>
      </c>
      <c r="L85">
        <f>VLOOKUP($B85, '2010 Water Use'!$A$5:$H$91, 5, FALSE)</f>
        <v>0.70777406192049164</v>
      </c>
      <c r="M85">
        <f>VLOOKUP($B85, '2010 Water Use'!$A$5:$H$91, 6, FALSE)</f>
        <v>0.130001890478291</v>
      </c>
      <c r="N85">
        <f>VLOOKUP($B85, '2010 Water Use'!$A$5:$H$91,7, FALSE)</f>
        <v>2.646669607410675E-2</v>
      </c>
      <c r="O85">
        <f>VLOOKUP($B85, '2010 Water Use'!$A$5:$H$91, 8, FALSE)</f>
        <v>0.13575734660869199</v>
      </c>
    </row>
    <row r="86" spans="2:15">
      <c r="B86" t="s">
        <v>94</v>
      </c>
      <c r="C86">
        <v>7979</v>
      </c>
      <c r="D86">
        <v>37.4</v>
      </c>
      <c r="E86">
        <v>12.58</v>
      </c>
      <c r="F86">
        <v>634.29999999999995</v>
      </c>
      <c r="G86" s="17"/>
      <c r="H86" s="17"/>
      <c r="I86" s="17">
        <f>VLOOKUP(B86, '2010 Water Use'!$A$5:$D$91, 4, FALSE)</f>
        <v>268.41388094160379</v>
      </c>
      <c r="J86" s="17">
        <f t="shared" si="23"/>
        <v>1.6528925619834711E-2</v>
      </c>
      <c r="K86">
        <f>VLOOKUP(B86, '2010 Water Use'!$A$5:$C$91, 3, FALSE)</f>
        <v>8160</v>
      </c>
      <c r="L86">
        <f>VLOOKUP($B86, '2010 Water Use'!$A$5:$H$91, 5, FALSE)</f>
        <v>0.9647428030110039</v>
      </c>
      <c r="M86">
        <f>VLOOKUP($B86, '2010 Water Use'!$A$5:$H$91, 6, FALSE)</f>
        <v>3.158881552131735E-2</v>
      </c>
      <c r="N86">
        <f>VLOOKUP($B86, '2010 Water Use'!$A$5:$H$91,7, FALSE)</f>
        <v>1.8341892883345558E-3</v>
      </c>
      <c r="O86">
        <f>VLOOKUP($B86, '2010 Water Use'!$A$5:$H$91, 8, FALSE)</f>
        <v>1.8341892883345558E-3</v>
      </c>
    </row>
    <row r="87" spans="2:15">
      <c r="B87" t="s">
        <v>95</v>
      </c>
      <c r="C87">
        <v>88328</v>
      </c>
      <c r="D87">
        <v>5</v>
      </c>
      <c r="E87">
        <v>18.29</v>
      </c>
      <c r="F87">
        <v>4829.3</v>
      </c>
      <c r="G87" s="17"/>
      <c r="H87" s="17"/>
      <c r="I87" s="17">
        <f>VLOOKUP(B87, '2010 Water Use'!$A$5:$D$91, 4, FALSE)</f>
        <v>205.51082020873952</v>
      </c>
      <c r="J87" s="17">
        <f t="shared" si="23"/>
        <v>0.17904310484524388</v>
      </c>
      <c r="K87">
        <f>VLOOKUP(B87, '2010 Water Use'!$A$5:$C$91, 3, FALSE)</f>
        <v>88390</v>
      </c>
      <c r="L87">
        <f>VLOOKUP($B87, '2010 Water Use'!$A$5:$H$91, 5, FALSE)</f>
        <v>0.68620223607200148</v>
      </c>
      <c r="M87">
        <f>VLOOKUP($B87, '2010 Water Use'!$A$5:$H$91, 6, FALSE)</f>
        <v>6.0105664086497118E-2</v>
      </c>
      <c r="N87">
        <f>VLOOKUP($B87, '2010 Water Use'!$A$5:$H$91,7, FALSE)</f>
        <v>0</v>
      </c>
      <c r="O87">
        <f>VLOOKUP($B87, '2010 Water Use'!$A$5:$H$91, 8, FALSE)</f>
        <v>0.2536920997665561</v>
      </c>
    </row>
    <row r="88" spans="2:15">
      <c r="B88" t="s">
        <v>96</v>
      </c>
      <c r="C88">
        <v>491</v>
      </c>
      <c r="D88">
        <v>1.2</v>
      </c>
      <c r="E88">
        <v>11.66</v>
      </c>
      <c r="F88">
        <v>43</v>
      </c>
      <c r="G88" s="17"/>
      <c r="H88" s="17"/>
      <c r="I88" s="17"/>
      <c r="J88" s="17"/>
    </row>
    <row r="89" spans="2:15">
      <c r="B89" t="s">
        <v>97</v>
      </c>
      <c r="C89">
        <v>18294</v>
      </c>
      <c r="D89">
        <v>43.9</v>
      </c>
      <c r="E89">
        <v>8.67</v>
      </c>
      <c r="F89">
        <v>2112.5</v>
      </c>
      <c r="G89" s="17">
        <f t="shared" ref="G89:G91" si="25">C89/$G$77</f>
        <v>6.6554372382882282E-2</v>
      </c>
      <c r="H89" s="17">
        <f>VLOOKUP(B89, '2010 Water Rates'!$A$5:$F$88, 6, FALSE)</f>
        <v>270.45632999999998</v>
      </c>
      <c r="I89" s="17">
        <f>VLOOKUP(B89, '2010 Water Use'!$A$5:$D$91, 4, FALSE)</f>
        <v>251.30489800628709</v>
      </c>
      <c r="J89" s="17">
        <f t="shared" ref="J89:J96" si="26">K89/$J$77</f>
        <v>3.70685464268352E-2</v>
      </c>
      <c r="K89">
        <f>VLOOKUP(B89, '2010 Water Use'!$A$5:$C$91, 3, FALSE)</f>
        <v>18300</v>
      </c>
      <c r="L89">
        <f>VLOOKUP($B89, '2010 Water Use'!$A$5:$H$91, 5, FALSE)</f>
        <v>0.65846177385267934</v>
      </c>
      <c r="M89">
        <f>VLOOKUP($B89, '2010 Water Use'!$A$5:$H$91, 6, FALSE)</f>
        <v>8.7354893815273518E-2</v>
      </c>
      <c r="N89">
        <f>VLOOKUP($B89, '2010 Water Use'!$A$5:$H$91,7, FALSE)</f>
        <v>4.8491672166789603E-2</v>
      </c>
      <c r="O89">
        <f>VLOOKUP($B89, '2010 Water Use'!$A$5:$H$91, 8, FALSE)</f>
        <v>0.20569165663703068</v>
      </c>
    </row>
    <row r="90" spans="2:15">
      <c r="B90" t="s">
        <v>98</v>
      </c>
      <c r="C90">
        <v>33509</v>
      </c>
      <c r="D90">
        <v>42.8</v>
      </c>
      <c r="E90">
        <v>9.17</v>
      </c>
      <c r="F90">
        <v>3654.2</v>
      </c>
      <c r="G90" s="17">
        <f t="shared" si="25"/>
        <v>0.12190720805608408</v>
      </c>
      <c r="H90" s="17">
        <f>VLOOKUP(B90, '2010 Water Rates'!$A$5:$F$88, 6, FALSE)</f>
        <v>479.00097</v>
      </c>
      <c r="I90" s="17">
        <f>VLOOKUP(B90, '2010 Water Use'!$A$5:$D$91, 4, FALSE)</f>
        <v>146.74723491038694</v>
      </c>
      <c r="J90" s="17">
        <f t="shared" si="26"/>
        <v>6.7877977637335926E-2</v>
      </c>
      <c r="K90">
        <f>VLOOKUP(B90, '2010 Water Use'!$A$5:$C$91, 3, FALSE)</f>
        <v>33510</v>
      </c>
      <c r="L90">
        <f>VLOOKUP($B90, '2010 Water Use'!$A$5:$H$91, 5, FALSE)</f>
        <v>0.74487591114888285</v>
      </c>
      <c r="M90">
        <f>VLOOKUP($B90, '2010 Water Use'!$A$5:$H$91, 6, FALSE)</f>
        <v>0.14178603198809064</v>
      </c>
      <c r="N90">
        <f>VLOOKUP($B90, '2010 Water Use'!$A$5:$H$91,7, FALSE)</f>
        <v>9.0772107546793004E-3</v>
      </c>
      <c r="O90">
        <f>VLOOKUP($B90, '2010 Water Use'!$A$5:$H$91, 8, FALSE)</f>
        <v>0.10426084272824641</v>
      </c>
    </row>
    <row r="91" spans="2:15">
      <c r="B91" t="s">
        <v>99</v>
      </c>
      <c r="C91">
        <v>112488</v>
      </c>
      <c r="D91">
        <v>6.7</v>
      </c>
      <c r="E91">
        <v>44.17</v>
      </c>
      <c r="F91">
        <v>2699.5</v>
      </c>
      <c r="G91" s="17">
        <f t="shared" si="25"/>
        <v>0.4092362654753286</v>
      </c>
      <c r="H91" s="17">
        <f>VLOOKUP(B91, '2010 Water Rates'!$A$5:$F$88, 6, FALSE)</f>
        <v>116.654658</v>
      </c>
      <c r="I91" s="17">
        <f>VLOOKUP(B91, '2010 Water Use'!$A$5:$D$91, 4, FALSE)</f>
        <v>200.63677428549963</v>
      </c>
      <c r="J91" s="17">
        <f t="shared" si="26"/>
        <v>0.22786015232539297</v>
      </c>
      <c r="K91">
        <f>VLOOKUP(B91, '2010 Water Use'!$A$5:$C$91, 3, FALSE)</f>
        <v>112490</v>
      </c>
      <c r="L91">
        <f>VLOOKUP($B91, '2010 Water Use'!$A$5:$H$91, 5, FALSE)</f>
        <v>0.54829280248670165</v>
      </c>
      <c r="M91">
        <f>VLOOKUP($B91, '2010 Water Use'!$A$5:$H$91, 6, FALSE)</f>
        <v>5.6496527063588764E-2</v>
      </c>
      <c r="N91">
        <f>VLOOKUP($B91, '2010 Water Use'!$A$5:$H$91,7, FALSE)</f>
        <v>4.129550812461435E-3</v>
      </c>
      <c r="O91">
        <f>VLOOKUP($B91, '2010 Water Use'!$A$5:$H$91, 8, FALSE)</f>
        <v>0.39108111956710923</v>
      </c>
    </row>
    <row r="92" spans="2:15">
      <c r="B92" t="s">
        <v>100</v>
      </c>
      <c r="C92">
        <v>6423</v>
      </c>
      <c r="D92">
        <v>46.9</v>
      </c>
      <c r="E92">
        <v>10.19</v>
      </c>
      <c r="F92">
        <v>631.6</v>
      </c>
      <c r="G92" s="17"/>
      <c r="H92" s="17"/>
      <c r="I92" s="17">
        <f>VLOOKUP(B92, '2010 Water Use'!$A$5:$D$91, 4, FALSE)</f>
        <v>220.77327949411978</v>
      </c>
      <c r="J92" s="17">
        <f t="shared" si="26"/>
        <v>1.3004375303840545E-2</v>
      </c>
      <c r="K92">
        <f>VLOOKUP(B92, '2010 Water Use'!$A$5:$C$91, 3, FALSE)</f>
        <v>6420</v>
      </c>
      <c r="L92">
        <f>VLOOKUP($B92, '2010 Water Use'!$A$5:$H$91, 5, FALSE)</f>
        <v>0.89963152535045887</v>
      </c>
      <c r="M92">
        <f>VLOOKUP($B92, '2010 Water Use'!$A$5:$H$91, 6, FALSE)</f>
        <v>3.2274115831574968E-2</v>
      </c>
      <c r="N92">
        <f>VLOOKUP($B92, '2010 Water Use'!$A$5:$H$91,7, FALSE)</f>
        <v>2.582433155922275E-4</v>
      </c>
      <c r="O92">
        <f>VLOOKUP($B92, '2010 Water Use'!$A$5:$H$91, 8, FALSE)</f>
        <v>6.7836109973860734E-2</v>
      </c>
    </row>
    <row r="93" spans="2:15">
      <c r="B93" t="s">
        <v>101</v>
      </c>
      <c r="C93">
        <v>17781</v>
      </c>
      <c r="D93">
        <v>1672.8</v>
      </c>
      <c r="E93">
        <v>16.75</v>
      </c>
      <c r="F93">
        <v>1070.5</v>
      </c>
      <c r="G93" s="17"/>
      <c r="H93" s="17"/>
      <c r="I93" s="17">
        <f>VLOOKUP(B93, '2010 Water Use'!$A$5:$D$91, 4, FALSE)</f>
        <v>197.74422457254551</v>
      </c>
      <c r="J93" s="17">
        <f t="shared" si="26"/>
        <v>3.6015232539296713E-2</v>
      </c>
      <c r="K93">
        <f>VLOOKUP(B93, '2010 Water Use'!$A$5:$C$91, 3, FALSE)</f>
        <v>17780</v>
      </c>
      <c r="L93">
        <f>VLOOKUP($B93, '2010 Water Use'!$A$5:$H$91, 5, FALSE)</f>
        <v>0.8588223296505425</v>
      </c>
      <c r="M93">
        <f>VLOOKUP($B93, '2010 Water Use'!$A$5:$H$91, 6, FALSE)</f>
        <v>7.6174999365208343E-2</v>
      </c>
      <c r="N93">
        <f>VLOOKUP($B93, '2010 Water Use'!$A$5:$H$91,7, FALSE)</f>
        <v>0</v>
      </c>
      <c r="O93">
        <f>VLOOKUP($B93, '2010 Water Use'!$A$5:$H$91, 8, FALSE)</f>
        <v>6.5002666124977793E-2</v>
      </c>
    </row>
    <row r="94" spans="2:15">
      <c r="B94" t="s">
        <v>102</v>
      </c>
      <c r="C94">
        <v>34691</v>
      </c>
      <c r="D94">
        <v>71.3</v>
      </c>
      <c r="E94">
        <v>15.39</v>
      </c>
      <c r="F94">
        <v>2254.1</v>
      </c>
      <c r="G94" s="17">
        <f t="shared" ref="G94:G95" si="27">C94/$G$77</f>
        <v>0.12620737576990101</v>
      </c>
      <c r="H94" s="17">
        <f>VLOOKUP(B94, '2010 Water Rates'!$A$5:$F$88, 6, FALSE)</f>
        <v>420.34779000000003</v>
      </c>
      <c r="I94" s="17">
        <f>VLOOKUP(B94, '2010 Water Use'!$A$5:$D$91, 4, FALSE)</f>
        <v>161.4864917135707</v>
      </c>
      <c r="J94" s="17">
        <f t="shared" si="26"/>
        <v>7.0268189920596344E-2</v>
      </c>
      <c r="K94">
        <f>VLOOKUP(B94, '2010 Water Use'!$A$5:$C$91, 3, FALSE)</f>
        <v>34690</v>
      </c>
      <c r="L94">
        <f>VLOOKUP($B94, '2010 Water Use'!$A$5:$H$91, 5, FALSE)</f>
        <v>0.71569720759908662</v>
      </c>
      <c r="M94">
        <f>VLOOKUP($B94, '2010 Water Use'!$A$5:$H$91, 6, FALSE)</f>
        <v>0.14788844621513944</v>
      </c>
      <c r="N94">
        <f>VLOOKUP($B94, '2010 Water Use'!$A$5:$H$91,7, FALSE)</f>
        <v>5.1155378486055773E-2</v>
      </c>
      <c r="O94">
        <f>VLOOKUP($B94, '2010 Water Use'!$A$5:$H$91, 8, FALSE)</f>
        <v>8.5258964143426305E-2</v>
      </c>
    </row>
    <row r="95" spans="2:15">
      <c r="B95" t="s">
        <v>103</v>
      </c>
      <c r="C95">
        <v>458</v>
      </c>
      <c r="D95">
        <v>-2.2999999999999998</v>
      </c>
      <c r="E95">
        <v>1.19</v>
      </c>
      <c r="F95">
        <v>388.1</v>
      </c>
      <c r="G95" s="17">
        <f t="shared" si="27"/>
        <v>1.6662240380102811E-3</v>
      </c>
      <c r="H95" s="17">
        <f>VLOOKUP(B95, '2010 Water Rates'!$A$5:$F$88, 6, FALSE)</f>
        <v>130.34040000000002</v>
      </c>
      <c r="I95" s="17">
        <f>VLOOKUP(B95, '2010 Water Use'!$A$5:$D$91, 4, FALSE)</f>
        <v>276.49546157939415</v>
      </c>
      <c r="J95" s="17">
        <f t="shared" si="26"/>
        <v>7.0896127045859663E-4</v>
      </c>
      <c r="K95">
        <f>VLOOKUP(B95, '2010 Water Use'!$A$5:$C$91, 3, FALSE)</f>
        <v>350</v>
      </c>
      <c r="L95">
        <f>VLOOKUP($B95, '2010 Water Use'!$A$5:$H$91, 5, FALSE)</f>
        <v>0.78782287659298822</v>
      </c>
      <c r="M95">
        <f>VLOOKUP($B95, '2010 Water Use'!$A$5:$H$91, 6, FALSE)</f>
        <v>0.11992619926199261</v>
      </c>
      <c r="N95">
        <f>VLOOKUP($B95, '2010 Water Use'!$A$5:$H$91,7, FALSE)</f>
        <v>6.4575645756457564E-2</v>
      </c>
      <c r="O95">
        <f>VLOOKUP($B95, '2010 Water Use'!$A$5:$H$91, 8, FALSE)</f>
        <v>2.7675276752767524E-2</v>
      </c>
    </row>
    <row r="96" spans="2:15">
      <c r="B96" t="s">
        <v>104</v>
      </c>
      <c r="C96">
        <v>29466</v>
      </c>
      <c r="D96">
        <v>44.3</v>
      </c>
      <c r="E96">
        <v>14.43</v>
      </c>
      <c r="F96">
        <v>2049.1</v>
      </c>
      <c r="H96" s="17"/>
      <c r="I96" s="17">
        <f>VLOOKUP(B96, '2010 Water Use'!$A$5:$D$91, 4, FALSE)</f>
        <v>233.47351806217716</v>
      </c>
      <c r="J96" s="17">
        <f t="shared" si="26"/>
        <v>5.9694538972613842E-2</v>
      </c>
      <c r="K96">
        <f>VLOOKUP(B96, '2010 Water Use'!$A$5:$C$91, 3, FALSE)</f>
        <v>29470</v>
      </c>
      <c r="L96">
        <f>VLOOKUP($B96, '2010 Water Use'!$A$5:$H$91, 5, FALSE)</f>
        <v>0.6260201628810057</v>
      </c>
      <c r="M96">
        <f>VLOOKUP($B96, '2010 Water Use'!$A$5:$H$91, 6, FALSE)</f>
        <v>9.3031101192407012E-2</v>
      </c>
      <c r="N96">
        <f>VLOOKUP($B96, '2010 Water Use'!$A$5:$H$91,7, FALSE)</f>
        <v>0.15611578933710477</v>
      </c>
      <c r="O96">
        <f>VLOOKUP($B96, '2010 Water Use'!$A$5:$H$91, 8, FALSE)</f>
        <v>0.12483294624437211</v>
      </c>
    </row>
    <row r="97" spans="2:15">
      <c r="B97" t="s">
        <v>105</v>
      </c>
      <c r="C97">
        <v>139</v>
      </c>
      <c r="D97">
        <v>-7.3</v>
      </c>
      <c r="E97">
        <v>6.35</v>
      </c>
      <c r="F97">
        <v>32</v>
      </c>
      <c r="H97" s="17"/>
      <c r="I97" s="17"/>
      <c r="J97" s="17"/>
    </row>
    <row r="98" spans="2:15">
      <c r="B98" t="s">
        <v>106</v>
      </c>
      <c r="C98">
        <v>1344</v>
      </c>
      <c r="D98">
        <v>42.8</v>
      </c>
      <c r="E98">
        <v>2.02</v>
      </c>
      <c r="F98">
        <v>665.3</v>
      </c>
      <c r="H98" s="17"/>
      <c r="I98" s="17">
        <f>VLOOKUP(B98, '2010 Water Use'!$A$5:$D$91, 4, FALSE)</f>
        <v>188.00914757529299</v>
      </c>
      <c r="J98" s="17">
        <f>K98/$J$77</f>
        <v>2.7143088640414845E-3</v>
      </c>
      <c r="K98">
        <f>VLOOKUP(B98, '2010 Water Use'!$A$5:$C$91, 3, FALSE)</f>
        <v>1340</v>
      </c>
      <c r="L98">
        <f>VLOOKUP($B98, '2010 Water Use'!$A$5:$H$91, 5, FALSE)</f>
        <v>0.98830616583982989</v>
      </c>
      <c r="M98">
        <f>VLOOKUP($B98, '2010 Water Use'!$A$5:$H$91, 6, FALSE)</f>
        <v>1.1693834160170091E-2</v>
      </c>
      <c r="N98">
        <f>VLOOKUP($B98, '2010 Water Use'!$A$5:$H$91,7, FALSE)</f>
        <v>0</v>
      </c>
      <c r="O98">
        <f>VLOOKUP($B98, '2010 Water Use'!$A$5:$H$91, 8, FALSE)</f>
        <v>0</v>
      </c>
    </row>
    <row r="99" spans="2:15">
      <c r="G99" s="19">
        <f>G77/C77</f>
        <v>0.55658532041728759</v>
      </c>
      <c r="H99" s="20" t="s">
        <v>145</v>
      </c>
      <c r="K99" s="19">
        <f>K77/C77</f>
        <v>0.99964362081254454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7"/>
  <sheetViews>
    <sheetView topLeftCell="A82" workbookViewId="0">
      <selection activeCell="F96" sqref="F96"/>
    </sheetView>
  </sheetViews>
  <sheetFormatPr defaultRowHeight="15"/>
  <cols>
    <col min="1" max="1" width="19.42578125" bestFit="1" customWidth="1"/>
    <col min="6" max="6" width="11.140625" customWidth="1"/>
  </cols>
  <sheetData>
    <row r="1" spans="1:18">
      <c r="B1" s="6"/>
      <c r="Q1">
        <v>325851</v>
      </c>
      <c r="R1">
        <v>1</v>
      </c>
    </row>
    <row r="2" spans="1:18">
      <c r="B2" s="6"/>
      <c r="Q2" t="s">
        <v>133</v>
      </c>
      <c r="R2" t="s">
        <v>134</v>
      </c>
    </row>
    <row r="3" spans="1:18">
      <c r="F3" s="36" t="s">
        <v>207</v>
      </c>
    </row>
    <row r="4" spans="1:18">
      <c r="B4" s="7" t="s">
        <v>114</v>
      </c>
      <c r="C4" s="7" t="s">
        <v>115</v>
      </c>
      <c r="D4" s="7" t="s">
        <v>116</v>
      </c>
      <c r="E4" s="7" t="s">
        <v>117</v>
      </c>
      <c r="F4" s="7" t="s">
        <v>142</v>
      </c>
      <c r="G4" s="7" t="s">
        <v>118</v>
      </c>
      <c r="H4" s="7" t="s">
        <v>119</v>
      </c>
      <c r="I4" s="7" t="s">
        <v>117</v>
      </c>
      <c r="J4" s="7" t="s">
        <v>118</v>
      </c>
      <c r="K4" s="7" t="s">
        <v>120</v>
      </c>
      <c r="L4" s="7" t="s">
        <v>117</v>
      </c>
      <c r="M4" s="7" t="s">
        <v>118</v>
      </c>
      <c r="N4" s="7" t="s">
        <v>121</v>
      </c>
      <c r="O4" s="7" t="s">
        <v>117</v>
      </c>
      <c r="P4" s="7" t="s">
        <v>118</v>
      </c>
    </row>
    <row r="5" spans="1:18">
      <c r="A5" t="s">
        <v>86</v>
      </c>
      <c r="B5" t="s">
        <v>122</v>
      </c>
    </row>
    <row r="6" spans="1:18">
      <c r="A6" t="s">
        <v>87</v>
      </c>
      <c r="B6" s="8">
        <v>14</v>
      </c>
      <c r="C6" s="9">
        <v>6000</v>
      </c>
      <c r="D6" s="8">
        <v>2</v>
      </c>
      <c r="E6" s="9">
        <v>1000</v>
      </c>
      <c r="F6" s="16">
        <f>D6*$B$96</f>
        <v>651.702</v>
      </c>
      <c r="G6" s="9">
        <v>2000</v>
      </c>
      <c r="H6" s="8">
        <v>2.5</v>
      </c>
      <c r="I6" s="9">
        <v>1000</v>
      </c>
      <c r="J6" s="9">
        <v>2000</v>
      </c>
      <c r="K6" s="8">
        <v>3</v>
      </c>
      <c r="L6" s="9">
        <v>1000</v>
      </c>
      <c r="M6" s="9">
        <v>2000</v>
      </c>
      <c r="N6" s="8">
        <v>3.31</v>
      </c>
      <c r="O6" s="9">
        <v>1000</v>
      </c>
      <c r="P6" s="9" t="s">
        <v>123</v>
      </c>
    </row>
    <row r="7" spans="1:18">
      <c r="A7" t="s">
        <v>66</v>
      </c>
      <c r="B7" s="8">
        <v>12</v>
      </c>
      <c r="C7" s="9">
        <v>0</v>
      </c>
      <c r="D7" s="8">
        <v>1.32</v>
      </c>
      <c r="E7" s="10">
        <v>1000</v>
      </c>
      <c r="F7" s="16">
        <f t="shared" ref="F7:F70" si="0">D7*$B$96</f>
        <v>430.12332000000004</v>
      </c>
      <c r="G7" s="10">
        <v>10000</v>
      </c>
      <c r="H7" s="8">
        <v>1.65</v>
      </c>
      <c r="I7" s="10">
        <v>1000</v>
      </c>
      <c r="J7" s="10">
        <v>40000</v>
      </c>
      <c r="K7" s="8">
        <v>2.2000000000000002</v>
      </c>
      <c r="L7" s="10">
        <v>1000</v>
      </c>
      <c r="M7" s="10">
        <v>50000</v>
      </c>
      <c r="N7" s="8">
        <v>2.75</v>
      </c>
      <c r="O7" s="10">
        <v>1000</v>
      </c>
      <c r="P7" s="10">
        <v>100000</v>
      </c>
    </row>
    <row r="8" spans="1:18" ht="24.75">
      <c r="A8" t="s">
        <v>31</v>
      </c>
      <c r="B8" s="8">
        <v>10.73</v>
      </c>
      <c r="C8" s="9">
        <v>5000</v>
      </c>
      <c r="D8" s="8">
        <v>1.1000000000000001</v>
      </c>
      <c r="E8" s="9">
        <v>1000</v>
      </c>
      <c r="F8" s="16">
        <f t="shared" si="0"/>
        <v>358.43610000000001</v>
      </c>
      <c r="G8" s="9" t="s">
        <v>124</v>
      </c>
      <c r="H8" s="8">
        <v>0</v>
      </c>
      <c r="I8" s="9">
        <v>0</v>
      </c>
      <c r="J8" s="9">
        <v>0</v>
      </c>
      <c r="K8" s="8">
        <v>0</v>
      </c>
      <c r="L8" s="9">
        <v>0</v>
      </c>
      <c r="M8" s="9">
        <v>0</v>
      </c>
      <c r="N8" s="8">
        <v>0</v>
      </c>
      <c r="O8" s="9">
        <v>0</v>
      </c>
      <c r="P8" s="9">
        <v>0</v>
      </c>
    </row>
    <row r="9" spans="1:18">
      <c r="A9" t="s">
        <v>32</v>
      </c>
      <c r="B9" t="s">
        <v>122</v>
      </c>
      <c r="F9" s="16">
        <f t="shared" si="0"/>
        <v>0</v>
      </c>
    </row>
    <row r="10" spans="1:18" ht="24.75">
      <c r="A10" t="s">
        <v>88</v>
      </c>
      <c r="B10" s="8">
        <v>6</v>
      </c>
      <c r="C10" s="9">
        <v>0</v>
      </c>
      <c r="D10" s="8">
        <v>1.25</v>
      </c>
      <c r="E10" s="9">
        <v>1000</v>
      </c>
      <c r="F10" s="16">
        <f t="shared" si="0"/>
        <v>407.31375000000003</v>
      </c>
      <c r="G10" s="9">
        <v>10000</v>
      </c>
      <c r="H10" s="8">
        <v>2</v>
      </c>
      <c r="I10" s="9">
        <v>1000</v>
      </c>
      <c r="J10" s="9">
        <v>2000</v>
      </c>
      <c r="K10" s="8">
        <v>2.5</v>
      </c>
      <c r="L10" s="9">
        <v>1000</v>
      </c>
      <c r="M10" s="9">
        <v>6000</v>
      </c>
      <c r="N10" s="8">
        <v>1.5</v>
      </c>
      <c r="O10" s="9">
        <v>1000</v>
      </c>
      <c r="P10" s="9" t="s">
        <v>125</v>
      </c>
    </row>
    <row r="11" spans="1:18">
      <c r="A11" t="s">
        <v>33</v>
      </c>
      <c r="B11" s="8">
        <v>13.9</v>
      </c>
      <c r="C11" s="9">
        <v>0</v>
      </c>
      <c r="D11" s="8">
        <v>0.75</v>
      </c>
      <c r="E11" s="9">
        <v>0</v>
      </c>
      <c r="F11" s="16">
        <f t="shared" si="0"/>
        <v>244.38825</v>
      </c>
      <c r="G11" s="10">
        <v>5000</v>
      </c>
      <c r="H11" s="8">
        <v>0.95</v>
      </c>
      <c r="I11" s="10">
        <v>5000</v>
      </c>
      <c r="J11" s="10">
        <v>10000</v>
      </c>
      <c r="K11" s="8">
        <v>1.2</v>
      </c>
      <c r="L11" s="10">
        <v>10000</v>
      </c>
      <c r="M11" s="9">
        <v>0</v>
      </c>
      <c r="N11" s="8">
        <v>0</v>
      </c>
      <c r="O11" s="9">
        <v>0</v>
      </c>
      <c r="P11" s="9">
        <v>0</v>
      </c>
    </row>
    <row r="12" spans="1:18">
      <c r="A12" t="s">
        <v>34</v>
      </c>
      <c r="B12" t="s">
        <v>122</v>
      </c>
      <c r="F12" s="16">
        <f t="shared" si="0"/>
        <v>0</v>
      </c>
    </row>
    <row r="13" spans="1:18" ht="24.75">
      <c r="A13" t="s">
        <v>35</v>
      </c>
      <c r="B13" s="8">
        <v>11.5</v>
      </c>
      <c r="C13" s="9">
        <v>10000</v>
      </c>
      <c r="D13" s="8">
        <v>1.05</v>
      </c>
      <c r="E13" s="9">
        <v>1000</v>
      </c>
      <c r="F13" s="16">
        <f t="shared" si="0"/>
        <v>342.14355</v>
      </c>
      <c r="G13" s="9" t="s">
        <v>124</v>
      </c>
      <c r="H13" s="8">
        <v>0</v>
      </c>
      <c r="I13" s="9">
        <v>0</v>
      </c>
      <c r="J13" s="9">
        <v>0</v>
      </c>
      <c r="K13" s="8">
        <v>0</v>
      </c>
      <c r="L13" s="9">
        <v>0</v>
      </c>
      <c r="M13" s="9">
        <v>0</v>
      </c>
      <c r="N13" s="8">
        <v>0</v>
      </c>
      <c r="O13" s="9">
        <v>0</v>
      </c>
      <c r="P13" s="9">
        <v>0</v>
      </c>
    </row>
    <row r="14" spans="1:18">
      <c r="A14" t="s">
        <v>67</v>
      </c>
      <c r="B14" t="s">
        <v>122</v>
      </c>
      <c r="F14" s="16">
        <f t="shared" si="0"/>
        <v>0</v>
      </c>
    </row>
    <row r="15" spans="1:18">
      <c r="A15" t="s">
        <v>68</v>
      </c>
      <c r="B15" s="8">
        <v>20.25</v>
      </c>
      <c r="C15" s="9">
        <v>0</v>
      </c>
      <c r="D15" s="8">
        <v>1.5</v>
      </c>
      <c r="E15" s="9">
        <v>1000</v>
      </c>
      <c r="F15" s="16">
        <f t="shared" si="0"/>
        <v>488.7765</v>
      </c>
      <c r="G15" s="9">
        <v>5000</v>
      </c>
      <c r="H15" s="8">
        <v>2.65</v>
      </c>
      <c r="I15" s="9">
        <v>1000</v>
      </c>
      <c r="J15" s="9">
        <v>15000</v>
      </c>
      <c r="K15" s="8">
        <v>2.85</v>
      </c>
      <c r="L15" s="9">
        <v>1000</v>
      </c>
      <c r="M15" s="9">
        <v>30000</v>
      </c>
      <c r="N15" s="8">
        <v>3.05</v>
      </c>
      <c r="O15" s="9">
        <v>1000</v>
      </c>
      <c r="P15" s="9">
        <v>50000</v>
      </c>
    </row>
    <row r="16" spans="1:18" ht="24.75">
      <c r="A16" t="s">
        <v>89</v>
      </c>
      <c r="B16" s="8">
        <v>20</v>
      </c>
      <c r="C16" s="9">
        <v>0</v>
      </c>
      <c r="D16" s="8">
        <v>0.8</v>
      </c>
      <c r="E16" s="9">
        <v>1000</v>
      </c>
      <c r="F16" s="16">
        <f t="shared" si="0"/>
        <v>260.68080000000003</v>
      </c>
      <c r="G16" s="9">
        <v>65000</v>
      </c>
      <c r="H16" s="8">
        <v>0.85</v>
      </c>
      <c r="I16" s="9">
        <v>1000</v>
      </c>
      <c r="J16" s="9">
        <v>50000</v>
      </c>
      <c r="K16" s="8">
        <v>0.9</v>
      </c>
      <c r="L16" s="9">
        <v>1000</v>
      </c>
      <c r="M16" s="9">
        <v>50000</v>
      </c>
      <c r="N16" s="8">
        <v>0.95</v>
      </c>
      <c r="O16" s="9">
        <v>1000</v>
      </c>
      <c r="P16" s="9" t="s">
        <v>124</v>
      </c>
    </row>
    <row r="17" spans="1:17" ht="24.75">
      <c r="A17" s="57" t="s">
        <v>90</v>
      </c>
      <c r="B17" s="8">
        <v>40</v>
      </c>
      <c r="C17" s="10">
        <v>12000</v>
      </c>
      <c r="D17" s="8">
        <v>1.8</v>
      </c>
      <c r="E17" s="10">
        <v>1000</v>
      </c>
      <c r="F17" s="16">
        <f t="shared" si="0"/>
        <v>586.53179999999998</v>
      </c>
      <c r="G17" s="10">
        <v>50000</v>
      </c>
      <c r="H17" s="8">
        <v>2</v>
      </c>
      <c r="I17" s="10">
        <v>1000</v>
      </c>
      <c r="J17" s="10">
        <v>75000</v>
      </c>
      <c r="K17" s="8">
        <v>2.25</v>
      </c>
      <c r="L17" s="10">
        <v>1000</v>
      </c>
      <c r="M17" s="10">
        <v>125000</v>
      </c>
      <c r="N17" s="8">
        <v>2.75</v>
      </c>
      <c r="O17" s="10">
        <v>1000</v>
      </c>
      <c r="P17" s="9" t="s">
        <v>125</v>
      </c>
      <c r="Q17" t="s">
        <v>126</v>
      </c>
    </row>
    <row r="18" spans="1:17">
      <c r="A18" t="s">
        <v>36</v>
      </c>
      <c r="B18" s="11">
        <v>18.25</v>
      </c>
      <c r="C18" s="12">
        <v>5000</v>
      </c>
      <c r="D18" s="11">
        <v>2.5</v>
      </c>
      <c r="E18" s="12">
        <v>1000</v>
      </c>
      <c r="F18" s="16">
        <f t="shared" si="0"/>
        <v>814.62750000000005</v>
      </c>
      <c r="G18" s="12">
        <v>5000</v>
      </c>
      <c r="H18" s="11">
        <v>2.8</v>
      </c>
      <c r="I18" s="12">
        <v>1000</v>
      </c>
      <c r="J18" s="12">
        <v>3.08</v>
      </c>
      <c r="K18" s="11">
        <v>1000</v>
      </c>
      <c r="L18" s="12">
        <v>999999</v>
      </c>
      <c r="M18" s="13"/>
      <c r="N18" s="8">
        <v>0</v>
      </c>
      <c r="O18" s="9">
        <v>0</v>
      </c>
      <c r="P18" s="9">
        <v>0</v>
      </c>
    </row>
    <row r="19" spans="1:17">
      <c r="A19" t="s">
        <v>37</v>
      </c>
      <c r="B19" t="s">
        <v>122</v>
      </c>
      <c r="F19" s="16">
        <f t="shared" si="0"/>
        <v>0</v>
      </c>
    </row>
    <row r="20" spans="1:17" ht="24.75">
      <c r="A20" t="s">
        <v>38</v>
      </c>
      <c r="B20" s="8">
        <v>19.75</v>
      </c>
      <c r="C20" s="9">
        <v>0</v>
      </c>
      <c r="D20" s="8">
        <v>0.85</v>
      </c>
      <c r="E20" s="9">
        <v>1000</v>
      </c>
      <c r="F20" s="16">
        <f t="shared" si="0"/>
        <v>276.97334999999998</v>
      </c>
      <c r="G20" s="9">
        <v>8000</v>
      </c>
      <c r="H20" s="8">
        <v>2.25</v>
      </c>
      <c r="I20" s="9">
        <v>1000</v>
      </c>
      <c r="J20" s="9" t="s">
        <v>127</v>
      </c>
      <c r="K20" s="8">
        <v>2.4500000000000002</v>
      </c>
      <c r="L20" s="9">
        <v>1000</v>
      </c>
      <c r="M20" s="9" t="s">
        <v>128</v>
      </c>
      <c r="N20" s="8">
        <v>2.75</v>
      </c>
      <c r="O20" s="9">
        <v>1000</v>
      </c>
      <c r="P20" s="9" t="s">
        <v>129</v>
      </c>
    </row>
    <row r="21" spans="1:17">
      <c r="A21" t="s">
        <v>69</v>
      </c>
      <c r="B21" t="s">
        <v>122</v>
      </c>
      <c r="F21" s="16">
        <f t="shared" si="0"/>
        <v>0</v>
      </c>
    </row>
    <row r="22" spans="1:17">
      <c r="A22" t="s">
        <v>39</v>
      </c>
      <c r="B22" t="s">
        <v>122</v>
      </c>
      <c r="F22" s="16">
        <f t="shared" si="0"/>
        <v>0</v>
      </c>
    </row>
    <row r="23" spans="1:17">
      <c r="A23" t="s">
        <v>70</v>
      </c>
      <c r="B23" t="s">
        <v>122</v>
      </c>
      <c r="F23" s="16">
        <f t="shared" si="0"/>
        <v>0</v>
      </c>
    </row>
    <row r="24" spans="1:17">
      <c r="A24" t="s">
        <v>91</v>
      </c>
      <c r="B24" s="8">
        <v>32</v>
      </c>
      <c r="C24" s="9">
        <v>6000</v>
      </c>
      <c r="D24" s="8">
        <v>1</v>
      </c>
      <c r="E24" s="9">
        <v>1000</v>
      </c>
      <c r="F24" s="16">
        <f t="shared" si="0"/>
        <v>325.851</v>
      </c>
      <c r="G24" s="9">
        <v>38000</v>
      </c>
      <c r="H24" s="8">
        <v>1.5</v>
      </c>
      <c r="I24" s="9">
        <v>1000</v>
      </c>
      <c r="J24" s="9">
        <v>50000</v>
      </c>
      <c r="K24" s="8">
        <v>2.75</v>
      </c>
      <c r="L24" s="9">
        <v>1000</v>
      </c>
      <c r="M24" s="9">
        <v>100000</v>
      </c>
      <c r="N24" s="8">
        <v>0</v>
      </c>
      <c r="O24" s="9">
        <v>0</v>
      </c>
      <c r="P24" s="9">
        <v>0</v>
      </c>
    </row>
    <row r="25" spans="1:17" ht="24.75">
      <c r="A25" t="s">
        <v>71</v>
      </c>
      <c r="B25" s="8">
        <v>22.6</v>
      </c>
      <c r="C25" s="9">
        <v>7000</v>
      </c>
      <c r="D25" s="8">
        <v>1.05</v>
      </c>
      <c r="E25" s="9">
        <v>1000</v>
      </c>
      <c r="F25" s="16">
        <f t="shared" si="0"/>
        <v>342.14355</v>
      </c>
      <c r="G25" s="9">
        <v>20000</v>
      </c>
      <c r="H25" s="8">
        <v>1.3</v>
      </c>
      <c r="I25" s="9">
        <v>1000</v>
      </c>
      <c r="J25" s="9">
        <v>20000</v>
      </c>
      <c r="K25" s="8">
        <v>1.6</v>
      </c>
      <c r="L25" s="9">
        <v>1000</v>
      </c>
      <c r="M25" s="9">
        <v>20000</v>
      </c>
      <c r="N25" s="8">
        <v>1.85</v>
      </c>
      <c r="O25" s="9">
        <v>1000</v>
      </c>
      <c r="P25" s="9" t="s">
        <v>124</v>
      </c>
    </row>
    <row r="26" spans="1:17">
      <c r="A26" t="s">
        <v>40</v>
      </c>
      <c r="B26" s="8">
        <v>9</v>
      </c>
      <c r="C26" s="9">
        <v>0</v>
      </c>
      <c r="D26" s="8">
        <v>1.1499999999999999</v>
      </c>
      <c r="E26" s="9">
        <v>1000</v>
      </c>
      <c r="F26" s="16">
        <f t="shared" si="0"/>
        <v>374.72864999999996</v>
      </c>
      <c r="G26" s="9">
        <v>10000</v>
      </c>
      <c r="H26" s="8">
        <v>1.35</v>
      </c>
      <c r="I26" s="9">
        <v>1000</v>
      </c>
      <c r="J26" s="9">
        <v>30000</v>
      </c>
      <c r="K26" s="8">
        <v>2</v>
      </c>
      <c r="L26" s="9">
        <v>1000</v>
      </c>
      <c r="M26" s="9">
        <v>30000</v>
      </c>
      <c r="N26" s="8">
        <v>2.6</v>
      </c>
      <c r="O26" s="9">
        <v>1000</v>
      </c>
      <c r="P26" s="9">
        <v>80000</v>
      </c>
    </row>
    <row r="27" spans="1:17" ht="24.75">
      <c r="A27" t="s">
        <v>21</v>
      </c>
      <c r="B27" s="8">
        <v>26</v>
      </c>
      <c r="C27" s="9">
        <v>10000</v>
      </c>
      <c r="D27" s="8">
        <v>0.5</v>
      </c>
      <c r="E27" s="9">
        <v>1000</v>
      </c>
      <c r="F27" s="16">
        <f t="shared" si="0"/>
        <v>162.9255</v>
      </c>
      <c r="G27" s="9">
        <v>40000</v>
      </c>
      <c r="H27" s="8">
        <v>1</v>
      </c>
      <c r="I27" s="9">
        <v>1000</v>
      </c>
      <c r="J27" s="9" t="s">
        <v>124</v>
      </c>
      <c r="K27" s="8">
        <v>0</v>
      </c>
      <c r="L27" s="9">
        <v>0</v>
      </c>
      <c r="M27" s="9">
        <v>0</v>
      </c>
      <c r="N27" s="8">
        <v>0</v>
      </c>
      <c r="O27" s="9">
        <v>0</v>
      </c>
      <c r="P27" s="9">
        <v>0</v>
      </c>
    </row>
    <row r="28" spans="1:17">
      <c r="A28" t="s">
        <v>22</v>
      </c>
      <c r="B28" t="s">
        <v>122</v>
      </c>
      <c r="F28" s="16">
        <f t="shared" si="0"/>
        <v>0</v>
      </c>
    </row>
    <row r="29" spans="1:17" ht="24.75">
      <c r="A29" t="s">
        <v>41</v>
      </c>
      <c r="B29" s="8">
        <v>20</v>
      </c>
      <c r="C29" s="9">
        <v>5000</v>
      </c>
      <c r="D29" s="8">
        <v>2</v>
      </c>
      <c r="E29" s="9">
        <v>1000</v>
      </c>
      <c r="F29" s="16">
        <f t="shared" si="0"/>
        <v>651.702</v>
      </c>
      <c r="G29" s="9">
        <v>10000</v>
      </c>
      <c r="H29" s="8">
        <v>4</v>
      </c>
      <c r="I29" s="9">
        <v>1000</v>
      </c>
      <c r="J29" s="9">
        <v>15000</v>
      </c>
      <c r="K29" s="8">
        <v>6</v>
      </c>
      <c r="L29" s="9">
        <v>1000</v>
      </c>
      <c r="M29" s="9" t="s">
        <v>124</v>
      </c>
      <c r="N29" s="8">
        <v>0</v>
      </c>
      <c r="O29" s="9">
        <v>0</v>
      </c>
      <c r="P29" s="9">
        <v>0</v>
      </c>
    </row>
    <row r="30" spans="1:17">
      <c r="A30" t="s">
        <v>72</v>
      </c>
      <c r="B30" s="11">
        <v>7.5</v>
      </c>
      <c r="C30" s="13"/>
      <c r="D30" s="11">
        <v>1.85</v>
      </c>
      <c r="E30" s="12">
        <v>1000</v>
      </c>
      <c r="F30" s="16">
        <f t="shared" si="0"/>
        <v>602.82434999999998</v>
      </c>
      <c r="G30" s="12">
        <v>10000</v>
      </c>
      <c r="H30" s="11">
        <v>2.27</v>
      </c>
      <c r="I30" s="12">
        <v>1000</v>
      </c>
      <c r="J30" s="12">
        <v>15000</v>
      </c>
      <c r="K30" s="11">
        <v>3.22</v>
      </c>
      <c r="L30" s="12">
        <v>1000</v>
      </c>
      <c r="M30" s="12">
        <v>20000</v>
      </c>
      <c r="N30" s="11">
        <v>4.82</v>
      </c>
      <c r="O30" s="12">
        <v>1000</v>
      </c>
      <c r="P30" s="12">
        <v>999999</v>
      </c>
    </row>
    <row r="31" spans="1:17" ht="24.75">
      <c r="A31" t="s">
        <v>42</v>
      </c>
      <c r="B31" s="8">
        <v>10.55</v>
      </c>
      <c r="C31" s="9">
        <v>7000</v>
      </c>
      <c r="D31" s="8">
        <v>1.1399999999999999</v>
      </c>
      <c r="E31" s="9">
        <v>1000</v>
      </c>
      <c r="F31" s="16">
        <f t="shared" si="0"/>
        <v>371.47013999999996</v>
      </c>
      <c r="G31" s="9" t="s">
        <v>124</v>
      </c>
      <c r="H31" s="8">
        <v>0</v>
      </c>
      <c r="I31" s="9">
        <v>0</v>
      </c>
      <c r="J31" s="9">
        <v>0</v>
      </c>
      <c r="K31" s="8">
        <v>0</v>
      </c>
      <c r="L31" s="9">
        <v>0</v>
      </c>
      <c r="M31" s="9">
        <v>0</v>
      </c>
      <c r="N31" s="8">
        <v>0</v>
      </c>
      <c r="O31" s="9">
        <v>0</v>
      </c>
      <c r="P31" s="9">
        <v>0</v>
      </c>
    </row>
    <row r="32" spans="1:17">
      <c r="A32" t="s">
        <v>92</v>
      </c>
      <c r="B32" t="s">
        <v>122</v>
      </c>
      <c r="F32" s="16">
        <f t="shared" ref="F32:F33" si="1">D32*$B$96</f>
        <v>0</v>
      </c>
    </row>
    <row r="33" spans="1:16">
      <c r="A33" t="s">
        <v>93</v>
      </c>
      <c r="B33" t="s">
        <v>122</v>
      </c>
      <c r="F33" s="16">
        <f t="shared" si="1"/>
        <v>0</v>
      </c>
    </row>
    <row r="34" spans="1:16">
      <c r="A34" t="s">
        <v>1</v>
      </c>
      <c r="B34" s="8">
        <v>13</v>
      </c>
      <c r="C34" s="9">
        <v>0</v>
      </c>
      <c r="D34" s="8">
        <v>0.9</v>
      </c>
      <c r="E34" s="9">
        <v>1000</v>
      </c>
      <c r="F34" s="16">
        <f t="shared" si="0"/>
        <v>293.26589999999999</v>
      </c>
      <c r="G34" s="9">
        <v>10000</v>
      </c>
      <c r="H34" s="8">
        <v>1.6</v>
      </c>
      <c r="I34" s="9">
        <v>1000</v>
      </c>
      <c r="J34" s="9">
        <v>0</v>
      </c>
      <c r="K34" s="8">
        <v>0</v>
      </c>
      <c r="L34" s="9">
        <v>0</v>
      </c>
      <c r="M34" s="9">
        <v>0</v>
      </c>
      <c r="N34" s="8">
        <v>0</v>
      </c>
      <c r="O34" s="9">
        <v>0</v>
      </c>
      <c r="P34" s="9">
        <v>0</v>
      </c>
    </row>
    <row r="35" spans="1:16">
      <c r="A35" t="s">
        <v>73</v>
      </c>
      <c r="B35" s="8">
        <v>14.31</v>
      </c>
      <c r="C35" s="9">
        <v>6000</v>
      </c>
      <c r="D35" s="8">
        <v>1.35</v>
      </c>
      <c r="E35" s="9">
        <v>1000</v>
      </c>
      <c r="F35" s="16">
        <f t="shared" si="0"/>
        <v>439.89885000000004</v>
      </c>
      <c r="G35" s="9">
        <v>12000</v>
      </c>
      <c r="H35" s="8">
        <v>1.51</v>
      </c>
      <c r="I35" s="9">
        <v>1000</v>
      </c>
      <c r="J35" s="9">
        <v>17000</v>
      </c>
      <c r="K35" s="8">
        <v>1.72</v>
      </c>
      <c r="L35" s="9">
        <v>1000</v>
      </c>
      <c r="M35" s="9">
        <v>999999</v>
      </c>
      <c r="N35" s="8">
        <v>0</v>
      </c>
      <c r="O35" s="9">
        <v>0</v>
      </c>
      <c r="P35" s="9">
        <v>0</v>
      </c>
    </row>
    <row r="36" spans="1:16">
      <c r="A36" t="s">
        <v>94</v>
      </c>
      <c r="B36" t="s">
        <v>122</v>
      </c>
      <c r="F36" s="16">
        <f t="shared" si="0"/>
        <v>0</v>
      </c>
    </row>
    <row r="37" spans="1:16">
      <c r="A37" t="s">
        <v>43</v>
      </c>
      <c r="B37" t="s">
        <v>122</v>
      </c>
      <c r="F37" s="16">
        <f t="shared" si="0"/>
        <v>0</v>
      </c>
    </row>
    <row r="38" spans="1:16" ht="24.75">
      <c r="A38" t="s">
        <v>74</v>
      </c>
      <c r="B38" s="8">
        <v>13.39</v>
      </c>
      <c r="C38" s="9">
        <v>6000</v>
      </c>
      <c r="D38" s="8">
        <v>0.95</v>
      </c>
      <c r="E38" s="9">
        <v>1000</v>
      </c>
      <c r="F38" s="16">
        <f t="shared" si="0"/>
        <v>309.55844999999999</v>
      </c>
      <c r="G38" s="9" t="s">
        <v>124</v>
      </c>
      <c r="H38" s="8">
        <v>1.37</v>
      </c>
      <c r="I38" s="9">
        <v>1000</v>
      </c>
      <c r="J38" s="9" t="s">
        <v>124</v>
      </c>
      <c r="K38" s="8">
        <v>0</v>
      </c>
      <c r="L38" s="9">
        <v>0</v>
      </c>
      <c r="M38" s="9">
        <v>0</v>
      </c>
      <c r="N38" s="8">
        <v>0</v>
      </c>
      <c r="O38" s="9">
        <v>0</v>
      </c>
      <c r="P38" s="9">
        <v>0</v>
      </c>
    </row>
    <row r="39" spans="1:16">
      <c r="A39" t="s">
        <v>75</v>
      </c>
      <c r="B39" t="s">
        <v>122</v>
      </c>
      <c r="F39" s="16">
        <f t="shared" si="0"/>
        <v>0</v>
      </c>
    </row>
    <row r="40" spans="1:16">
      <c r="A40" t="s">
        <v>23</v>
      </c>
      <c r="B40" s="11">
        <v>28</v>
      </c>
      <c r="C40" s="13"/>
      <c r="D40" s="11">
        <v>0.7</v>
      </c>
      <c r="E40" s="13">
        <v>1000</v>
      </c>
      <c r="F40" s="16">
        <f t="shared" si="0"/>
        <v>228.09569999999999</v>
      </c>
      <c r="G40" s="12">
        <v>10000</v>
      </c>
      <c r="H40" s="11">
        <v>0.85</v>
      </c>
      <c r="I40" s="12">
        <v>1000</v>
      </c>
      <c r="J40" s="12">
        <v>999999</v>
      </c>
      <c r="K40" s="8">
        <v>0</v>
      </c>
      <c r="L40" s="9">
        <v>0</v>
      </c>
      <c r="M40" s="9">
        <v>0</v>
      </c>
      <c r="N40" s="8">
        <v>0</v>
      </c>
      <c r="O40" s="9">
        <v>0</v>
      </c>
      <c r="P40" s="9">
        <v>0</v>
      </c>
    </row>
    <row r="41" spans="1:16">
      <c r="A41" t="s">
        <v>76</v>
      </c>
      <c r="B41" s="8">
        <v>7.21</v>
      </c>
      <c r="C41" s="9">
        <v>0</v>
      </c>
      <c r="D41" s="8">
        <v>1.28</v>
      </c>
      <c r="E41" s="9">
        <v>748</v>
      </c>
      <c r="F41" s="16">
        <f t="shared" si="0"/>
        <v>417.08928000000003</v>
      </c>
      <c r="G41" s="9">
        <v>0</v>
      </c>
      <c r="H41" s="8">
        <v>0</v>
      </c>
      <c r="I41" s="9">
        <v>0</v>
      </c>
      <c r="J41" s="9">
        <v>0</v>
      </c>
      <c r="K41" s="8">
        <v>0</v>
      </c>
      <c r="L41" s="9">
        <v>0</v>
      </c>
      <c r="M41" s="9">
        <v>0</v>
      </c>
      <c r="N41" s="8">
        <v>0</v>
      </c>
      <c r="O41" s="9">
        <v>0</v>
      </c>
      <c r="P41" s="9">
        <v>0</v>
      </c>
    </row>
    <row r="42" spans="1:16">
      <c r="A42" t="s">
        <v>24</v>
      </c>
      <c r="B42" t="s">
        <v>122</v>
      </c>
      <c r="F42" s="16">
        <f t="shared" ref="F42" si="2">D42*$B$96</f>
        <v>0</v>
      </c>
    </row>
    <row r="43" spans="1:16" ht="24.75">
      <c r="A43" t="s">
        <v>25</v>
      </c>
      <c r="B43" s="8">
        <v>7.11</v>
      </c>
      <c r="C43" s="9">
        <v>0</v>
      </c>
      <c r="D43" s="8">
        <v>1.57</v>
      </c>
      <c r="E43" s="9">
        <v>1000</v>
      </c>
      <c r="F43" s="16">
        <f t="shared" si="0"/>
        <v>511.58607000000001</v>
      </c>
      <c r="G43" s="9" t="s">
        <v>125</v>
      </c>
      <c r="H43" s="8">
        <v>0</v>
      </c>
      <c r="I43" s="9">
        <v>0</v>
      </c>
      <c r="J43" s="9">
        <v>0</v>
      </c>
      <c r="K43" s="8">
        <v>0</v>
      </c>
      <c r="L43" s="9">
        <v>0</v>
      </c>
      <c r="M43" s="9">
        <v>0</v>
      </c>
      <c r="N43" s="8">
        <v>0</v>
      </c>
      <c r="O43" s="9">
        <v>0</v>
      </c>
      <c r="P43" s="9">
        <v>0</v>
      </c>
    </row>
    <row r="44" spans="1:16" ht="24.75">
      <c r="A44" t="s">
        <v>44</v>
      </c>
      <c r="B44" s="8">
        <v>6</v>
      </c>
      <c r="C44" s="9">
        <v>0</v>
      </c>
      <c r="D44" s="8">
        <v>1.5</v>
      </c>
      <c r="E44" s="9">
        <v>1000</v>
      </c>
      <c r="F44" s="16">
        <f t="shared" si="0"/>
        <v>488.7765</v>
      </c>
      <c r="G44" s="9">
        <v>19999</v>
      </c>
      <c r="H44" s="8">
        <v>2</v>
      </c>
      <c r="I44" s="9">
        <v>1000</v>
      </c>
      <c r="J44" s="9" t="s">
        <v>124</v>
      </c>
      <c r="K44" s="8">
        <v>0</v>
      </c>
      <c r="L44" s="9">
        <v>0</v>
      </c>
      <c r="M44" s="9">
        <v>0</v>
      </c>
      <c r="N44" s="8">
        <v>0</v>
      </c>
      <c r="O44" s="9">
        <v>0</v>
      </c>
      <c r="P44" s="9">
        <v>0</v>
      </c>
    </row>
    <row r="45" spans="1:16">
      <c r="A45" t="s">
        <v>45</v>
      </c>
      <c r="B45" s="8">
        <v>22</v>
      </c>
      <c r="C45" s="9">
        <v>8000</v>
      </c>
      <c r="D45" s="8">
        <v>1.4</v>
      </c>
      <c r="E45" s="9">
        <v>1000</v>
      </c>
      <c r="F45" s="16">
        <f t="shared" si="0"/>
        <v>456.19139999999999</v>
      </c>
      <c r="G45" s="9">
        <v>0</v>
      </c>
      <c r="H45" s="8">
        <v>1.65</v>
      </c>
      <c r="I45" s="9">
        <v>1000</v>
      </c>
      <c r="J45" s="9">
        <v>45000</v>
      </c>
      <c r="K45" s="8">
        <v>2.2000000000000002</v>
      </c>
      <c r="L45" s="9">
        <v>1000</v>
      </c>
      <c r="M45" s="9">
        <v>25000</v>
      </c>
      <c r="N45" s="8">
        <v>3</v>
      </c>
      <c r="O45" s="9">
        <v>1000</v>
      </c>
      <c r="P45" s="9">
        <v>100000000000</v>
      </c>
    </row>
    <row r="46" spans="1:16">
      <c r="A46" t="s">
        <v>46</v>
      </c>
      <c r="B46" s="8">
        <v>14.16</v>
      </c>
      <c r="C46" s="9">
        <v>0</v>
      </c>
      <c r="D46" s="8">
        <v>1.29</v>
      </c>
      <c r="E46" s="9">
        <v>1000</v>
      </c>
      <c r="F46" s="16">
        <f t="shared" si="0"/>
        <v>420.34779000000003</v>
      </c>
      <c r="G46" s="9">
        <v>5000</v>
      </c>
      <c r="H46" s="8">
        <v>2.0699999999999998</v>
      </c>
      <c r="I46" s="9">
        <v>1000</v>
      </c>
      <c r="J46" s="9">
        <v>5000</v>
      </c>
      <c r="K46" s="8">
        <v>2.2599999999999998</v>
      </c>
      <c r="L46" s="9">
        <v>1000</v>
      </c>
      <c r="M46" s="9">
        <v>15000</v>
      </c>
      <c r="N46" s="8">
        <v>2.33</v>
      </c>
      <c r="O46" s="9">
        <v>1000</v>
      </c>
      <c r="P46" s="9">
        <v>20000</v>
      </c>
    </row>
    <row r="47" spans="1:16">
      <c r="A47" t="s">
        <v>95</v>
      </c>
      <c r="B47" t="s">
        <v>122</v>
      </c>
      <c r="F47" s="16">
        <f t="shared" ref="F47" si="3">D47*$B$96</f>
        <v>0</v>
      </c>
    </row>
    <row r="48" spans="1:16">
      <c r="A48" t="s">
        <v>96</v>
      </c>
      <c r="B48" t="s">
        <v>122</v>
      </c>
      <c r="F48" s="16">
        <f t="shared" si="0"/>
        <v>0</v>
      </c>
    </row>
    <row r="49" spans="1:16">
      <c r="A49" t="s">
        <v>97</v>
      </c>
      <c r="B49" s="8">
        <v>10.4</v>
      </c>
      <c r="C49" s="9">
        <v>0</v>
      </c>
      <c r="D49" s="8">
        <v>0.83</v>
      </c>
      <c r="E49" s="9">
        <v>1000</v>
      </c>
      <c r="F49" s="16">
        <f t="shared" si="0"/>
        <v>270.45632999999998</v>
      </c>
      <c r="G49" s="10">
        <v>999999</v>
      </c>
      <c r="H49" s="8">
        <v>0</v>
      </c>
      <c r="I49" s="9">
        <v>0</v>
      </c>
      <c r="J49" s="9">
        <v>0</v>
      </c>
      <c r="K49" s="8">
        <v>0</v>
      </c>
      <c r="L49" s="9">
        <v>0</v>
      </c>
      <c r="M49" s="9">
        <v>0</v>
      </c>
      <c r="N49" s="8">
        <v>0</v>
      </c>
      <c r="O49" s="9">
        <v>0</v>
      </c>
      <c r="P49" s="9">
        <v>0</v>
      </c>
    </row>
    <row r="50" spans="1:16" ht="24.75">
      <c r="A50" t="s">
        <v>47</v>
      </c>
      <c r="B50" s="8">
        <v>15</v>
      </c>
      <c r="C50" s="9">
        <v>10000</v>
      </c>
      <c r="D50" s="8">
        <v>0.95</v>
      </c>
      <c r="E50" s="9">
        <v>1000</v>
      </c>
      <c r="F50" s="16">
        <f t="shared" si="0"/>
        <v>309.55844999999999</v>
      </c>
      <c r="G50" s="9" t="s">
        <v>124</v>
      </c>
      <c r="H50" s="8">
        <v>0</v>
      </c>
      <c r="I50" s="9">
        <v>0</v>
      </c>
      <c r="J50" s="9">
        <v>0</v>
      </c>
      <c r="K50" s="8">
        <v>0</v>
      </c>
      <c r="L50" s="9">
        <v>0</v>
      </c>
      <c r="M50" s="9">
        <v>0</v>
      </c>
      <c r="N50" s="8">
        <v>0</v>
      </c>
      <c r="O50" s="9">
        <v>0</v>
      </c>
      <c r="P50" s="9">
        <v>0</v>
      </c>
    </row>
    <row r="51" spans="1:16">
      <c r="A51" t="s">
        <v>48</v>
      </c>
      <c r="B51" t="s">
        <v>122</v>
      </c>
      <c r="F51" s="16">
        <f t="shared" si="0"/>
        <v>0</v>
      </c>
    </row>
    <row r="52" spans="1:16" ht="24.75">
      <c r="A52" t="s">
        <v>98</v>
      </c>
      <c r="B52" s="8">
        <v>10.99</v>
      </c>
      <c r="C52" s="9">
        <v>5000</v>
      </c>
      <c r="D52" s="8">
        <v>1.47</v>
      </c>
      <c r="E52" s="9">
        <v>1000</v>
      </c>
      <c r="F52" s="16">
        <f t="shared" si="0"/>
        <v>479.00097</v>
      </c>
      <c r="G52" s="9">
        <v>5000</v>
      </c>
      <c r="H52" s="8">
        <v>2.14</v>
      </c>
      <c r="I52" s="9">
        <v>1000</v>
      </c>
      <c r="J52" s="9">
        <v>5000</v>
      </c>
      <c r="K52" s="8">
        <v>3.06</v>
      </c>
      <c r="L52" s="9">
        <v>1000</v>
      </c>
      <c r="M52" s="9">
        <v>35000</v>
      </c>
      <c r="N52" s="8">
        <v>3.66</v>
      </c>
      <c r="O52" s="9">
        <v>1000</v>
      </c>
      <c r="P52" s="9" t="s">
        <v>124</v>
      </c>
    </row>
    <row r="53" spans="1:16">
      <c r="A53" t="s">
        <v>49</v>
      </c>
      <c r="B53" s="8">
        <v>10</v>
      </c>
      <c r="C53" s="9">
        <v>0</v>
      </c>
      <c r="D53" s="8">
        <v>1</v>
      </c>
      <c r="E53" s="9">
        <v>1000</v>
      </c>
      <c r="F53" s="16">
        <f t="shared" si="0"/>
        <v>325.851</v>
      </c>
      <c r="G53" s="9">
        <v>7000</v>
      </c>
      <c r="H53" s="8">
        <v>2</v>
      </c>
      <c r="I53" s="9">
        <v>1000</v>
      </c>
      <c r="J53" s="9">
        <v>5000</v>
      </c>
      <c r="K53" s="8">
        <v>2.25</v>
      </c>
      <c r="L53" s="9">
        <v>1000</v>
      </c>
      <c r="M53" s="9">
        <v>145000</v>
      </c>
      <c r="N53" s="8">
        <v>2.5</v>
      </c>
      <c r="O53" s="9">
        <v>1000</v>
      </c>
      <c r="P53" s="9" t="s">
        <v>130</v>
      </c>
    </row>
    <row r="54" spans="1:16" ht="24.75">
      <c r="A54" t="s">
        <v>26</v>
      </c>
      <c r="B54" s="8">
        <v>20.25</v>
      </c>
      <c r="C54" s="9">
        <v>1000</v>
      </c>
      <c r="D54" s="8">
        <v>0.4</v>
      </c>
      <c r="E54" s="9">
        <v>1000</v>
      </c>
      <c r="F54" s="16">
        <f t="shared" si="0"/>
        <v>130.34040000000002</v>
      </c>
      <c r="G54" s="9">
        <v>30000</v>
      </c>
      <c r="H54" s="8">
        <v>0.65</v>
      </c>
      <c r="I54" s="9">
        <v>1000</v>
      </c>
      <c r="J54" s="9">
        <v>20000</v>
      </c>
      <c r="K54" s="8">
        <v>1.1499999999999999</v>
      </c>
      <c r="L54" s="9">
        <v>1000</v>
      </c>
      <c r="M54" s="9" t="s">
        <v>124</v>
      </c>
      <c r="N54" s="8">
        <v>0</v>
      </c>
      <c r="O54" s="9">
        <v>0</v>
      </c>
      <c r="P54" s="9">
        <v>0</v>
      </c>
    </row>
    <row r="55" spans="1:16" ht="36.75">
      <c r="A55" t="s">
        <v>99</v>
      </c>
      <c r="B55" s="8">
        <v>8.4700000000000006</v>
      </c>
      <c r="C55" s="9">
        <v>0</v>
      </c>
      <c r="D55" s="8">
        <v>0.35799999999999998</v>
      </c>
      <c r="E55" s="9">
        <v>748</v>
      </c>
      <c r="F55" s="16">
        <f t="shared" si="0"/>
        <v>116.654658</v>
      </c>
      <c r="G55" s="9" t="s">
        <v>131</v>
      </c>
      <c r="H55" s="8">
        <v>0.6</v>
      </c>
      <c r="I55" s="9">
        <v>748</v>
      </c>
      <c r="J55" s="9" t="s">
        <v>132</v>
      </c>
      <c r="K55" s="8">
        <v>0</v>
      </c>
      <c r="L55" s="9">
        <v>0</v>
      </c>
      <c r="M55" s="9">
        <v>0</v>
      </c>
      <c r="N55" s="8">
        <v>0</v>
      </c>
      <c r="O55" s="9">
        <v>0</v>
      </c>
      <c r="P55" s="9">
        <v>0</v>
      </c>
    </row>
    <row r="56" spans="1:16">
      <c r="A56" t="s">
        <v>27</v>
      </c>
      <c r="B56" s="8">
        <v>32.75</v>
      </c>
      <c r="C56" s="9">
        <v>8333</v>
      </c>
      <c r="D56" s="8">
        <v>0.5</v>
      </c>
      <c r="E56" s="9">
        <v>1000</v>
      </c>
      <c r="F56" s="16">
        <f t="shared" si="0"/>
        <v>162.9255</v>
      </c>
      <c r="G56" s="9">
        <v>9999</v>
      </c>
      <c r="H56" s="8">
        <v>0.55000000000000004</v>
      </c>
      <c r="I56" s="9">
        <v>1000</v>
      </c>
      <c r="J56" s="9">
        <v>9999</v>
      </c>
      <c r="K56" s="8">
        <v>0.75</v>
      </c>
      <c r="L56" s="9">
        <v>1000</v>
      </c>
      <c r="M56" s="9">
        <v>9999</v>
      </c>
      <c r="N56" s="8">
        <v>0.95</v>
      </c>
      <c r="O56" s="9">
        <v>1000</v>
      </c>
      <c r="P56" s="9">
        <v>9999</v>
      </c>
    </row>
    <row r="57" spans="1:16" ht="24.75">
      <c r="A57" t="s">
        <v>50</v>
      </c>
      <c r="B57" s="8">
        <v>11</v>
      </c>
      <c r="C57" s="9">
        <v>15000</v>
      </c>
      <c r="D57" s="8">
        <v>0.55000000000000004</v>
      </c>
      <c r="E57" s="9">
        <v>1000</v>
      </c>
      <c r="F57" s="16">
        <f t="shared" si="0"/>
        <v>179.21805000000001</v>
      </c>
      <c r="G57" s="9">
        <v>5000</v>
      </c>
      <c r="H57" s="8">
        <v>1.1000000000000001</v>
      </c>
      <c r="I57" s="9">
        <v>1000</v>
      </c>
      <c r="J57" s="9" t="s">
        <v>124</v>
      </c>
      <c r="K57" s="8">
        <v>0</v>
      </c>
      <c r="L57" s="9">
        <v>0</v>
      </c>
      <c r="M57" s="9">
        <v>0</v>
      </c>
      <c r="N57" s="8">
        <v>0</v>
      </c>
      <c r="O57" s="9">
        <v>0</v>
      </c>
      <c r="P57" s="9">
        <v>0</v>
      </c>
    </row>
    <row r="58" spans="1:16">
      <c r="A58" t="s">
        <v>77</v>
      </c>
      <c r="B58" t="s">
        <v>122</v>
      </c>
      <c r="F58" s="16">
        <f t="shared" si="0"/>
        <v>0</v>
      </c>
    </row>
    <row r="59" spans="1:16">
      <c r="A59" t="s">
        <v>51</v>
      </c>
      <c r="B59" s="8">
        <v>5.49</v>
      </c>
      <c r="C59" s="9">
        <v>0</v>
      </c>
      <c r="D59" s="8">
        <v>0.64</v>
      </c>
      <c r="E59" s="9">
        <v>1000</v>
      </c>
      <c r="F59" s="16">
        <f t="shared" si="0"/>
        <v>208.54464000000002</v>
      </c>
      <c r="G59" s="9">
        <v>18000</v>
      </c>
      <c r="H59" s="8">
        <v>1.1299999999999999</v>
      </c>
      <c r="I59" s="9">
        <v>1000</v>
      </c>
      <c r="J59" s="9">
        <v>12000</v>
      </c>
      <c r="K59" s="8">
        <v>1.25</v>
      </c>
      <c r="L59" s="9">
        <v>1000</v>
      </c>
      <c r="M59" s="9">
        <v>10000</v>
      </c>
      <c r="N59" s="8">
        <v>1.41</v>
      </c>
      <c r="O59" s="9">
        <v>1000</v>
      </c>
      <c r="P59" s="9">
        <v>99999</v>
      </c>
    </row>
    <row r="60" spans="1:16">
      <c r="A60" t="s">
        <v>100</v>
      </c>
      <c r="B60" t="s">
        <v>122</v>
      </c>
      <c r="F60" s="16">
        <f t="shared" ref="F60" si="4">D60*$B$96</f>
        <v>0</v>
      </c>
    </row>
    <row r="61" spans="1:16">
      <c r="A61" t="s">
        <v>78</v>
      </c>
      <c r="B61" t="s">
        <v>122</v>
      </c>
      <c r="F61" s="16">
        <v>384.5</v>
      </c>
    </row>
    <row r="62" spans="1:16">
      <c r="A62" t="s">
        <v>79</v>
      </c>
      <c r="B62" s="11">
        <v>22.37</v>
      </c>
      <c r="C62" s="12">
        <v>8000</v>
      </c>
      <c r="D62" s="11">
        <v>2.4500000000000002</v>
      </c>
      <c r="E62" s="12">
        <v>1000</v>
      </c>
      <c r="F62" s="16">
        <f t="shared" si="0"/>
        <v>798.33495000000005</v>
      </c>
      <c r="G62" s="13">
        <v>999999</v>
      </c>
      <c r="H62" s="8">
        <v>0</v>
      </c>
      <c r="I62" s="9">
        <v>0</v>
      </c>
      <c r="J62" s="9">
        <v>0</v>
      </c>
      <c r="K62" s="8">
        <v>0</v>
      </c>
      <c r="L62" s="9">
        <v>0</v>
      </c>
      <c r="M62" s="9">
        <v>0</v>
      </c>
      <c r="N62" s="8">
        <v>0</v>
      </c>
      <c r="O62" s="9">
        <v>0</v>
      </c>
      <c r="P62" s="9">
        <v>0</v>
      </c>
    </row>
    <row r="63" spans="1:16">
      <c r="A63" t="s">
        <v>101</v>
      </c>
      <c r="B63" t="s">
        <v>122</v>
      </c>
      <c r="F63" s="16">
        <f t="shared" si="0"/>
        <v>0</v>
      </c>
    </row>
    <row r="64" spans="1:16">
      <c r="A64" t="s">
        <v>28</v>
      </c>
      <c r="B64" s="8">
        <v>9</v>
      </c>
      <c r="C64" s="9">
        <v>6000</v>
      </c>
      <c r="D64" s="8">
        <v>0.55000000000000004</v>
      </c>
      <c r="E64" s="9">
        <v>1000</v>
      </c>
      <c r="F64" s="16">
        <f t="shared" si="0"/>
        <v>179.21805000000001</v>
      </c>
      <c r="G64" s="9">
        <v>4000</v>
      </c>
      <c r="H64" s="8">
        <v>0.7</v>
      </c>
      <c r="I64" s="9">
        <v>1000</v>
      </c>
      <c r="J64" s="9">
        <v>0</v>
      </c>
      <c r="K64" s="8">
        <v>0</v>
      </c>
      <c r="L64" s="9">
        <v>0</v>
      </c>
      <c r="M64" s="9">
        <v>0</v>
      </c>
      <c r="N64" s="8">
        <v>0</v>
      </c>
      <c r="O64" s="9">
        <v>0</v>
      </c>
      <c r="P64" s="9">
        <v>0</v>
      </c>
    </row>
    <row r="65" spans="1:16" ht="24.75">
      <c r="A65" t="s">
        <v>80</v>
      </c>
      <c r="B65" s="8">
        <v>34.880000000000003</v>
      </c>
      <c r="C65" s="9">
        <v>0</v>
      </c>
      <c r="D65" s="8">
        <v>1.71</v>
      </c>
      <c r="E65" s="9">
        <v>0</v>
      </c>
      <c r="F65" s="16">
        <f t="shared" si="0"/>
        <v>557.20520999999997</v>
      </c>
      <c r="G65" s="9">
        <v>10000</v>
      </c>
      <c r="H65" s="8">
        <v>1.93</v>
      </c>
      <c r="I65" s="9">
        <v>10001</v>
      </c>
      <c r="J65" s="9">
        <v>28000</v>
      </c>
      <c r="K65" s="8">
        <v>2.13</v>
      </c>
      <c r="L65" s="9">
        <v>28001</v>
      </c>
      <c r="M65" s="9">
        <v>48000</v>
      </c>
      <c r="N65" s="8">
        <v>2.36</v>
      </c>
      <c r="O65" s="9">
        <v>48001</v>
      </c>
      <c r="P65" s="9" t="s">
        <v>124</v>
      </c>
    </row>
    <row r="66" spans="1:16">
      <c r="A66" t="s">
        <v>52</v>
      </c>
      <c r="B66" s="8">
        <v>1.04</v>
      </c>
      <c r="C66" s="9">
        <v>3000</v>
      </c>
      <c r="D66" s="8">
        <v>1.3</v>
      </c>
      <c r="E66" s="9">
        <v>4000</v>
      </c>
      <c r="F66" s="16">
        <f t="shared" si="0"/>
        <v>423.60630000000003</v>
      </c>
      <c r="G66" s="9">
        <v>10000</v>
      </c>
      <c r="H66" s="8">
        <v>1.56</v>
      </c>
      <c r="I66" s="9">
        <v>11000</v>
      </c>
      <c r="J66" s="9">
        <v>20000</v>
      </c>
      <c r="K66" s="8">
        <v>1.82</v>
      </c>
      <c r="L66" s="9">
        <v>21000</v>
      </c>
      <c r="M66" s="9">
        <v>40000</v>
      </c>
      <c r="N66" s="8">
        <v>1.96</v>
      </c>
      <c r="O66" s="9">
        <v>41000</v>
      </c>
      <c r="P66" s="9">
        <v>60000</v>
      </c>
    </row>
    <row r="67" spans="1:16">
      <c r="A67" t="s">
        <v>110</v>
      </c>
      <c r="B67" t="s">
        <v>122</v>
      </c>
      <c r="F67" s="16">
        <f t="shared" si="0"/>
        <v>0</v>
      </c>
    </row>
    <row r="68" spans="1:16">
      <c r="A68" t="s">
        <v>53</v>
      </c>
      <c r="B68" t="s">
        <v>122</v>
      </c>
      <c r="F68" s="16">
        <f t="shared" si="0"/>
        <v>0</v>
      </c>
    </row>
    <row r="69" spans="1:16">
      <c r="A69" t="s">
        <v>111</v>
      </c>
      <c r="B69" s="8">
        <v>22</v>
      </c>
      <c r="C69" s="9">
        <v>17000</v>
      </c>
      <c r="D69" s="8">
        <v>1.3</v>
      </c>
      <c r="E69" s="9">
        <v>1000</v>
      </c>
      <c r="F69" s="16">
        <f t="shared" si="0"/>
        <v>423.60630000000003</v>
      </c>
      <c r="G69" s="9">
        <v>50000</v>
      </c>
      <c r="H69" s="8">
        <v>1.4</v>
      </c>
      <c r="I69" s="9">
        <v>1000</v>
      </c>
      <c r="J69" s="9">
        <v>50000</v>
      </c>
      <c r="K69" s="8">
        <v>1.5</v>
      </c>
      <c r="L69" s="9">
        <v>1000</v>
      </c>
      <c r="M69" s="9">
        <v>866000</v>
      </c>
      <c r="N69" s="8">
        <v>1.6</v>
      </c>
      <c r="O69" s="9">
        <v>1000</v>
      </c>
      <c r="P69" s="9">
        <v>9999999999999</v>
      </c>
    </row>
    <row r="70" spans="1:16" ht="24.75">
      <c r="A70" t="s">
        <v>102</v>
      </c>
      <c r="B70" s="8">
        <v>10</v>
      </c>
      <c r="C70" s="9">
        <v>0</v>
      </c>
      <c r="D70" s="8">
        <v>1.29</v>
      </c>
      <c r="E70" s="9">
        <v>1000</v>
      </c>
      <c r="F70" s="16">
        <f t="shared" si="0"/>
        <v>420.34779000000003</v>
      </c>
      <c r="G70" s="9" t="s">
        <v>125</v>
      </c>
      <c r="H70" s="8">
        <v>0</v>
      </c>
      <c r="I70" s="9">
        <v>0</v>
      </c>
      <c r="J70" s="9">
        <v>0</v>
      </c>
      <c r="K70" s="8">
        <v>0</v>
      </c>
      <c r="L70" s="9">
        <v>0</v>
      </c>
      <c r="M70" s="9">
        <v>0</v>
      </c>
      <c r="N70" s="8">
        <v>0</v>
      </c>
      <c r="O70" s="9">
        <v>0</v>
      </c>
      <c r="P70" s="9">
        <v>0</v>
      </c>
    </row>
    <row r="71" spans="1:16" ht="24.75">
      <c r="A71" t="s">
        <v>103</v>
      </c>
      <c r="B71" s="8">
        <v>15</v>
      </c>
      <c r="C71" s="9">
        <v>15000</v>
      </c>
      <c r="D71" s="8">
        <v>0.4</v>
      </c>
      <c r="E71" s="9">
        <v>1000</v>
      </c>
      <c r="F71" s="16">
        <f t="shared" ref="F71:F88" si="5">D71*$B$96</f>
        <v>130.34040000000002</v>
      </c>
      <c r="G71" s="9">
        <v>55000</v>
      </c>
      <c r="H71" s="8">
        <v>0.7</v>
      </c>
      <c r="I71" s="9">
        <v>1000</v>
      </c>
      <c r="J71" s="9" t="s">
        <v>124</v>
      </c>
      <c r="K71" s="8">
        <v>0</v>
      </c>
      <c r="L71" s="9">
        <v>0</v>
      </c>
      <c r="M71" s="9">
        <v>0</v>
      </c>
      <c r="N71" s="8">
        <v>0</v>
      </c>
      <c r="O71" s="9">
        <v>0</v>
      </c>
      <c r="P71" s="9">
        <v>0</v>
      </c>
    </row>
    <row r="72" spans="1:16">
      <c r="A72" t="s">
        <v>104</v>
      </c>
      <c r="B72" t="s">
        <v>122</v>
      </c>
      <c r="F72" s="16">
        <f t="shared" si="5"/>
        <v>0</v>
      </c>
    </row>
    <row r="73" spans="1:16" ht="24.75">
      <c r="A73" t="s">
        <v>54</v>
      </c>
      <c r="B73" s="8">
        <v>18.649999999999999</v>
      </c>
      <c r="C73" s="9">
        <v>10000</v>
      </c>
      <c r="D73" s="8">
        <v>0.06</v>
      </c>
      <c r="E73" s="9">
        <v>100</v>
      </c>
      <c r="F73" s="16">
        <f t="shared" si="5"/>
        <v>19.55106</v>
      </c>
      <c r="G73" s="9" t="s">
        <v>124</v>
      </c>
      <c r="H73" s="8">
        <v>0</v>
      </c>
      <c r="I73" s="9">
        <v>0</v>
      </c>
      <c r="J73" s="9">
        <v>0</v>
      </c>
      <c r="K73" s="8">
        <v>0</v>
      </c>
      <c r="L73" s="9">
        <v>0</v>
      </c>
      <c r="M73" s="9">
        <v>0</v>
      </c>
      <c r="N73" s="8">
        <v>0</v>
      </c>
      <c r="O73" s="9">
        <v>0</v>
      </c>
      <c r="P73" s="9">
        <v>0</v>
      </c>
    </row>
    <row r="74" spans="1:16">
      <c r="A74" t="s">
        <v>55</v>
      </c>
      <c r="B74" s="8">
        <v>16.5</v>
      </c>
      <c r="C74" s="10">
        <v>8000</v>
      </c>
      <c r="D74" s="8">
        <v>1.65</v>
      </c>
      <c r="E74" s="10">
        <v>1000</v>
      </c>
      <c r="F74" s="16">
        <f t="shared" si="5"/>
        <v>537.65414999999996</v>
      </c>
      <c r="G74" s="10">
        <v>8000</v>
      </c>
      <c r="H74" s="8">
        <v>2.0499999999999998</v>
      </c>
      <c r="I74" s="10">
        <v>1000</v>
      </c>
      <c r="J74" s="10">
        <v>7000</v>
      </c>
      <c r="K74" s="8">
        <v>2.4500000000000002</v>
      </c>
      <c r="L74" s="10">
        <v>1000</v>
      </c>
      <c r="M74" s="9" t="s">
        <v>135</v>
      </c>
      <c r="N74" s="8">
        <v>0</v>
      </c>
      <c r="O74" s="9">
        <v>0</v>
      </c>
      <c r="P74" s="9">
        <v>0</v>
      </c>
    </row>
    <row r="75" spans="1:16">
      <c r="A75" t="s">
        <v>81</v>
      </c>
      <c r="B75" s="11">
        <v>2.5</v>
      </c>
      <c r="C75" s="13"/>
      <c r="D75" s="11">
        <v>1.35</v>
      </c>
      <c r="E75" s="13">
        <v>1000</v>
      </c>
      <c r="F75" s="16">
        <f t="shared" si="5"/>
        <v>439.89885000000004</v>
      </c>
      <c r="G75" s="12">
        <v>999999</v>
      </c>
      <c r="H75" s="8">
        <v>0</v>
      </c>
      <c r="I75" s="9">
        <v>0</v>
      </c>
      <c r="J75" s="9">
        <v>0</v>
      </c>
      <c r="K75" s="8">
        <v>0</v>
      </c>
      <c r="L75" s="9">
        <v>0</v>
      </c>
      <c r="M75" s="9">
        <v>0</v>
      </c>
      <c r="N75" s="8">
        <v>0</v>
      </c>
      <c r="O75" s="9">
        <v>0</v>
      </c>
      <c r="P75" s="9">
        <v>0</v>
      </c>
    </row>
    <row r="76" spans="1:16">
      <c r="A76" t="s">
        <v>56</v>
      </c>
      <c r="B76" s="8">
        <v>20</v>
      </c>
      <c r="C76" s="10">
        <v>10000</v>
      </c>
      <c r="D76" s="8">
        <v>3</v>
      </c>
      <c r="E76" s="10">
        <v>1000</v>
      </c>
      <c r="F76" s="16">
        <f t="shared" si="5"/>
        <v>977.553</v>
      </c>
      <c r="G76" s="10">
        <v>5000</v>
      </c>
      <c r="H76" s="8">
        <v>3.5</v>
      </c>
      <c r="I76" s="10">
        <v>1000</v>
      </c>
      <c r="J76" s="10">
        <v>5000</v>
      </c>
      <c r="K76" s="8">
        <v>4</v>
      </c>
      <c r="L76" s="10">
        <v>1000</v>
      </c>
      <c r="M76" s="9">
        <v>9999999999999</v>
      </c>
      <c r="N76" s="8">
        <v>0</v>
      </c>
      <c r="O76" s="9">
        <v>0</v>
      </c>
      <c r="P76" s="9">
        <v>0</v>
      </c>
    </row>
    <row r="77" spans="1:16">
      <c r="A77" t="s">
        <v>105</v>
      </c>
      <c r="B77" t="s">
        <v>122</v>
      </c>
      <c r="F77" s="16">
        <f t="shared" si="5"/>
        <v>0</v>
      </c>
    </row>
    <row r="78" spans="1:16">
      <c r="A78" t="s">
        <v>57</v>
      </c>
      <c r="B78" s="8">
        <v>17.5</v>
      </c>
      <c r="C78" s="9">
        <v>0</v>
      </c>
      <c r="D78" s="8">
        <v>0.9</v>
      </c>
      <c r="E78" s="9">
        <v>1000</v>
      </c>
      <c r="F78" s="16">
        <f t="shared" si="5"/>
        <v>293.26589999999999</v>
      </c>
      <c r="G78" s="9">
        <v>5000</v>
      </c>
      <c r="H78" s="8">
        <v>1</v>
      </c>
      <c r="I78" s="9">
        <v>1000</v>
      </c>
      <c r="J78" s="9">
        <v>5000</v>
      </c>
      <c r="K78" s="8">
        <v>1.1000000000000001</v>
      </c>
      <c r="L78" s="9">
        <v>1000</v>
      </c>
      <c r="M78" s="9">
        <v>5000</v>
      </c>
      <c r="N78" s="8">
        <v>1.2</v>
      </c>
      <c r="O78" s="9">
        <v>1000</v>
      </c>
      <c r="P78" s="9">
        <v>5000</v>
      </c>
    </row>
    <row r="79" spans="1:16">
      <c r="A79" t="s">
        <v>29</v>
      </c>
      <c r="B79" s="11">
        <v>29.5</v>
      </c>
      <c r="C79" s="12">
        <v>20000</v>
      </c>
      <c r="D79" s="11">
        <v>0.6</v>
      </c>
      <c r="E79" s="12">
        <v>1000</v>
      </c>
      <c r="F79" s="16">
        <f t="shared" si="5"/>
        <v>195.51059999999998</v>
      </c>
      <c r="G79" s="12">
        <v>30000</v>
      </c>
      <c r="H79" s="11">
        <v>0.8</v>
      </c>
      <c r="I79" s="12">
        <v>1000</v>
      </c>
      <c r="J79" s="12">
        <v>999999</v>
      </c>
      <c r="K79" s="8">
        <v>0</v>
      </c>
      <c r="L79" s="9">
        <v>0</v>
      </c>
      <c r="M79" s="9">
        <v>0</v>
      </c>
      <c r="N79" s="8">
        <v>0</v>
      </c>
      <c r="O79" s="9">
        <v>0</v>
      </c>
      <c r="P79" s="9">
        <v>0</v>
      </c>
    </row>
    <row r="80" spans="1:16">
      <c r="A80" t="s">
        <v>58</v>
      </c>
      <c r="B80" s="11">
        <v>22</v>
      </c>
      <c r="C80" s="12">
        <v>12000</v>
      </c>
      <c r="D80" s="11">
        <v>0.6</v>
      </c>
      <c r="E80" s="12">
        <v>1000</v>
      </c>
      <c r="F80" s="16">
        <f t="shared" si="5"/>
        <v>195.51059999999998</v>
      </c>
      <c r="G80" s="12">
        <v>999999</v>
      </c>
      <c r="H80" s="8">
        <v>0</v>
      </c>
      <c r="I80" s="9">
        <v>0</v>
      </c>
      <c r="J80" s="9">
        <v>0</v>
      </c>
      <c r="K80" s="8">
        <v>0</v>
      </c>
      <c r="L80" s="9">
        <v>0</v>
      </c>
      <c r="M80" s="9">
        <v>0</v>
      </c>
      <c r="N80" s="8">
        <v>0</v>
      </c>
      <c r="O80" s="9">
        <v>0</v>
      </c>
      <c r="P80" s="9">
        <v>0</v>
      </c>
    </row>
    <row r="81" spans="1:16">
      <c r="A81" t="s">
        <v>59</v>
      </c>
      <c r="B81" t="s">
        <v>122</v>
      </c>
      <c r="F81" s="16">
        <f t="shared" si="5"/>
        <v>0</v>
      </c>
    </row>
    <row r="82" spans="1:16">
      <c r="A82" t="s">
        <v>82</v>
      </c>
      <c r="B82" t="s">
        <v>122</v>
      </c>
      <c r="F82" s="16">
        <f t="shared" si="5"/>
        <v>0</v>
      </c>
    </row>
    <row r="83" spans="1:16">
      <c r="A83" t="s">
        <v>60</v>
      </c>
      <c r="B83" s="8">
        <v>20</v>
      </c>
      <c r="C83" s="9">
        <v>6000</v>
      </c>
      <c r="D83" s="8">
        <v>1.25</v>
      </c>
      <c r="E83" s="9">
        <v>1000</v>
      </c>
      <c r="F83" s="16">
        <f t="shared" si="5"/>
        <v>407.31375000000003</v>
      </c>
      <c r="G83" s="9">
        <v>4000</v>
      </c>
      <c r="H83" s="8">
        <v>1.5</v>
      </c>
      <c r="I83" s="9">
        <v>1000</v>
      </c>
      <c r="J83" s="9" t="s">
        <v>136</v>
      </c>
      <c r="K83" s="8">
        <v>0</v>
      </c>
      <c r="L83" s="9">
        <v>0</v>
      </c>
      <c r="M83" s="9">
        <v>0</v>
      </c>
      <c r="N83" s="8">
        <v>0</v>
      </c>
      <c r="O83" s="9">
        <v>0</v>
      </c>
      <c r="P83" s="9">
        <v>0</v>
      </c>
    </row>
    <row r="84" spans="1:16">
      <c r="A84" t="s">
        <v>83</v>
      </c>
      <c r="B84" t="s">
        <v>122</v>
      </c>
      <c r="F84" s="16">
        <f t="shared" si="5"/>
        <v>0</v>
      </c>
    </row>
    <row r="85" spans="1:16">
      <c r="A85" t="s">
        <v>84</v>
      </c>
      <c r="B85" s="8">
        <v>43</v>
      </c>
      <c r="C85" s="9">
        <v>7500</v>
      </c>
      <c r="D85" s="8">
        <v>0.9</v>
      </c>
      <c r="E85" s="9">
        <v>750</v>
      </c>
      <c r="F85" s="16">
        <f t="shared" si="5"/>
        <v>293.26589999999999</v>
      </c>
      <c r="G85" s="9">
        <v>0</v>
      </c>
      <c r="H85" s="8">
        <v>0</v>
      </c>
      <c r="I85" s="9">
        <v>0</v>
      </c>
      <c r="J85" s="9">
        <v>0</v>
      </c>
      <c r="K85" s="8">
        <v>0</v>
      </c>
      <c r="L85" s="9">
        <v>0</v>
      </c>
      <c r="M85" s="9">
        <v>0</v>
      </c>
      <c r="N85" s="8">
        <v>0</v>
      </c>
      <c r="O85" s="9">
        <v>0</v>
      </c>
      <c r="P85" s="9">
        <v>0</v>
      </c>
    </row>
    <row r="86" spans="1:16">
      <c r="A86" t="s">
        <v>61</v>
      </c>
      <c r="B86" s="8">
        <v>25</v>
      </c>
      <c r="C86" s="9">
        <v>25000</v>
      </c>
      <c r="D86" s="8">
        <v>1.1000000000000001</v>
      </c>
      <c r="E86" s="9">
        <v>1000</v>
      </c>
      <c r="F86" s="16">
        <f t="shared" si="5"/>
        <v>358.43610000000001</v>
      </c>
      <c r="G86" s="9">
        <v>75000</v>
      </c>
      <c r="H86" s="8">
        <v>1.2</v>
      </c>
      <c r="I86" s="9">
        <v>1000</v>
      </c>
      <c r="J86" s="9">
        <v>100000</v>
      </c>
      <c r="K86" s="8">
        <v>1.5</v>
      </c>
      <c r="L86" s="9">
        <v>1000</v>
      </c>
      <c r="M86" s="9">
        <v>100000</v>
      </c>
      <c r="N86" s="8">
        <v>2</v>
      </c>
      <c r="O86" s="9">
        <v>1000</v>
      </c>
      <c r="P86" s="9">
        <v>100000</v>
      </c>
    </row>
    <row r="87" spans="1:16">
      <c r="A87" t="s">
        <v>106</v>
      </c>
      <c r="B87" t="s">
        <v>122</v>
      </c>
      <c r="F87" s="16">
        <f t="shared" si="5"/>
        <v>0</v>
      </c>
    </row>
    <row r="88" spans="1:16" ht="24.75">
      <c r="A88" t="s">
        <v>62</v>
      </c>
      <c r="B88" s="8">
        <v>11</v>
      </c>
      <c r="C88" s="9">
        <v>5000</v>
      </c>
      <c r="D88" s="8">
        <v>1.6</v>
      </c>
      <c r="E88" s="9">
        <v>1000</v>
      </c>
      <c r="F88" s="16">
        <f t="shared" si="5"/>
        <v>521.36160000000007</v>
      </c>
      <c r="G88" s="9" t="s">
        <v>124</v>
      </c>
      <c r="H88" s="11">
        <v>0</v>
      </c>
      <c r="I88" s="13">
        <v>0</v>
      </c>
      <c r="J88" s="13">
        <v>0</v>
      </c>
      <c r="K88" s="11">
        <v>0</v>
      </c>
      <c r="L88" s="13">
        <v>0</v>
      </c>
      <c r="M88" s="13">
        <v>0</v>
      </c>
      <c r="N88" s="11">
        <v>0</v>
      </c>
      <c r="O88" s="13">
        <v>0</v>
      </c>
      <c r="P88" s="13">
        <v>0</v>
      </c>
    </row>
    <row r="92" spans="1:16">
      <c r="A92" t="s">
        <v>137</v>
      </c>
    </row>
    <row r="93" spans="1:16">
      <c r="A93" s="14">
        <v>1.1800000000000001E-3</v>
      </c>
      <c r="B93">
        <v>325851</v>
      </c>
      <c r="C93" s="15">
        <f>A93*B93</f>
        <v>384.50418000000002</v>
      </c>
    </row>
    <row r="94" spans="1:16">
      <c r="A94" t="s">
        <v>138</v>
      </c>
      <c r="B94" t="s">
        <v>139</v>
      </c>
      <c r="C94" t="s">
        <v>140</v>
      </c>
    </row>
    <row r="96" spans="1:16">
      <c r="B96">
        <f>B93/1000</f>
        <v>325.851</v>
      </c>
      <c r="E96" s="14"/>
    </row>
    <row r="97" spans="2:2">
      <c r="B97" t="s">
        <v>141</v>
      </c>
    </row>
  </sheetData>
  <sortState ref="A5:E88">
    <sortCondition ref="A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Res price per af figs</vt:lpstr>
      <vt:lpstr>Urban Economic Loss Functions</vt:lpstr>
      <vt:lpstr>Data</vt:lpstr>
      <vt:lpstr>Logan</vt:lpstr>
      <vt:lpstr>Ogden</vt:lpstr>
      <vt:lpstr>SLC</vt:lpstr>
      <vt:lpstr>Provo</vt:lpstr>
      <vt:lpstr>2010 Population</vt:lpstr>
      <vt:lpstr>2010 Water Rates</vt:lpstr>
      <vt:lpstr>2010 Water Use</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Null</dc:creator>
  <cp:lastModifiedBy>Sarah Null</cp:lastModifiedBy>
  <cp:lastPrinted>2016-06-28T14:52:14Z</cp:lastPrinted>
  <dcterms:created xsi:type="dcterms:W3CDTF">2016-05-19T18:00:37Z</dcterms:created>
  <dcterms:modified xsi:type="dcterms:W3CDTF">2018-06-11T20:07:40Z</dcterms:modified>
</cp:coreProperties>
</file>