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Wladimir L. Vianna\Desktop\"/>
    </mc:Choice>
  </mc:AlternateContent>
  <bookViews>
    <workbookView xWindow="0" yWindow="0" windowWidth="19200" windowHeight="6950"/>
  </bookViews>
  <sheets>
    <sheet name="DADOS 2024 I" sheetId="1" r:id="rId1"/>
    <sheet name="DESEMP BOMBA I" sheetId="2" r:id="rId2"/>
    <sheet name="GRÁFICO ÁGUA 2024 I" sheetId="3" r:id="rId3"/>
    <sheet name="GRÁFICO ´ÁGUA 2024" sheetId="4" r:id="rId4"/>
    <sheet name="CUSTO ÁGUA 2024 I" sheetId="5" r:id="rId5"/>
    <sheet name="GRÁFICO ENERGIA REF 2023 I " sheetId="6" r:id="rId6"/>
    <sheet name="TABELA ANOTAÇÕES 2003" sheetId="7" state="hidden" r:id="rId7"/>
    <sheet name="TABELA ANOTAÇÕES 2004" sheetId="8" state="hidden" r:id="rId8"/>
    <sheet name="LOURDES" sheetId="9" state="hidden" r:id="rId9"/>
    <sheet name="PADRÃO 2010" sheetId="10" state="hidden" r:id="rId10"/>
    <sheet name="Abaixo de Zero" sheetId="11" r:id="rId11"/>
    <sheet name="Masp" sheetId="12" r:id="rId12"/>
    <sheet name="Galpão 03" sheetId="13" r:id="rId13"/>
    <sheet name="Metal Printing" sheetId="14" r:id="rId14"/>
    <sheet name="Galpão 06 - Piso Térreo" sheetId="15" r:id="rId15"/>
    <sheet name="Galpão 06 - Piso Intermediário" sheetId="16" r:id="rId16"/>
    <sheet name="Galpão 07 - Piso Inferior" sheetId="17" r:id="rId17"/>
    <sheet name="Galpão 07 - Piso Superior" sheetId="18" r:id="rId18"/>
    <sheet name=" Nek Packing" sheetId="19" r:id="rId19"/>
    <sheet name="Galpão 08 - Piso Superior" sheetId="20" r:id="rId20"/>
    <sheet name="Galpão 09" sheetId="21" r:id="rId21"/>
  </sheets>
  <calcPr calcId="162913"/>
  <extLst>
    <ext uri="GoogleSheetsCustomDataVersion2">
      <go:sheetsCustomData xmlns:go="http://customooxmlschemas.google.com/" r:id="rId25" roundtripDataChecksum="F6WMbmLzCSS1BQyhDjBUIdo9hkMJW8YpYVXZJMnHgT0="/>
    </ext>
  </extLst>
</workbook>
</file>

<file path=xl/calcChain.xml><?xml version="1.0" encoding="utf-8"?>
<calcChain xmlns="http://schemas.openxmlformats.org/spreadsheetml/2006/main">
  <c r="N5" i="21" l="1"/>
  <c r="M5" i="21"/>
  <c r="L5" i="21"/>
  <c r="K5" i="21"/>
  <c r="J5" i="21"/>
  <c r="I5" i="21"/>
  <c r="H5" i="21"/>
  <c r="G5" i="21"/>
  <c r="F5" i="21"/>
  <c r="E5" i="21"/>
  <c r="D5" i="21"/>
  <c r="C5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5" i="21" s="1"/>
  <c r="N5" i="20"/>
  <c r="M5" i="20"/>
  <c r="L5" i="20"/>
  <c r="K5" i="20"/>
  <c r="J5" i="20"/>
  <c r="I5" i="20"/>
  <c r="H5" i="20"/>
  <c r="G5" i="20"/>
  <c r="F5" i="20"/>
  <c r="E5" i="20"/>
  <c r="D5" i="20"/>
  <c r="C5" i="20"/>
  <c r="A5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N5" i="19"/>
  <c r="M5" i="19"/>
  <c r="L5" i="19"/>
  <c r="K5" i="19"/>
  <c r="J5" i="19"/>
  <c r="I5" i="19"/>
  <c r="H5" i="19"/>
  <c r="G5" i="19"/>
  <c r="F5" i="19"/>
  <c r="E5" i="19"/>
  <c r="D5" i="19"/>
  <c r="C5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N5" i="18"/>
  <c r="M5" i="18"/>
  <c r="L5" i="18"/>
  <c r="K5" i="18"/>
  <c r="J5" i="18"/>
  <c r="I5" i="18"/>
  <c r="H5" i="18"/>
  <c r="G5" i="18"/>
  <c r="F5" i="18"/>
  <c r="E5" i="18"/>
  <c r="D5" i="18"/>
  <c r="C5" i="18"/>
  <c r="A5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A2" i="18"/>
  <c r="N5" i="17"/>
  <c r="M5" i="17"/>
  <c r="L5" i="17"/>
  <c r="K5" i="17"/>
  <c r="J5" i="17"/>
  <c r="I5" i="17"/>
  <c r="H5" i="17"/>
  <c r="G5" i="17"/>
  <c r="F5" i="17"/>
  <c r="E5" i="17"/>
  <c r="D5" i="17"/>
  <c r="C5" i="17"/>
  <c r="A5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2" i="17"/>
  <c r="N5" i="16"/>
  <c r="M5" i="16"/>
  <c r="L5" i="16"/>
  <c r="K5" i="16"/>
  <c r="J5" i="16"/>
  <c r="I5" i="16"/>
  <c r="H5" i="16"/>
  <c r="G5" i="16"/>
  <c r="F5" i="16"/>
  <c r="E5" i="16"/>
  <c r="D5" i="16"/>
  <c r="C5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N5" i="15"/>
  <c r="M5" i="15"/>
  <c r="L5" i="15"/>
  <c r="K5" i="15"/>
  <c r="J5" i="15"/>
  <c r="I5" i="15"/>
  <c r="H5" i="15"/>
  <c r="G5" i="15"/>
  <c r="F5" i="15"/>
  <c r="E5" i="15"/>
  <c r="D5" i="15"/>
  <c r="C5" i="15"/>
  <c r="A5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2" i="15"/>
  <c r="N9" i="14"/>
  <c r="M9" i="14"/>
  <c r="L9" i="14"/>
  <c r="L10" i="14" s="1"/>
  <c r="K9" i="14"/>
  <c r="J9" i="14"/>
  <c r="I9" i="14"/>
  <c r="H9" i="14"/>
  <c r="H10" i="14" s="1"/>
  <c r="G9" i="14"/>
  <c r="F9" i="14"/>
  <c r="E9" i="14"/>
  <c r="D9" i="14"/>
  <c r="D10" i="14" s="1"/>
  <c r="C9" i="14"/>
  <c r="A9" i="14"/>
  <c r="N8" i="14"/>
  <c r="M8" i="14"/>
  <c r="M10" i="14" s="1"/>
  <c r="L8" i="14"/>
  <c r="K8" i="14"/>
  <c r="J8" i="14"/>
  <c r="I8" i="14"/>
  <c r="I10" i="14" s="1"/>
  <c r="H8" i="14"/>
  <c r="G8" i="14"/>
  <c r="F8" i="14"/>
  <c r="E8" i="14"/>
  <c r="E10" i="14" s="1"/>
  <c r="D8" i="14"/>
  <c r="C8" i="14"/>
  <c r="N7" i="14"/>
  <c r="N10" i="14" s="1"/>
  <c r="M7" i="14"/>
  <c r="L7" i="14"/>
  <c r="K7" i="14"/>
  <c r="K10" i="14" s="1"/>
  <c r="J7" i="14"/>
  <c r="J10" i="14" s="1"/>
  <c r="I7" i="14"/>
  <c r="H7" i="14"/>
  <c r="G7" i="14"/>
  <c r="G10" i="14" s="1"/>
  <c r="F7" i="14"/>
  <c r="F10" i="14" s="1"/>
  <c r="E7" i="14"/>
  <c r="D7" i="14"/>
  <c r="C7" i="14"/>
  <c r="C10" i="14" s="1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8" i="14" s="1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N5" i="13"/>
  <c r="M5" i="13"/>
  <c r="L5" i="13"/>
  <c r="K5" i="13"/>
  <c r="J5" i="13"/>
  <c r="I5" i="13"/>
  <c r="H5" i="13"/>
  <c r="G5" i="13"/>
  <c r="F5" i="13"/>
  <c r="E5" i="13"/>
  <c r="D5" i="13"/>
  <c r="C5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N5" i="12"/>
  <c r="M5" i="12"/>
  <c r="L5" i="12"/>
  <c r="K5" i="12"/>
  <c r="J5" i="12"/>
  <c r="I5" i="12"/>
  <c r="H5" i="12"/>
  <c r="G5" i="12"/>
  <c r="E5" i="12"/>
  <c r="D5" i="12"/>
  <c r="C5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N5" i="11"/>
  <c r="M5" i="11"/>
  <c r="L5" i="11"/>
  <c r="K5" i="11"/>
  <c r="J5" i="11"/>
  <c r="I5" i="11"/>
  <c r="H5" i="11"/>
  <c r="G5" i="11"/>
  <c r="F5" i="11"/>
  <c r="E5" i="11"/>
  <c r="D5" i="11"/>
  <c r="C5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M33" i="10"/>
  <c r="L33" i="10"/>
  <c r="K33" i="10"/>
  <c r="J33" i="10"/>
  <c r="I33" i="10"/>
  <c r="H33" i="10"/>
  <c r="G33" i="10"/>
  <c r="F33" i="10"/>
  <c r="E33" i="10"/>
  <c r="D33" i="10"/>
  <c r="C33" i="10"/>
  <c r="B33" i="10"/>
  <c r="E7" i="9"/>
  <c r="I7" i="9" s="1"/>
  <c r="H4" i="9"/>
  <c r="G4" i="9"/>
  <c r="F4" i="9"/>
  <c r="E4" i="9"/>
  <c r="I4" i="9" s="1"/>
  <c r="M28" i="8"/>
  <c r="L28" i="8"/>
  <c r="K28" i="8"/>
  <c r="J28" i="8"/>
  <c r="H28" i="8"/>
  <c r="G28" i="8"/>
  <c r="F28" i="8"/>
  <c r="E28" i="8"/>
  <c r="D28" i="8"/>
  <c r="C28" i="8"/>
  <c r="B28" i="8"/>
  <c r="M16" i="8"/>
  <c r="L16" i="8"/>
  <c r="K16" i="8"/>
  <c r="J16" i="8"/>
  <c r="I16" i="8"/>
  <c r="H16" i="8"/>
  <c r="G16" i="8"/>
  <c r="F16" i="8"/>
  <c r="E16" i="8"/>
  <c r="D16" i="8"/>
  <c r="C16" i="8"/>
  <c r="B16" i="8"/>
  <c r="M28" i="7"/>
  <c r="L28" i="7"/>
  <c r="K28" i="7"/>
  <c r="J28" i="7"/>
  <c r="I28" i="7"/>
  <c r="H28" i="7"/>
  <c r="G28" i="7"/>
  <c r="F28" i="7"/>
  <c r="E28" i="7"/>
  <c r="D28" i="7"/>
  <c r="C28" i="7"/>
  <c r="B28" i="7"/>
  <c r="M16" i="7"/>
  <c r="L16" i="7"/>
  <c r="K16" i="7"/>
  <c r="J16" i="7"/>
  <c r="I16" i="7"/>
  <c r="H16" i="7"/>
  <c r="G16" i="7"/>
  <c r="F16" i="7"/>
  <c r="E16" i="7"/>
  <c r="D16" i="7"/>
  <c r="C16" i="7"/>
  <c r="B16" i="7"/>
  <c r="E76" i="6"/>
  <c r="D76" i="6"/>
  <c r="D73" i="6" s="1"/>
  <c r="C76" i="6"/>
  <c r="C73" i="6" s="1"/>
  <c r="B76" i="6"/>
  <c r="N76" i="6" s="1"/>
  <c r="D75" i="6"/>
  <c r="B73" i="6"/>
  <c r="N72" i="6"/>
  <c r="M68" i="6"/>
  <c r="L68" i="6"/>
  <c r="K68" i="6"/>
  <c r="J68" i="6"/>
  <c r="I68" i="6"/>
  <c r="H68" i="6"/>
  <c r="G68" i="6"/>
  <c r="F68" i="6"/>
  <c r="E68" i="6"/>
  <c r="D68" i="6"/>
  <c r="C68" i="6"/>
  <c r="B68" i="6"/>
  <c r="N68" i="6" s="1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M66" i="6"/>
  <c r="L66" i="6"/>
  <c r="K66" i="6"/>
  <c r="J66" i="6"/>
  <c r="I66" i="6"/>
  <c r="H66" i="6"/>
  <c r="G66" i="6"/>
  <c r="F66" i="6"/>
  <c r="E66" i="6"/>
  <c r="D66" i="6"/>
  <c r="C66" i="6"/>
  <c r="B66" i="6"/>
  <c r="N66" i="6" s="1"/>
  <c r="M65" i="6"/>
  <c r="L65" i="6"/>
  <c r="K65" i="6"/>
  <c r="J65" i="6"/>
  <c r="I65" i="6"/>
  <c r="H65" i="6"/>
  <c r="G65" i="6"/>
  <c r="F65" i="6"/>
  <c r="E65" i="6"/>
  <c r="D65" i="6"/>
  <c r="C65" i="6"/>
  <c r="B65" i="6"/>
  <c r="N65" i="6" s="1"/>
  <c r="H64" i="6"/>
  <c r="N64" i="6" s="1"/>
  <c r="M63" i="6"/>
  <c r="L63" i="6"/>
  <c r="K63" i="6"/>
  <c r="J63" i="6"/>
  <c r="H63" i="6"/>
  <c r="G63" i="6"/>
  <c r="F63" i="6"/>
  <c r="E63" i="6"/>
  <c r="N63" i="6" s="1"/>
  <c r="D63" i="6"/>
  <c r="C63" i="6"/>
  <c r="B63" i="6"/>
  <c r="B75" i="6" s="1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M61" i="6"/>
  <c r="L61" i="6"/>
  <c r="K61" i="6"/>
  <c r="J61" i="6"/>
  <c r="I61" i="6"/>
  <c r="H61" i="6"/>
  <c r="G61" i="6"/>
  <c r="F61" i="6"/>
  <c r="E61" i="6"/>
  <c r="D61" i="6"/>
  <c r="C61" i="6"/>
  <c r="C75" i="6" s="1"/>
  <c r="B61" i="6"/>
  <c r="N61" i="6" s="1"/>
  <c r="K60" i="6"/>
  <c r="M59" i="6"/>
  <c r="L59" i="6"/>
  <c r="K59" i="6"/>
  <c r="J59" i="6"/>
  <c r="I59" i="6"/>
  <c r="H59" i="6"/>
  <c r="G59" i="6"/>
  <c r="F59" i="6"/>
  <c r="E59" i="6"/>
  <c r="E74" i="6" s="1"/>
  <c r="D59" i="6"/>
  <c r="D74" i="6" s="1"/>
  <c r="C59" i="6"/>
  <c r="C74" i="6" s="1"/>
  <c r="B59" i="6"/>
  <c r="N59" i="6" s="1"/>
  <c r="N58" i="6"/>
  <c r="I58" i="6"/>
  <c r="G58" i="6"/>
  <c r="M57" i="6"/>
  <c r="L57" i="6"/>
  <c r="K57" i="6"/>
  <c r="J57" i="6"/>
  <c r="I57" i="6"/>
  <c r="H57" i="6"/>
  <c r="G57" i="6"/>
  <c r="F57" i="6"/>
  <c r="E57" i="6"/>
  <c r="E73" i="6" s="1"/>
  <c r="D57" i="6"/>
  <c r="C57" i="6"/>
  <c r="B57" i="6"/>
  <c r="N57" i="6" s="1"/>
  <c r="M54" i="6"/>
  <c r="L54" i="6"/>
  <c r="K54" i="6"/>
  <c r="J54" i="6"/>
  <c r="I54" i="6"/>
  <c r="H54" i="6"/>
  <c r="G54" i="6"/>
  <c r="F54" i="6"/>
  <c r="E54" i="6"/>
  <c r="D54" i="6"/>
  <c r="C54" i="6"/>
  <c r="B54" i="6"/>
  <c r="N54" i="6" s="1"/>
  <c r="M74" i="5"/>
  <c r="L74" i="5"/>
  <c r="K74" i="5"/>
  <c r="J74" i="5"/>
  <c r="I74" i="5"/>
  <c r="H74" i="5"/>
  <c r="G74" i="5"/>
  <c r="F74" i="5"/>
  <c r="C74" i="5"/>
  <c r="B74" i="5"/>
  <c r="I73" i="5"/>
  <c r="G73" i="5"/>
  <c r="F66" i="5"/>
  <c r="E66" i="5"/>
  <c r="E53" i="5"/>
  <c r="D48" i="5"/>
  <c r="D74" i="5" s="1"/>
  <c r="E27" i="5"/>
  <c r="E74" i="5" s="1"/>
  <c r="M191" i="4"/>
  <c r="L191" i="4"/>
  <c r="K191" i="4"/>
  <c r="J191" i="4"/>
  <c r="I191" i="4"/>
  <c r="H191" i="4"/>
  <c r="F191" i="4"/>
  <c r="B191" i="4"/>
  <c r="G190" i="4"/>
  <c r="F190" i="4"/>
  <c r="E190" i="4"/>
  <c r="D190" i="4"/>
  <c r="C190" i="4"/>
  <c r="B190" i="4"/>
  <c r="N190" i="4" s="1"/>
  <c r="G189" i="4"/>
  <c r="F189" i="4"/>
  <c r="E189" i="4"/>
  <c r="D189" i="4"/>
  <c r="N189" i="4" s="1"/>
  <c r="C189" i="4"/>
  <c r="B189" i="4"/>
  <c r="G188" i="4"/>
  <c r="G191" i="4" s="1"/>
  <c r="F188" i="4"/>
  <c r="E188" i="4"/>
  <c r="E191" i="4" s="1"/>
  <c r="D188" i="4"/>
  <c r="D191" i="4" s="1"/>
  <c r="C188" i="4"/>
  <c r="N188" i="4" s="1"/>
  <c r="B188" i="4"/>
  <c r="M187" i="4"/>
  <c r="L187" i="4"/>
  <c r="K187" i="4"/>
  <c r="J187" i="4"/>
  <c r="I187" i="4"/>
  <c r="H187" i="4"/>
  <c r="C186" i="4"/>
  <c r="G185" i="4"/>
  <c r="F185" i="4"/>
  <c r="D185" i="4"/>
  <c r="C185" i="4"/>
  <c r="N185" i="4" s="1"/>
  <c r="B185" i="4"/>
  <c r="B184" i="4"/>
  <c r="G183" i="4"/>
  <c r="F183" i="4"/>
  <c r="D183" i="4"/>
  <c r="C183" i="4"/>
  <c r="B183" i="4"/>
  <c r="N183" i="4" s="1"/>
  <c r="B182" i="4"/>
  <c r="G181" i="4"/>
  <c r="F181" i="4"/>
  <c r="D181" i="4"/>
  <c r="C181" i="4"/>
  <c r="B181" i="4"/>
  <c r="N181" i="4" s="1"/>
  <c r="G180" i="4"/>
  <c r="F180" i="4"/>
  <c r="D180" i="4"/>
  <c r="B180" i="4"/>
  <c r="G179" i="4"/>
  <c r="F179" i="4"/>
  <c r="E179" i="4"/>
  <c r="D179" i="4"/>
  <c r="N179" i="4" s="1"/>
  <c r="C179" i="4"/>
  <c r="B179" i="4"/>
  <c r="B178" i="4"/>
  <c r="B177" i="4"/>
  <c r="G176" i="4"/>
  <c r="F176" i="4"/>
  <c r="D176" i="4"/>
  <c r="C176" i="4"/>
  <c r="B176" i="4"/>
  <c r="N176" i="4" s="1"/>
  <c r="B175" i="4"/>
  <c r="G174" i="4"/>
  <c r="F174" i="4"/>
  <c r="D174" i="4"/>
  <c r="C174" i="4"/>
  <c r="N174" i="4" s="1"/>
  <c r="B174" i="4"/>
  <c r="B173" i="4"/>
  <c r="G172" i="4"/>
  <c r="F172" i="4"/>
  <c r="D172" i="4"/>
  <c r="C172" i="4"/>
  <c r="B172" i="4"/>
  <c r="N172" i="4" s="1"/>
  <c r="G171" i="4"/>
  <c r="F171" i="4"/>
  <c r="D171" i="4"/>
  <c r="C171" i="4"/>
  <c r="B171" i="4"/>
  <c r="N171" i="4" s="1"/>
  <c r="G170" i="4"/>
  <c r="F170" i="4"/>
  <c r="E170" i="4"/>
  <c r="D170" i="4"/>
  <c r="C170" i="4"/>
  <c r="N170" i="4" s="1"/>
  <c r="B170" i="4"/>
  <c r="G169" i="4"/>
  <c r="F169" i="4"/>
  <c r="E169" i="4"/>
  <c r="D169" i="4"/>
  <c r="C169" i="4"/>
  <c r="B169" i="4"/>
  <c r="N169" i="4" s="1"/>
  <c r="C168" i="4"/>
  <c r="B168" i="4"/>
  <c r="G167" i="4"/>
  <c r="F167" i="4"/>
  <c r="D167" i="4"/>
  <c r="C167" i="4"/>
  <c r="B167" i="4"/>
  <c r="N167" i="4" s="1"/>
  <c r="G166" i="4"/>
  <c r="F166" i="4"/>
  <c r="D166" i="4"/>
  <c r="C166" i="4"/>
  <c r="B166" i="4"/>
  <c r="N166" i="4" s="1"/>
  <c r="B165" i="4"/>
  <c r="G164" i="4"/>
  <c r="F164" i="4"/>
  <c r="E164" i="4"/>
  <c r="D164" i="4"/>
  <c r="N164" i="4" s="1"/>
  <c r="C164" i="4"/>
  <c r="B164" i="4"/>
  <c r="B163" i="4"/>
  <c r="G162" i="4"/>
  <c r="F162" i="4"/>
  <c r="D162" i="4"/>
  <c r="C162" i="4"/>
  <c r="N162" i="4" s="1"/>
  <c r="B162" i="4"/>
  <c r="B161" i="4"/>
  <c r="G160" i="4"/>
  <c r="F160" i="4"/>
  <c r="D160" i="4"/>
  <c r="C160" i="4"/>
  <c r="B160" i="4"/>
  <c r="N160" i="4" s="1"/>
  <c r="G158" i="4"/>
  <c r="F158" i="4"/>
  <c r="D158" i="4"/>
  <c r="C158" i="4"/>
  <c r="B158" i="4"/>
  <c r="N158" i="4" s="1"/>
  <c r="G156" i="4"/>
  <c r="F156" i="4"/>
  <c r="D156" i="4"/>
  <c r="C156" i="4"/>
  <c r="B156" i="4"/>
  <c r="N156" i="4" s="1"/>
  <c r="G154" i="4"/>
  <c r="F154" i="4"/>
  <c r="D154" i="4"/>
  <c r="C154" i="4"/>
  <c r="B154" i="4"/>
  <c r="N154" i="4" s="1"/>
  <c r="G152" i="4"/>
  <c r="F152" i="4"/>
  <c r="D152" i="4"/>
  <c r="C152" i="4"/>
  <c r="B152" i="4"/>
  <c r="N152" i="4" s="1"/>
  <c r="G150" i="4"/>
  <c r="F150" i="4"/>
  <c r="D150" i="4"/>
  <c r="D187" i="4" s="1"/>
  <c r="C150" i="4"/>
  <c r="B150" i="4"/>
  <c r="N150" i="4" s="1"/>
  <c r="G148" i="4"/>
  <c r="F148" i="4"/>
  <c r="D148" i="4"/>
  <c r="C148" i="4"/>
  <c r="B148" i="4"/>
  <c r="N148" i="4" s="1"/>
  <c r="G146" i="4"/>
  <c r="F146" i="4"/>
  <c r="E146" i="4"/>
  <c r="D146" i="4"/>
  <c r="C146" i="4"/>
  <c r="B146" i="4"/>
  <c r="N146" i="4" s="1"/>
  <c r="G144" i="4"/>
  <c r="F144" i="4"/>
  <c r="D144" i="4"/>
  <c r="C144" i="4"/>
  <c r="N144" i="4" s="1"/>
  <c r="B144" i="4"/>
  <c r="G142" i="4"/>
  <c r="F142" i="4"/>
  <c r="E142" i="4"/>
  <c r="D142" i="4"/>
  <c r="C142" i="4"/>
  <c r="B142" i="4"/>
  <c r="N142" i="4" s="1"/>
  <c r="G140" i="4"/>
  <c r="G187" i="4" s="1"/>
  <c r="F140" i="4"/>
  <c r="F187" i="4" s="1"/>
  <c r="E140" i="4"/>
  <c r="E187" i="4" s="1"/>
  <c r="D140" i="4"/>
  <c r="C140" i="4"/>
  <c r="C187" i="4" s="1"/>
  <c r="B140" i="4"/>
  <c r="N140" i="4" s="1"/>
  <c r="L9" i="4"/>
  <c r="M205" i="3"/>
  <c r="L205" i="3"/>
  <c r="K205" i="3"/>
  <c r="J205" i="3"/>
  <c r="I205" i="3"/>
  <c r="H205" i="3"/>
  <c r="D205" i="3"/>
  <c r="G204" i="3"/>
  <c r="F204" i="3"/>
  <c r="E204" i="3"/>
  <c r="D204" i="3"/>
  <c r="C204" i="3"/>
  <c r="N204" i="3" s="1"/>
  <c r="B204" i="3"/>
  <c r="G203" i="3"/>
  <c r="F203" i="3"/>
  <c r="F30" i="2" s="1"/>
  <c r="E203" i="3"/>
  <c r="D203" i="3"/>
  <c r="C203" i="3"/>
  <c r="B203" i="3"/>
  <c r="B30" i="2" s="1"/>
  <c r="G202" i="3"/>
  <c r="G205" i="3" s="1"/>
  <c r="F202" i="3"/>
  <c r="F205" i="3" s="1"/>
  <c r="E202" i="3"/>
  <c r="E205" i="3" s="1"/>
  <c r="D202" i="3"/>
  <c r="C202" i="3"/>
  <c r="C205" i="3" s="1"/>
  <c r="B202" i="3"/>
  <c r="N202" i="3" s="1"/>
  <c r="L201" i="3"/>
  <c r="K201" i="3"/>
  <c r="J201" i="3"/>
  <c r="I201" i="3"/>
  <c r="H201" i="3"/>
  <c r="G199" i="3"/>
  <c r="F199" i="3"/>
  <c r="E199" i="3"/>
  <c r="D199" i="3"/>
  <c r="N199" i="3" s="1"/>
  <c r="C199" i="3"/>
  <c r="B199" i="3"/>
  <c r="B198" i="3"/>
  <c r="G197" i="3"/>
  <c r="F197" i="3"/>
  <c r="E197" i="3"/>
  <c r="D197" i="3"/>
  <c r="N197" i="3" s="1"/>
  <c r="C197" i="3"/>
  <c r="B197" i="3"/>
  <c r="B196" i="3"/>
  <c r="G195" i="3"/>
  <c r="F195" i="3"/>
  <c r="E195" i="3"/>
  <c r="D195" i="3"/>
  <c r="N195" i="3" s="1"/>
  <c r="C195" i="3"/>
  <c r="B195" i="3"/>
  <c r="B194" i="3"/>
  <c r="G193" i="3"/>
  <c r="F193" i="3"/>
  <c r="E193" i="3"/>
  <c r="D193" i="3"/>
  <c r="N193" i="3" s="1"/>
  <c r="C193" i="3"/>
  <c r="B193" i="3"/>
  <c r="B192" i="3"/>
  <c r="N191" i="3"/>
  <c r="B191" i="3"/>
  <c r="B190" i="3"/>
  <c r="G189" i="3"/>
  <c r="F189" i="3"/>
  <c r="E189" i="3"/>
  <c r="D189" i="3"/>
  <c r="C189" i="3"/>
  <c r="N189" i="3" s="1"/>
  <c r="B189" i="3"/>
  <c r="G187" i="3"/>
  <c r="F187" i="3"/>
  <c r="C187" i="3"/>
  <c r="B187" i="3"/>
  <c r="N187" i="3" s="1"/>
  <c r="D186" i="3"/>
  <c r="C186" i="3"/>
  <c r="B186" i="3"/>
  <c r="G185" i="3"/>
  <c r="F185" i="3"/>
  <c r="E185" i="3"/>
  <c r="D185" i="3"/>
  <c r="C185" i="3"/>
  <c r="B185" i="3"/>
  <c r="N185" i="3" s="1"/>
  <c r="G184" i="3"/>
  <c r="F184" i="3"/>
  <c r="E184" i="3"/>
  <c r="D184" i="3"/>
  <c r="C184" i="3"/>
  <c r="B184" i="3"/>
  <c r="N184" i="3" s="1"/>
  <c r="G183" i="3"/>
  <c r="F183" i="3"/>
  <c r="E183" i="3"/>
  <c r="D183" i="3"/>
  <c r="N183" i="3" s="1"/>
  <c r="C183" i="3"/>
  <c r="B183" i="3"/>
  <c r="G182" i="3"/>
  <c r="F182" i="3"/>
  <c r="E182" i="3"/>
  <c r="D182" i="3"/>
  <c r="C182" i="3"/>
  <c r="N182" i="3" s="1"/>
  <c r="B182" i="3"/>
  <c r="C181" i="3"/>
  <c r="B181" i="3"/>
  <c r="N180" i="3"/>
  <c r="G180" i="3"/>
  <c r="F180" i="3"/>
  <c r="E180" i="3"/>
  <c r="D180" i="3"/>
  <c r="C180" i="3"/>
  <c r="B180" i="3"/>
  <c r="G179" i="3"/>
  <c r="F179" i="3"/>
  <c r="E179" i="3"/>
  <c r="D179" i="3"/>
  <c r="C179" i="3"/>
  <c r="N179" i="3" s="1"/>
  <c r="B179" i="3"/>
  <c r="B178" i="3"/>
  <c r="G177" i="3"/>
  <c r="F177" i="3"/>
  <c r="E177" i="3"/>
  <c r="D177" i="3"/>
  <c r="C177" i="3"/>
  <c r="N177" i="3" s="1"/>
  <c r="B177" i="3"/>
  <c r="B176" i="3"/>
  <c r="G175" i="3"/>
  <c r="F175" i="3"/>
  <c r="E175" i="3"/>
  <c r="D175" i="3"/>
  <c r="C175" i="3"/>
  <c r="N175" i="3" s="1"/>
  <c r="B175" i="3"/>
  <c r="B174" i="3"/>
  <c r="G173" i="3"/>
  <c r="F173" i="3"/>
  <c r="E173" i="3"/>
  <c r="D173" i="3"/>
  <c r="C173" i="3"/>
  <c r="N173" i="3" s="1"/>
  <c r="B173" i="3"/>
  <c r="G171" i="3"/>
  <c r="F171" i="3"/>
  <c r="E171" i="3"/>
  <c r="D171" i="3"/>
  <c r="C171" i="3"/>
  <c r="B171" i="3"/>
  <c r="N171" i="3" s="1"/>
  <c r="G169" i="3"/>
  <c r="F169" i="3"/>
  <c r="E169" i="3"/>
  <c r="D169" i="3"/>
  <c r="C169" i="3"/>
  <c r="B169" i="3"/>
  <c r="N169" i="3" s="1"/>
  <c r="G167" i="3"/>
  <c r="F167" i="3"/>
  <c r="C167" i="3"/>
  <c r="B167" i="3"/>
  <c r="N167" i="3" s="1"/>
  <c r="G165" i="3"/>
  <c r="F165" i="3"/>
  <c r="E165" i="3"/>
  <c r="D165" i="3"/>
  <c r="C165" i="3"/>
  <c r="B165" i="3"/>
  <c r="N165" i="3" s="1"/>
  <c r="G163" i="3"/>
  <c r="F163" i="3"/>
  <c r="E163" i="3"/>
  <c r="D163" i="3"/>
  <c r="N163" i="3" s="1"/>
  <c r="C163" i="3"/>
  <c r="B163" i="3"/>
  <c r="G161" i="3"/>
  <c r="F161" i="3"/>
  <c r="E161" i="3"/>
  <c r="D161" i="3"/>
  <c r="C161" i="3"/>
  <c r="N161" i="3" s="1"/>
  <c r="B161" i="3"/>
  <c r="G159" i="3"/>
  <c r="F159" i="3"/>
  <c r="E159" i="3"/>
  <c r="D159" i="3"/>
  <c r="C159" i="3"/>
  <c r="B159" i="3"/>
  <c r="N159" i="3" s="1"/>
  <c r="G157" i="3"/>
  <c r="F157" i="3"/>
  <c r="F201" i="3" s="1"/>
  <c r="E157" i="3"/>
  <c r="E201" i="3" s="1"/>
  <c r="D157" i="3"/>
  <c r="C157" i="3"/>
  <c r="B157" i="3"/>
  <c r="N157" i="3" s="1"/>
  <c r="G155" i="3"/>
  <c r="F155" i="3"/>
  <c r="E155" i="3"/>
  <c r="D155" i="3"/>
  <c r="N155" i="3" s="1"/>
  <c r="C155" i="3"/>
  <c r="B155" i="3"/>
  <c r="G153" i="3"/>
  <c r="G201" i="3" s="1"/>
  <c r="F153" i="3"/>
  <c r="E153" i="3"/>
  <c r="D153" i="3"/>
  <c r="D201" i="3" s="1"/>
  <c r="C153" i="3"/>
  <c r="N153" i="3" s="1"/>
  <c r="B153" i="3"/>
  <c r="L9" i="3"/>
  <c r="M42" i="2"/>
  <c r="L42" i="2"/>
  <c r="K42" i="2"/>
  <c r="J42" i="2"/>
  <c r="I42" i="2"/>
  <c r="H42" i="2"/>
  <c r="M37" i="2"/>
  <c r="L37" i="2"/>
  <c r="K37" i="2"/>
  <c r="J37" i="2"/>
  <c r="I37" i="2"/>
  <c r="H37" i="2"/>
  <c r="B37" i="2"/>
  <c r="G36" i="2"/>
  <c r="G37" i="2" s="1"/>
  <c r="E36" i="2"/>
  <c r="E37" i="2" s="1"/>
  <c r="D36" i="2"/>
  <c r="D37" i="2" s="1"/>
  <c r="C36" i="2"/>
  <c r="B36" i="2"/>
  <c r="N36" i="2" s="1"/>
  <c r="M31" i="2"/>
  <c r="L31" i="2"/>
  <c r="K31" i="2"/>
  <c r="J31" i="2"/>
  <c r="I31" i="2"/>
  <c r="H31" i="2"/>
  <c r="E31" i="2"/>
  <c r="D31" i="2"/>
  <c r="G30" i="2"/>
  <c r="G42" i="2" s="1"/>
  <c r="E30" i="2"/>
  <c r="D30" i="2"/>
  <c r="C30" i="2"/>
  <c r="C42" i="2" s="1"/>
  <c r="D23" i="2"/>
  <c r="C23" i="2"/>
  <c r="B23" i="2"/>
  <c r="M16" i="2"/>
  <c r="L16" i="2"/>
  <c r="K16" i="2"/>
  <c r="J16" i="2"/>
  <c r="I16" i="2"/>
  <c r="H16" i="2"/>
  <c r="G16" i="2"/>
  <c r="C16" i="2"/>
  <c r="M11" i="2"/>
  <c r="L11" i="2"/>
  <c r="K11" i="2"/>
  <c r="J11" i="2"/>
  <c r="I11" i="2"/>
  <c r="H11" i="2"/>
  <c r="G11" i="2"/>
  <c r="F11" i="2"/>
  <c r="D11" i="2"/>
  <c r="C11" i="2"/>
  <c r="B11" i="2"/>
  <c r="G10" i="2"/>
  <c r="F10" i="2"/>
  <c r="E10" i="2"/>
  <c r="E11" i="2" s="1"/>
  <c r="D10" i="2"/>
  <c r="C10" i="2"/>
  <c r="B10" i="2"/>
  <c r="N10" i="2" s="1"/>
  <c r="M5" i="2"/>
  <c r="L5" i="2"/>
  <c r="K5" i="2"/>
  <c r="J5" i="2"/>
  <c r="I5" i="2"/>
  <c r="H5" i="2"/>
  <c r="G5" i="2"/>
  <c r="C5" i="2"/>
  <c r="G4" i="2"/>
  <c r="D4" i="2"/>
  <c r="D5" i="2" s="1"/>
  <c r="C4" i="2"/>
  <c r="M51" i="1"/>
  <c r="L51" i="1"/>
  <c r="K51" i="1"/>
  <c r="J51" i="1"/>
  <c r="I51" i="1"/>
  <c r="H51" i="1"/>
  <c r="G51" i="1"/>
  <c r="F51" i="1"/>
  <c r="E51" i="1"/>
  <c r="D51" i="1"/>
  <c r="C51" i="1"/>
  <c r="B51" i="1"/>
  <c r="L33" i="1"/>
  <c r="M33" i="1" s="1"/>
  <c r="G33" i="1"/>
  <c r="F206" i="3" l="1"/>
  <c r="N191" i="4"/>
  <c r="N201" i="3"/>
  <c r="B42" i="2"/>
  <c r="B31" i="2"/>
  <c r="N30" i="2"/>
  <c r="F42" i="2"/>
  <c r="F31" i="2"/>
  <c r="D206" i="3"/>
  <c r="N187" i="4"/>
  <c r="N73" i="6"/>
  <c r="E206" i="3"/>
  <c r="I9" i="9"/>
  <c r="B201" i="3"/>
  <c r="B74" i="6"/>
  <c r="N74" i="6" s="1"/>
  <c r="E75" i="6"/>
  <c r="N75" i="6" s="1"/>
  <c r="D42" i="2"/>
  <c r="E4" i="2"/>
  <c r="C191" i="4"/>
  <c r="B4" i="2"/>
  <c r="F4" i="2"/>
  <c r="C201" i="3"/>
  <c r="C206" i="3" s="1"/>
  <c r="N203" i="3"/>
  <c r="N205" i="3" s="1"/>
  <c r="B205" i="3"/>
  <c r="B187" i="4"/>
  <c r="F5" i="12"/>
  <c r="E42" i="2"/>
  <c r="D16" i="2"/>
  <c r="C31" i="2"/>
  <c r="G31" i="2"/>
  <c r="F5" i="2" l="1"/>
  <c r="F16" i="2"/>
  <c r="A14" i="9"/>
  <c r="A16" i="9"/>
  <c r="B206" i="3"/>
  <c r="B5" i="2"/>
  <c r="B16" i="2"/>
  <c r="N4" i="2"/>
  <c r="E16" i="2"/>
  <c r="E5" i="2"/>
</calcChain>
</file>

<file path=xl/sharedStrings.xml><?xml version="1.0" encoding="utf-8"?>
<sst xmlns="http://schemas.openxmlformats.org/spreadsheetml/2006/main" count="798" uniqueCount="259">
  <si>
    <t>LEITURA HIDRÔMETROS</t>
  </si>
  <si>
    <t>Galpão 1 - Abaixo de Zero - A79B53393</t>
  </si>
  <si>
    <t>Galpão 2 - Masp - A99L488883</t>
  </si>
  <si>
    <t>Galpão 3 - A99L488885</t>
  </si>
  <si>
    <t>Galpão 4 - Metal Printing  A99L488887</t>
  </si>
  <si>
    <t>Galpão - Marcenaria/Serralheria - A06L081235</t>
  </si>
  <si>
    <t>Galpão 5 - Reservatório - A031247101</t>
  </si>
  <si>
    <t>Galpão 5 - Piso Superior e WC térreo - A06L135363</t>
  </si>
  <si>
    <t>Galpão 6 - Piso Térreo - A06L081233</t>
  </si>
  <si>
    <t>Galpão 6 - Piso Intermediário - A06L135275</t>
  </si>
  <si>
    <t>Galpão 6 - Piso Superior - A06L135367</t>
  </si>
  <si>
    <t>Galpão 7 - Piso Inferior - A09S372865</t>
  </si>
  <si>
    <t>Galpão 7 - Piso Superior - A09S372869</t>
  </si>
  <si>
    <t>Galpão 8 - Nek Packing - Piso Inferior - A09S372870</t>
  </si>
  <si>
    <t>Galpão 8 - Piso Superior - A79B54592</t>
  </si>
  <si>
    <t>Galpão 9 - A21H515626</t>
  </si>
  <si>
    <t>Galpão 10 - Metal Printing  A13L080158</t>
  </si>
  <si>
    <t>Galpão 11 - Metal Printing - R. de Incêndio A13L080153</t>
  </si>
  <si>
    <t xml:space="preserve">Galpão 13 </t>
  </si>
  <si>
    <t>Casa Caseiro - A06L081234</t>
  </si>
  <si>
    <t>Depósito G12 - A03L247101</t>
  </si>
  <si>
    <t>Chácara Colina (Sr° Mario) - A99L488888</t>
  </si>
  <si>
    <t>Chácara Colina Fundos - 79B54592</t>
  </si>
  <si>
    <t>Chácara São José - A01L097304</t>
  </si>
  <si>
    <t>Chácara Manacás - A02L273774</t>
  </si>
  <si>
    <t>Sala de Confraternização Manacás - A03L247100</t>
  </si>
  <si>
    <t>Lava-Car - A02L273769</t>
  </si>
  <si>
    <t>Poço 1 - A08L186679</t>
  </si>
  <si>
    <t>Poço 2 - B12S016596</t>
  </si>
  <si>
    <t>Poço 3 - AO9L069981</t>
  </si>
  <si>
    <t>OBS.: Unidade de medida = m3</t>
  </si>
  <si>
    <t>MEDIDOR DE ENERGIA BOMBA DO POÇO</t>
  </si>
  <si>
    <r>
      <rPr>
        <sz val="10"/>
        <color theme="1"/>
        <rFont val="Arial"/>
      </rPr>
      <t xml:space="preserve">NÚMERO UNIDADE CONSUMIDORA </t>
    </r>
    <r>
      <rPr>
        <b/>
        <sz val="10"/>
        <color theme="1"/>
        <rFont val="Arial"/>
      </rPr>
      <t>16675401</t>
    </r>
  </si>
  <si>
    <t>MEDIDOR DE ENERGIA (kWh)</t>
  </si>
  <si>
    <r>
      <rPr>
        <sz val="10"/>
        <color theme="1"/>
        <rFont val="Arial"/>
      </rPr>
      <t xml:space="preserve">NÚMERO UNIDADE CONSUMIDORA </t>
    </r>
    <r>
      <rPr>
        <b/>
        <sz val="10"/>
        <color theme="1"/>
        <rFont val="Arial"/>
      </rPr>
      <t>16675401</t>
    </r>
  </si>
  <si>
    <t>MEDIDOR DE ENERGIA (kWh) - POÇO 01</t>
  </si>
  <si>
    <t>MEDIDOR DE ENERGIA (kWh) - POÇO 02</t>
  </si>
  <si>
    <t>MEDIDOR DE ENERGIA (kWh) - POÇO 03</t>
  </si>
  <si>
    <t>MEDIDOR DE ENERGIA  - KWh</t>
  </si>
  <si>
    <r>
      <rPr>
        <sz val="10"/>
        <color theme="1"/>
        <rFont val="Arial"/>
      </rPr>
      <t xml:space="preserve">NÚMERO UNIDADE CONSUMIDORA </t>
    </r>
    <r>
      <rPr>
        <b/>
        <sz val="10"/>
        <color theme="1"/>
        <rFont val="Arial"/>
      </rPr>
      <t>16675290</t>
    </r>
  </si>
  <si>
    <t>Refeitório</t>
  </si>
  <si>
    <t>Marcenaria - 13.0984245.8</t>
  </si>
  <si>
    <t>Casa Caseiro (A) - 03005858</t>
  </si>
  <si>
    <t>Hidrante Jardim = Total medido(A - B) - 3T261920-2</t>
  </si>
  <si>
    <t>Galpão Serralheria e Lava-Car (B) - 01091265</t>
  </si>
  <si>
    <t xml:space="preserve">Total </t>
  </si>
  <si>
    <t>Custo unidade medidora 16675290</t>
  </si>
  <si>
    <t>Chácara Colina - Sub Medição (Sr° Mario)</t>
  </si>
  <si>
    <t xml:space="preserve">Galpão 10 - Sub-Medição </t>
  </si>
  <si>
    <t>Poço 01</t>
  </si>
  <si>
    <t>Poço 02</t>
  </si>
  <si>
    <t>Poço 03 - Ch.Manácas - Sub Medição (26/04/2013)</t>
  </si>
  <si>
    <t xml:space="preserve"> </t>
  </si>
  <si>
    <t>POÇO 01</t>
  </si>
  <si>
    <t>HORAS TRABALHADAS - BOMBA POÇO TEÓRICO</t>
  </si>
  <si>
    <t>Vazão Bomba Teórica = 1,5 m3/h (Poço 1)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</si>
  <si>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</si>
  <si>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</si>
  <si>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</si>
  <si>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</si>
  <si>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</si>
  <si>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</si>
  <si>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</si>
  <si>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</si>
  <si>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</si>
  <si>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</si>
  <si>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</si>
  <si>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</si>
  <si>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</si>
  <si>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Horas trabalhadas</t>
  </si>
  <si>
    <t>% Funcionamento Bomba no mês</t>
  </si>
  <si>
    <t>Limite máximo=720 horas/mês</t>
  </si>
  <si>
    <t>HORAS TRABALHADAS - BOMBA POÇO REAL</t>
  </si>
  <si>
    <t>Horas trabalhadas ( Horímetro )</t>
  </si>
  <si>
    <t>Eficiência Teórico / Real</t>
  </si>
  <si>
    <t>Porcentagem comparativa - ideal 100%</t>
  </si>
  <si>
    <t>AFERIÇÕES DA BOMBA DO POÇO</t>
  </si>
  <si>
    <t>DATA</t>
  </si>
  <si>
    <t>Vazão Bomba Teórica = 2,057 m3/h</t>
  </si>
  <si>
    <t>Vazão Calculada (m3/h)</t>
  </si>
  <si>
    <t>% Calculada / Teórica - eficiência</t>
  </si>
  <si>
    <t>40 seg</t>
  </si>
  <si>
    <t>38 seg</t>
  </si>
  <si>
    <t>20 lts</t>
  </si>
  <si>
    <t>POÇO 02</t>
  </si>
  <si>
    <t>Vazão Bomba Teórica = 0,5 m3/h (Poço 2)</t>
  </si>
  <si>
    <t>-</t>
  </si>
  <si>
    <t>-%</t>
  </si>
  <si>
    <t>CONSUMO DE ÁGUA CONDOMÍNIO JARINÚ 2024 - M3</t>
  </si>
  <si>
    <t>Média/mês</t>
  </si>
  <si>
    <t>Galpão 1 - Abaixo de Zero</t>
  </si>
  <si>
    <t>Galpão 2 - Masp</t>
  </si>
  <si>
    <t xml:space="preserve">Galpão 3 </t>
  </si>
  <si>
    <t>Galpão 4 - Metal Printing</t>
  </si>
  <si>
    <t>Galpão - Marcenaria/Serralheria</t>
  </si>
  <si>
    <t>Galpão 5 - Reservatório</t>
  </si>
  <si>
    <t>Local / Mês</t>
  </si>
  <si>
    <t>Galpão 5 - Piso Sup. e WC Térreo</t>
  </si>
  <si>
    <t>Galpão 6 - Piso Térreo</t>
  </si>
  <si>
    <t>Galpão 6 - Piso Intermediário</t>
  </si>
  <si>
    <t>Galpão 6 - Piso Superior</t>
  </si>
  <si>
    <t>Galpão 7 - Piso Inferior</t>
  </si>
  <si>
    <t>Galpão 7 - Piso Superior</t>
  </si>
  <si>
    <t>Galpão 8 - Nek Packing</t>
  </si>
  <si>
    <t>Galpão 8 - Piso Superior</t>
  </si>
  <si>
    <t>Galpão 9</t>
  </si>
  <si>
    <t>Galpão 10 - Metal Printing</t>
  </si>
  <si>
    <t>Galpão 11 - Metal Printing (R.Incêndio)</t>
  </si>
  <si>
    <t>Galpão 13</t>
  </si>
  <si>
    <t>Casa Caseiro</t>
  </si>
  <si>
    <t>Depósito G12</t>
  </si>
  <si>
    <t>Chácara Colina</t>
  </si>
  <si>
    <t>Chácara Colina Fundos</t>
  </si>
  <si>
    <t>Chácara São José</t>
  </si>
  <si>
    <t>Chácara Manacás</t>
  </si>
  <si>
    <t>Sala de Confraternização Manacás</t>
  </si>
  <si>
    <t xml:space="preserve">Lava-Car </t>
  </si>
  <si>
    <t>TOTAL CONSUMO DE ÁGUA</t>
  </si>
  <si>
    <t>Poço 1</t>
  </si>
  <si>
    <t>Poço 2</t>
  </si>
  <si>
    <t>Poço 3</t>
  </si>
  <si>
    <t>TOTAL POÇOS</t>
  </si>
  <si>
    <t xml:space="preserve">           </t>
  </si>
  <si>
    <t>Galpão 1 - Abaixo de Zero - INDUSTRIAL</t>
  </si>
  <si>
    <t>Galpão 2 - Lumha - INDUSTRIAL - até 35 m3/mês</t>
  </si>
  <si>
    <t>Galpão 3 - AT - INDUSTRIAL</t>
  </si>
  <si>
    <t>Galpão 4 - Busch - INDUSTRIAL - até 70 m3/mês</t>
  </si>
  <si>
    <t>Galpão - Serralheria - INDUSTRIAL</t>
  </si>
  <si>
    <t>Refeitório = TOTAL / 3 (Galpão, Casa e Refeitório)</t>
  </si>
  <si>
    <t>Pagamento refeitório</t>
  </si>
  <si>
    <t>Galpão 5 - Piso Intermediário - NORMAL</t>
  </si>
  <si>
    <t>Galpão 5 - Piso Sup. e WC Térreo - NORMAL</t>
  </si>
  <si>
    <t>Galpão 6 - ADCON - INDUSTRIAL - até 12 m³/mês</t>
  </si>
  <si>
    <t xml:space="preserve">Galpão 6 - Restaurante + Q Delícia - NORMAL </t>
  </si>
  <si>
    <t>Galpão 6 - Piso Superior - NORMAL</t>
  </si>
  <si>
    <t>Galpão a construir (caixa d'água) - INDUSTRIAL</t>
  </si>
  <si>
    <t>Galpão 7 - Piso Superior - INDUSTRIAL</t>
  </si>
  <si>
    <t>Galpão 7 - Piso Inferior - INDUSTRIAL</t>
  </si>
  <si>
    <t>Galpão 8 - Piso Superior - INDUSTRIAL</t>
  </si>
  <si>
    <t>Galpão 8 - Piso Inferior - INDUSTRIAL</t>
  </si>
  <si>
    <t>Galpão 2 - Masp - INDUSTRIAL</t>
  </si>
  <si>
    <t>Galpão 3 - INDUSTRIAL</t>
  </si>
  <si>
    <t xml:space="preserve">Galpão 4 - Metal Printing - INDUSTRIAL </t>
  </si>
  <si>
    <t>Galpão - Marcenaria/Serralheria - INDUSTRIAL</t>
  </si>
  <si>
    <t>Galpão 5 - Reservatório - INDUSTRIAL</t>
  </si>
  <si>
    <t>Galpão 5 - Piso Sup. e WC Térreo - INDUSTRIAL</t>
  </si>
  <si>
    <t>Galpão 6 - Piso Térreo - * INDUSTRIAL</t>
  </si>
  <si>
    <t>Galpão 6 - Piso Intermediário  - * INDUSTRIAL</t>
  </si>
  <si>
    <t>Galpão 6 - Piso Superior - INDUSTRIAL</t>
  </si>
  <si>
    <t>Galpão 8 - Neck Packing - INDUSTRIAL</t>
  </si>
  <si>
    <t>Galpão 9 - INDUSTRIAL</t>
  </si>
  <si>
    <t>Galpão 10 -  Metal Printing - INDUSTRIAL</t>
  </si>
  <si>
    <t>Galpão 11 - Metal Printing (R. Incêndio) - INDUSTRIAL</t>
  </si>
  <si>
    <t>Galpão 13 - INDUSTRIAL</t>
  </si>
  <si>
    <t>Casa Caseiro - RESIDENCIAL  - até 10 m³/mês</t>
  </si>
  <si>
    <t>Depósito - RESIDENCIAL</t>
  </si>
  <si>
    <t>Chácara Colina - RESIDENCIAL - até 10 m³/mês</t>
  </si>
  <si>
    <t>Chácara Colina Fundos - NORMAL</t>
  </si>
  <si>
    <t>Chácara São José - RESIDENCIAL - Piso Superior</t>
  </si>
  <si>
    <t>Chácara São José - POR PESSOA (02 pessoas)</t>
  </si>
  <si>
    <t>Chácara São José - RESIDENCIAL - Piso Inferior</t>
  </si>
  <si>
    <t>Chácara São José - POR PESSOA (04 pessoas)</t>
  </si>
  <si>
    <t>Chácara São José - Água Demerval (05 pessoas)</t>
  </si>
  <si>
    <t>Chácara São José - Energia Demerval 16675541</t>
  </si>
  <si>
    <t>Chácara São José - Energia Armando 27061965</t>
  </si>
  <si>
    <t xml:space="preserve">Chácara São José - Casa 1 - RESIDENCIAL </t>
  </si>
  <si>
    <t xml:space="preserve">Chácara São José - Casa 2 - RESIDENCIAL </t>
  </si>
  <si>
    <t xml:space="preserve">Chácara São José - Casa 3 - RESIDENCIAL </t>
  </si>
  <si>
    <t>Chácara Manacás - RESIDENCIAL</t>
  </si>
  <si>
    <t>Sala de Confraternização - RESIDENCIAL</t>
  </si>
  <si>
    <t>Lava-Car - RESIDENCIAL</t>
  </si>
  <si>
    <t>Hidrômetro antes caixa d'água - NORMAL / IND.</t>
  </si>
  <si>
    <t>TOTAL</t>
  </si>
  <si>
    <t>* Mudança de Categoria de Cobrança em 01/06/2017</t>
  </si>
  <si>
    <t>CONSUMO DE ENERGIA MARCENARIA, CASA CASEIRO, HIDRANTE JARDIM E SERRALHERIA/LAVA-CAR - CONDOMÍNIO JARINÚ 2024 - KWh</t>
  </si>
  <si>
    <t>Marcenaria</t>
  </si>
  <si>
    <t>Hidrante Jardim</t>
  </si>
  <si>
    <t>Galpão Serralheria  e Lava-Car</t>
  </si>
  <si>
    <t>*CONSUMO TOTAL (ELEKTRO)</t>
  </si>
  <si>
    <t xml:space="preserve">Poço 01 </t>
  </si>
  <si>
    <t>Poço 03 - Sub Medição (26/04/2013)</t>
  </si>
  <si>
    <t>* *CUSTO CONSUMO DE ENERGIA REFEITÓRIO, CASA CASEIRO, HIDRANTE E GALPÃO 5- CONDOMÍNIO JARINÚ 2005</t>
  </si>
  <si>
    <t>Hidrante</t>
  </si>
  <si>
    <t>Galpão 5 (incluso Lava-Car)</t>
  </si>
  <si>
    <t>* Leituras todo 17º dia útil de cada mês.</t>
  </si>
  <si>
    <t>* *Obs.: Já incluso ICMS.</t>
  </si>
  <si>
    <t>incorreto, ajustar a partir de fev/ 2006 - sem mudança nas leituras efetuadas</t>
  </si>
  <si>
    <r>
      <rPr>
        <sz val="25"/>
        <color theme="1"/>
        <rFont val="Arial"/>
      </rPr>
      <t xml:space="preserve">CONTROLE CONSUMO ÁGUA E ENERGIA - </t>
    </r>
    <r>
      <rPr>
        <b/>
        <sz val="25"/>
        <color theme="1"/>
        <rFont val="Arial"/>
      </rPr>
      <t>ANO 2003</t>
    </r>
    <r>
      <rPr>
        <sz val="25"/>
        <color theme="1"/>
        <rFont val="Arial"/>
      </rPr>
      <t xml:space="preserve"> </t>
    </r>
  </si>
  <si>
    <t>HIDRÔMETROS (M3)</t>
  </si>
  <si>
    <t xml:space="preserve">Galpão 1 - Abaixo de Zero </t>
  </si>
  <si>
    <t>Galpão 2 - Busch</t>
  </si>
  <si>
    <t xml:space="preserve">Galpão 3 - AT </t>
  </si>
  <si>
    <t>Galpão 4 - Art Design</t>
  </si>
  <si>
    <t>Galpão 5 - Chico</t>
  </si>
  <si>
    <t xml:space="preserve">Chácara Colina </t>
  </si>
  <si>
    <t xml:space="preserve">Chácara São José </t>
  </si>
  <si>
    <t>Galpão Manacás</t>
  </si>
  <si>
    <t>HORÍMETRO DA BOMBA (KWh)</t>
  </si>
  <si>
    <t>Bomba do Poço</t>
  </si>
  <si>
    <t>MEDIDOR DE ENERGIA REFEITÓRIO, CASA E HIDRANTE (KWh)</t>
  </si>
  <si>
    <t>Galpão 5</t>
  </si>
  <si>
    <t xml:space="preserve">AFERIÇÃO DA BOMBA </t>
  </si>
  <si>
    <t>Tempo</t>
  </si>
  <si>
    <t>20 seg</t>
  </si>
  <si>
    <t>17 seg</t>
  </si>
  <si>
    <t>24 seg</t>
  </si>
  <si>
    <t>45 seg</t>
  </si>
  <si>
    <t>42 seg</t>
  </si>
  <si>
    <t>71 seg</t>
  </si>
  <si>
    <t>85 seg</t>
  </si>
  <si>
    <t>90 seg</t>
  </si>
  <si>
    <t xml:space="preserve">Volume </t>
  </si>
  <si>
    <t>10 lts</t>
  </si>
  <si>
    <t>28 lts</t>
  </si>
  <si>
    <t xml:space="preserve">AFERIÇÃO DA BOMBA POÇO DIÁRIO </t>
  </si>
  <si>
    <t>Tempo (s)</t>
  </si>
  <si>
    <t>7:00 h</t>
  </si>
  <si>
    <t>12:00 h</t>
  </si>
  <si>
    <t>17:00 h</t>
  </si>
  <si>
    <t>Volume (l)</t>
  </si>
  <si>
    <r>
      <rPr>
        <sz val="25"/>
        <color theme="1"/>
        <rFont val="Arial"/>
      </rPr>
      <t xml:space="preserve">CONTROLE CONSUMO ÁGUA E ENERGIA - </t>
    </r>
    <r>
      <rPr>
        <b/>
        <sz val="25"/>
        <color theme="1"/>
        <rFont val="Arial"/>
      </rPr>
      <t>ANO 2004</t>
    </r>
  </si>
  <si>
    <t>'</t>
  </si>
  <si>
    <t>CUSTO REFEITÓRIO LOURDES</t>
  </si>
  <si>
    <t>06/2002 A 12/2002</t>
  </si>
  <si>
    <t>ÁGUA</t>
  </si>
  <si>
    <t>ATÉ 11/2005</t>
  </si>
  <si>
    <t>ENERGIA</t>
  </si>
  <si>
    <r>
      <rPr>
        <b/>
        <u/>
        <sz val="8"/>
        <color theme="1"/>
        <rFont val="Arial"/>
      </rPr>
      <t>ÁGUA</t>
    </r>
    <r>
      <rPr>
        <b/>
        <u/>
        <sz val="8"/>
        <color theme="1"/>
        <rFont val="Arial"/>
      </rPr>
      <t xml:space="preserve"> - BASE TABELA SABESP 2002 (CÁLCULO HIDRÔMETRO / 3 - CASA, GALPÃO 5 E REFEITÓRIO)</t>
    </r>
  </si>
  <si>
    <t xml:space="preserve">              A PARTIR 05/2005 BASE TABELA SABESP 08/2004</t>
  </si>
  <si>
    <r>
      <rPr>
        <b/>
        <u/>
        <sz val="8"/>
        <color theme="1"/>
        <rFont val="Arial"/>
      </rPr>
      <t>ENERGIA</t>
    </r>
    <r>
      <rPr>
        <b/>
        <u/>
        <sz val="8"/>
        <color theme="1"/>
        <rFont val="Arial"/>
      </rPr>
      <t xml:space="preserve"> - RATEIO PROPORCIONAL AO CONSUMO (CASA, GALPÃO 5, REFEITÓRIO E LAVA-CAR)</t>
    </r>
  </si>
  <si>
    <t>DÉBITO PENDENTE</t>
  </si>
  <si>
    <t>PAGTO 2005</t>
  </si>
  <si>
    <t xml:space="preserve">SALDO </t>
  </si>
  <si>
    <t>DADOS LEITURA 2010</t>
  </si>
  <si>
    <t>Galpão 2 - Lumha - A99L488883</t>
  </si>
  <si>
    <t>Galpão 3 - AT - A99L488885</t>
  </si>
  <si>
    <t>Galpão 4 - Busch - A99L488887</t>
  </si>
  <si>
    <t>Galpão - Serralheria - A06L031235</t>
  </si>
  <si>
    <t>Galpão 5 - Reservatório - A01L172630</t>
  </si>
  <si>
    <t>Galpão 5 - Piso Superior - A06L135363</t>
  </si>
  <si>
    <t>Galpão 6 - Sérgio Prado - A06L031233</t>
  </si>
  <si>
    <t>Galpão 6 - Restaurante - A06L135275</t>
  </si>
  <si>
    <t>425,,22</t>
  </si>
  <si>
    <t>Galpão novo (caixa d'água) - A09L069981</t>
  </si>
  <si>
    <t>Casa Caseiro - A05L031234</t>
  </si>
  <si>
    <t>Marcenaria - A03L247101</t>
  </si>
  <si>
    <t>Chácara Colina - A99L488888</t>
  </si>
  <si>
    <t>Chácara Manacás - A02L273771</t>
  </si>
  <si>
    <t>Galpão Manacás - A03L247188</t>
  </si>
  <si>
    <t>Hidrôm. antes caixa d'água - AO8L186679</t>
  </si>
  <si>
    <t>Horímetro Bomba (h)</t>
  </si>
  <si>
    <t>MEDIDOR DE ENERGIA (kWh) 16675290</t>
  </si>
  <si>
    <t xml:space="preserve">Hidrante Jardim </t>
  </si>
  <si>
    <t>Galpão Serralheria e Lava-Car</t>
  </si>
  <si>
    <t>Custo água 2024</t>
  </si>
  <si>
    <t>Galpão 4 - Metal Printing  - A99L488887</t>
  </si>
  <si>
    <t>Galpão 6 - A06L135275</t>
  </si>
  <si>
    <t>Galpão 8 - NEK  (Piso Inferior) - A09S372870</t>
  </si>
  <si>
    <t>Galpão 8 - NEK (Piso Inferior) - A09S372870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</si>
</sst>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/m"/>
    <numFmt numFmtId="165" formatCode="&quot;R$ &quot;#,##0.00"/>
    <numFmt numFmtId="166" formatCode="dd/mm/yy"/>
    <numFmt numFmtId="167" formatCode="0.0"/>
    <numFmt numFmtId="168" formatCode="0.0%"/>
    <numFmt numFmtId="169" formatCode="0.000"/>
    <numFmt numFmtId="170" formatCode="_([$R$ -416]* #,##0.00_);_([$R$ -416]* \(#,##0.00\);_([$R$ -416]* &quot;-&quot;??_);_(@_)"/>
    <numFmt numFmtId="171" formatCode="_-[$R$-416]\ * #,##0.00_-;\-[$R$-416]\ * #,##0.00_-;_-[$R$-416]\ * &quot;-&quot;??_-;_-@"/>
    <numFmt numFmtId="172" formatCode="_(&quot;R$ &quot;* #,##0.00_);_(&quot;R$ &quot;* \(#,##0.00\);_(&quot;R$ &quot;* &quot;-&quot;??_);_(@_)"/>
    <numFmt numFmtId="173" formatCode="#,##0.0"/>
    <numFmt numFmtId="174" formatCode="&quot;R$&quot;\ #,##0.00"/>
  </numFmts>
  <fonts count="29" x14ac:knownFonts="1">
    <font>
      <sz val="10"/>
      <color rgb="FF000000"/>
      <name val="Arial"/>
      <scheme val="minor"/>
    </font>
    <font>
      <b/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color theme="1"/>
      <name val="Arial"/>
    </font>
    <font>
      <sz val="10"/>
      <name val="Arial"/>
    </font>
    <font>
      <i/>
      <sz val="12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FF0000"/>
      <name val="Arial"/>
    </font>
    <font>
      <sz val="13"/>
      <color theme="1"/>
      <name val="Arial"/>
    </font>
    <font>
      <i/>
      <sz val="10"/>
      <color theme="1"/>
      <name val="Arial"/>
    </font>
    <font>
      <i/>
      <sz val="13"/>
      <color theme="1"/>
      <name val="Arial"/>
    </font>
    <font>
      <b/>
      <sz val="13"/>
      <color theme="1"/>
      <name val="Arial"/>
    </font>
    <font>
      <sz val="10"/>
      <color theme="1"/>
      <name val="Arial"/>
      <scheme val="minor"/>
    </font>
    <font>
      <sz val="20"/>
      <color theme="1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2"/>
      <color rgb="FFFF0000"/>
      <name val="Arial"/>
    </font>
    <font>
      <sz val="13"/>
      <color rgb="FFFF0000"/>
      <name val="Arial"/>
    </font>
    <font>
      <sz val="25"/>
      <color theme="1"/>
      <name val="Arial"/>
    </font>
    <font>
      <b/>
      <sz val="22"/>
      <color theme="1"/>
      <name val="Arial"/>
    </font>
    <font>
      <b/>
      <sz val="20"/>
      <color theme="1"/>
      <name val="Arial"/>
    </font>
    <font>
      <sz val="15"/>
      <color theme="1"/>
      <name val="Arial"/>
    </font>
    <font>
      <b/>
      <sz val="15"/>
      <color theme="1"/>
      <name val="Arial"/>
    </font>
    <font>
      <b/>
      <sz val="20"/>
      <color rgb="FFFF0000"/>
      <name val="Arial"/>
    </font>
    <font>
      <b/>
      <u/>
      <sz val="8"/>
      <color theme="1"/>
      <name val="Arial"/>
    </font>
    <font>
      <b/>
      <sz val="8"/>
      <color theme="1"/>
      <name val="Arial"/>
    </font>
    <font>
      <b/>
      <sz val="25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rgb="FFFFFFCC"/>
      </patternFill>
    </fill>
  </fills>
  <borders count="7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0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" fontId="2" fillId="0" borderId="2" xfId="0" applyNumberFormat="1" applyFont="1" applyBorder="1"/>
    <xf numFmtId="16" fontId="2" fillId="0" borderId="3" xfId="0" applyNumberFormat="1" applyFont="1" applyBorder="1"/>
    <xf numFmtId="16" fontId="2" fillId="0" borderId="4" xfId="0" applyNumberFormat="1" applyFont="1" applyBorder="1"/>
    <xf numFmtId="14" fontId="2" fillId="0" borderId="1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0" borderId="0" xfId="0" applyFont="1"/>
    <xf numFmtId="0" fontId="3" fillId="0" borderId="5" xfId="0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1" xfId="0" applyFont="1" applyBorder="1"/>
    <xf numFmtId="2" fontId="3" fillId="0" borderId="12" xfId="0" applyNumberFormat="1" applyFont="1" applyBorder="1"/>
    <xf numFmtId="2" fontId="3" fillId="0" borderId="13" xfId="0" applyNumberFormat="1" applyFont="1" applyBorder="1"/>
    <xf numFmtId="2" fontId="3" fillId="0" borderId="14" xfId="0" applyNumberFormat="1" applyFont="1" applyBorder="1"/>
    <xf numFmtId="0" fontId="3" fillId="0" borderId="1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3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 applyAlignment="1">
      <alignment horizontal="right"/>
    </xf>
    <xf numFmtId="2" fontId="3" fillId="0" borderId="13" xfId="0" applyNumberFormat="1" applyFont="1" applyBorder="1" applyAlignment="1">
      <alignment horizontal="right"/>
    </xf>
    <xf numFmtId="0" fontId="3" fillId="0" borderId="16" xfId="0" applyFont="1" applyBorder="1" applyAlignment="1"/>
    <xf numFmtId="0" fontId="3" fillId="0" borderId="17" xfId="0" applyFont="1" applyBorder="1" applyAlignment="1">
      <alignment horizontal="right"/>
    </xf>
    <xf numFmtId="14" fontId="2" fillId="0" borderId="12" xfId="0" applyNumberFormat="1" applyFont="1" applyBorder="1"/>
    <xf numFmtId="14" fontId="2" fillId="0" borderId="13" xfId="0" applyNumberFormat="1" applyFont="1" applyBorder="1"/>
    <xf numFmtId="14" fontId="2" fillId="0" borderId="14" xfId="0" applyNumberFormat="1" applyFont="1" applyBorder="1"/>
    <xf numFmtId="0" fontId="3" fillId="0" borderId="18" xfId="0" applyFont="1" applyBorder="1"/>
    <xf numFmtId="14" fontId="2" fillId="0" borderId="19" xfId="0" applyNumberFormat="1" applyFont="1" applyBorder="1"/>
    <xf numFmtId="14" fontId="2" fillId="0" borderId="20" xfId="0" applyNumberFormat="1" applyFont="1" applyBorder="1"/>
    <xf numFmtId="14" fontId="2" fillId="0" borderId="21" xfId="0" applyNumberFormat="1" applyFont="1" applyBorder="1"/>
    <xf numFmtId="0" fontId="3" fillId="0" borderId="22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0" xfId="0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0" xfId="0" applyNumberFormat="1" applyFont="1"/>
    <xf numFmtId="2" fontId="3" fillId="0" borderId="0" xfId="0" applyNumberFormat="1" applyFont="1"/>
    <xf numFmtId="14" fontId="2" fillId="0" borderId="26" xfId="0" applyNumberFormat="1" applyFont="1" applyBorder="1"/>
    <xf numFmtId="16" fontId="2" fillId="0" borderId="7" xfId="0" applyNumberFormat="1" applyFont="1" applyBorder="1"/>
    <xf numFmtId="16" fontId="2" fillId="0" borderId="6" xfId="0" applyNumberFormat="1" applyFont="1" applyBorder="1"/>
    <xf numFmtId="16" fontId="2" fillId="0" borderId="8" xfId="0" applyNumberFormat="1" applyFont="1" applyBorder="1"/>
    <xf numFmtId="0" fontId="3" fillId="0" borderId="22" xfId="0" applyFont="1" applyBorder="1"/>
    <xf numFmtId="0" fontId="3" fillId="0" borderId="20" xfId="0" applyFont="1" applyBorder="1"/>
    <xf numFmtId="0" fontId="3" fillId="0" borderId="19" xfId="0" applyFont="1" applyBorder="1"/>
    <xf numFmtId="0" fontId="3" fillId="0" borderId="21" xfId="0" applyFont="1" applyBorder="1"/>
    <xf numFmtId="16" fontId="3" fillId="0" borderId="0" xfId="0" applyNumberFormat="1" applyFont="1"/>
    <xf numFmtId="0" fontId="3" fillId="0" borderId="1" xfId="0" applyFont="1" applyBorder="1"/>
    <xf numFmtId="1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7" xfId="0" applyFont="1" applyBorder="1" applyAlignment="1">
      <alignment horizontal="center"/>
    </xf>
    <xf numFmtId="0" fontId="2" fillId="0" borderId="28" xfId="0" applyFont="1" applyBorder="1"/>
    <xf numFmtId="164" fontId="2" fillId="0" borderId="29" xfId="0" applyNumberFormat="1" applyFont="1" applyBorder="1"/>
    <xf numFmtId="164" fontId="2" fillId="0" borderId="30" xfId="0" applyNumberFormat="1" applyFont="1" applyBorder="1"/>
    <xf numFmtId="0" fontId="3" fillId="0" borderId="31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3" xfId="0" applyFont="1" applyBorder="1"/>
    <xf numFmtId="0" fontId="3" fillId="0" borderId="16" xfId="0" applyFont="1" applyBorder="1"/>
    <xf numFmtId="1" fontId="3" fillId="0" borderId="16" xfId="0" applyNumberFormat="1" applyFont="1" applyBorder="1"/>
    <xf numFmtId="1" fontId="3" fillId="0" borderId="34" xfId="0" applyNumberFormat="1" applyFont="1" applyBorder="1"/>
    <xf numFmtId="0" fontId="3" fillId="0" borderId="3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36" xfId="0" applyNumberFormat="1" applyFont="1" applyBorder="1"/>
    <xf numFmtId="165" fontId="3" fillId="0" borderId="30" xfId="0" applyNumberFormat="1" applyFont="1" applyBorder="1"/>
    <xf numFmtId="165" fontId="3" fillId="0" borderId="37" xfId="0" applyNumberFormat="1" applyFont="1" applyBorder="1"/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4" fontId="3" fillId="0" borderId="0" xfId="0" applyNumberFormat="1" applyFont="1"/>
    <xf numFmtId="0" fontId="3" fillId="0" borderId="40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6" fontId="4" fillId="0" borderId="0" xfId="0" applyNumberFormat="1" applyFont="1"/>
    <xf numFmtId="1" fontId="3" fillId="0" borderId="40" xfId="0" applyNumberFormat="1" applyFont="1" applyBorder="1"/>
    <xf numFmtId="165" fontId="3" fillId="0" borderId="15" xfId="0" applyNumberFormat="1" applyFont="1" applyBorder="1" applyAlignment="1">
      <alignment horizontal="center"/>
    </xf>
    <xf numFmtId="165" fontId="3" fillId="0" borderId="40" xfId="0" applyNumberFormat="1" applyFont="1" applyBorder="1"/>
    <xf numFmtId="165" fontId="3" fillId="0" borderId="13" xfId="0" applyNumberFormat="1" applyFont="1" applyBorder="1" applyAlignment="1">
      <alignment horizontal="center"/>
    </xf>
    <xf numFmtId="0" fontId="3" fillId="0" borderId="41" xfId="0" applyFont="1" applyBorder="1"/>
    <xf numFmtId="0" fontId="3" fillId="3" borderId="40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5" xfId="0" applyFont="1" applyBorder="1" applyAlignment="1"/>
    <xf numFmtId="16" fontId="7" fillId="0" borderId="46" xfId="0" applyNumberFormat="1" applyFont="1" applyBorder="1" applyAlignment="1">
      <alignment horizontal="center"/>
    </xf>
    <xf numFmtId="16" fontId="7" fillId="0" borderId="47" xfId="0" applyNumberFormat="1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0" xfId="0" applyFont="1"/>
    <xf numFmtId="0" fontId="8" fillId="0" borderId="18" xfId="0" applyFont="1" applyBorder="1"/>
    <xf numFmtId="167" fontId="8" fillId="0" borderId="20" xfId="0" applyNumberFormat="1" applyFont="1" applyBorder="1" applyAlignment="1">
      <alignment horizontal="center"/>
    </xf>
    <xf numFmtId="1" fontId="8" fillId="0" borderId="22" xfId="0" applyNumberFormat="1" applyFont="1" applyBorder="1" applyAlignment="1">
      <alignment horizontal="center"/>
    </xf>
    <xf numFmtId="0" fontId="8" fillId="0" borderId="0" xfId="0" applyFont="1"/>
    <xf numFmtId="0" fontId="8" fillId="0" borderId="28" xfId="0" applyFont="1" applyBorder="1"/>
    <xf numFmtId="168" fontId="8" fillId="0" borderId="23" xfId="0" applyNumberFormat="1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3" fillId="0" borderId="49" xfId="0" applyFont="1" applyBorder="1"/>
    <xf numFmtId="0" fontId="3" fillId="0" borderId="50" xfId="0" applyFont="1" applyBorder="1"/>
    <xf numFmtId="167" fontId="8" fillId="3" borderId="51" xfId="0" applyNumberFormat="1" applyFont="1" applyFill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0" fontId="7" fillId="0" borderId="47" xfId="0" applyFont="1" applyBorder="1" applyAlignment="1">
      <alignment horizontal="center"/>
    </xf>
    <xf numFmtId="168" fontId="8" fillId="3" borderId="51" xfId="0" applyNumberFormat="1" applyFont="1" applyFill="1" applyBorder="1" applyAlignment="1">
      <alignment horizontal="center"/>
    </xf>
    <xf numFmtId="167" fontId="8" fillId="0" borderId="22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right"/>
    </xf>
    <xf numFmtId="0" fontId="8" fillId="0" borderId="41" xfId="0" applyFont="1" applyBorder="1"/>
    <xf numFmtId="16" fontId="7" fillId="0" borderId="17" xfId="0" applyNumberFormat="1" applyFont="1" applyBorder="1" applyAlignment="1">
      <alignment horizontal="center"/>
    </xf>
    <xf numFmtId="16" fontId="7" fillId="0" borderId="56" xfId="0" applyNumberFormat="1" applyFont="1" applyBorder="1" applyAlignment="1">
      <alignment horizontal="center"/>
    </xf>
    <xf numFmtId="0" fontId="8" fillId="0" borderId="43" xfId="0" applyFont="1" applyBorder="1"/>
    <xf numFmtId="169" fontId="8" fillId="0" borderId="29" xfId="0" applyNumberFormat="1" applyFont="1" applyBorder="1" applyAlignment="1">
      <alignment horizontal="center"/>
    </xf>
    <xf numFmtId="169" fontId="8" fillId="0" borderId="30" xfId="0" applyNumberFormat="1" applyFont="1" applyBorder="1" applyAlignment="1">
      <alignment horizontal="center"/>
    </xf>
    <xf numFmtId="169" fontId="8" fillId="0" borderId="57" xfId="0" applyNumberFormat="1" applyFont="1" applyBorder="1" applyAlignment="1">
      <alignment horizontal="center"/>
    </xf>
    <xf numFmtId="0" fontId="8" fillId="0" borderId="58" xfId="0" applyFont="1" applyBorder="1"/>
    <xf numFmtId="168" fontId="8" fillId="0" borderId="59" xfId="0" applyNumberFormat="1" applyFont="1" applyBorder="1" applyAlignment="1">
      <alignment horizontal="center"/>
    </xf>
    <xf numFmtId="168" fontId="9" fillId="0" borderId="23" xfId="0" applyNumberFormat="1" applyFont="1" applyBorder="1" applyAlignment="1">
      <alignment horizontal="center"/>
    </xf>
    <xf numFmtId="168" fontId="8" fillId="0" borderId="60" xfId="0" applyNumberFormat="1" applyFont="1" applyBorder="1" applyAlignment="1">
      <alignment horizontal="center"/>
    </xf>
    <xf numFmtId="0" fontId="10" fillId="0" borderId="0" xfId="0" applyFont="1"/>
    <xf numFmtId="169" fontId="3" fillId="0" borderId="0" xfId="0" applyNumberFormat="1" applyFont="1"/>
    <xf numFmtId="167" fontId="8" fillId="3" borderId="51" xfId="0" applyNumberFormat="1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168" fontId="8" fillId="0" borderId="19" xfId="0" applyNumberFormat="1" applyFont="1" applyBorder="1" applyAlignment="1">
      <alignment horizontal="center"/>
    </xf>
    <xf numFmtId="0" fontId="11" fillId="0" borderId="0" xfId="0" applyFont="1"/>
    <xf numFmtId="0" fontId="13" fillId="0" borderId="1" xfId="0" applyFont="1" applyBorder="1"/>
    <xf numFmtId="16" fontId="13" fillId="0" borderId="2" xfId="0" applyNumberFormat="1" applyFont="1" applyBorder="1" applyAlignment="1">
      <alignment horizontal="center"/>
    </xf>
    <xf numFmtId="16" fontId="13" fillId="0" borderId="3" xfId="0" applyNumberFormat="1" applyFont="1" applyBorder="1" applyAlignment="1">
      <alignment horizontal="center"/>
    </xf>
    <xf numFmtId="16" fontId="13" fillId="0" borderId="26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10" fillId="0" borderId="5" xfId="0" applyFont="1" applyBorder="1"/>
    <xf numFmtId="2" fontId="10" fillId="0" borderId="6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10" fillId="0" borderId="11" xfId="0" applyFont="1" applyBorder="1"/>
    <xf numFmtId="2" fontId="10" fillId="0" borderId="12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0" fontId="7" fillId="0" borderId="11" xfId="0" applyFont="1" applyBorder="1"/>
    <xf numFmtId="2" fontId="13" fillId="0" borderId="12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0" fontId="10" fillId="0" borderId="0" xfId="0" applyFont="1" applyAlignment="1">
      <alignment horizontal="right"/>
    </xf>
    <xf numFmtId="0" fontId="2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2" fillId="0" borderId="41" xfId="0" applyFont="1" applyBorder="1"/>
    <xf numFmtId="2" fontId="13" fillId="0" borderId="17" xfId="0" applyNumberFormat="1" applyFont="1" applyBorder="1" applyAlignment="1">
      <alignment horizontal="center"/>
    </xf>
    <xf numFmtId="2" fontId="3" fillId="0" borderId="41" xfId="0" applyNumberFormat="1" applyFont="1" applyBorder="1" applyAlignment="1">
      <alignment horizontal="center"/>
    </xf>
    <xf numFmtId="0" fontId="10" fillId="0" borderId="15" xfId="0" applyFont="1" applyBorder="1"/>
    <xf numFmtId="0" fontId="2" fillId="0" borderId="32" xfId="0" applyFont="1" applyBorder="1"/>
    <xf numFmtId="2" fontId="13" fillId="0" borderId="33" xfId="0" applyNumberFormat="1" applyFont="1" applyBorder="1" applyAlignment="1">
      <alignment horizontal="center"/>
    </xf>
    <xf numFmtId="2" fontId="10" fillId="0" borderId="39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56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0" fontId="13" fillId="0" borderId="28" xfId="0" applyFont="1" applyBorder="1"/>
    <xf numFmtId="2" fontId="13" fillId="0" borderId="36" xfId="0" applyNumberFormat="1" applyFont="1" applyBorder="1" applyAlignment="1">
      <alignment horizontal="center"/>
    </xf>
    <xf numFmtId="2" fontId="13" fillId="0" borderId="45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14" fontId="10" fillId="0" borderId="0" xfId="0" applyNumberFormat="1" applyFont="1"/>
    <xf numFmtId="0" fontId="10" fillId="0" borderId="48" xfId="0" applyFont="1" applyBorder="1"/>
    <xf numFmtId="2" fontId="10" fillId="0" borderId="46" xfId="0" applyNumberFormat="1" applyFont="1" applyBorder="1" applyAlignment="1">
      <alignment horizontal="center"/>
    </xf>
    <xf numFmtId="2" fontId="10" fillId="0" borderId="31" xfId="0" applyNumberFormat="1" applyFont="1" applyBorder="1" applyAlignment="1">
      <alignment horizontal="center"/>
    </xf>
    <xf numFmtId="0" fontId="10" fillId="0" borderId="18" xfId="0" applyFont="1" applyBorder="1"/>
    <xf numFmtId="2" fontId="10" fillId="0" borderId="18" xfId="0" applyNumberFormat="1" applyFont="1" applyBorder="1" applyAlignment="1">
      <alignment horizontal="center"/>
    </xf>
    <xf numFmtId="0" fontId="10" fillId="0" borderId="53" xfId="0" applyFont="1" applyBorder="1"/>
    <xf numFmtId="2" fontId="14" fillId="0" borderId="0" xfId="0" applyNumberFormat="1" applyFont="1"/>
    <xf numFmtId="2" fontId="10" fillId="0" borderId="33" xfId="0" applyNumberFormat="1" applyFont="1" applyBorder="1" applyAlignment="1">
      <alignment horizontal="center"/>
    </xf>
    <xf numFmtId="0" fontId="15" fillId="0" borderId="0" xfId="0" applyFont="1"/>
    <xf numFmtId="2" fontId="10" fillId="0" borderId="20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3" fillId="0" borderId="28" xfId="0" applyFont="1" applyBorder="1"/>
    <xf numFmtId="16" fontId="7" fillId="0" borderId="36" xfId="0" applyNumberFormat="1" applyFont="1" applyBorder="1" applyAlignment="1">
      <alignment horizontal="center"/>
    </xf>
    <xf numFmtId="16" fontId="7" fillId="0" borderId="30" xfId="0" applyNumberFormat="1" applyFont="1" applyBorder="1" applyAlignment="1">
      <alignment horizontal="center"/>
    </xf>
    <xf numFmtId="16" fontId="7" fillId="0" borderId="57" xfId="0" applyNumberFormat="1" applyFont="1" applyBorder="1" applyAlignment="1">
      <alignment horizontal="center"/>
    </xf>
    <xf numFmtId="0" fontId="8" fillId="0" borderId="62" xfId="0" applyFont="1" applyBorder="1"/>
    <xf numFmtId="170" fontId="3" fillId="0" borderId="63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170" fontId="3" fillId="0" borderId="7" xfId="0" applyNumberFormat="1" applyFont="1" applyBorder="1" applyAlignment="1">
      <alignment horizontal="center"/>
    </xf>
    <xf numFmtId="170" fontId="3" fillId="0" borderId="7" xfId="0" applyNumberFormat="1" applyFont="1" applyBorder="1"/>
    <xf numFmtId="170" fontId="3" fillId="0" borderId="9" xfId="0" applyNumberFormat="1" applyFont="1" applyBorder="1" applyAlignment="1">
      <alignment horizontal="center"/>
    </xf>
    <xf numFmtId="0" fontId="8" fillId="0" borderId="64" xfId="0" applyFont="1" applyBorder="1"/>
    <xf numFmtId="170" fontId="3" fillId="0" borderId="40" xfId="0" applyNumberFormat="1" applyFont="1" applyBorder="1" applyAlignment="1">
      <alignment horizontal="center"/>
    </xf>
    <xf numFmtId="170" fontId="3" fillId="0" borderId="13" xfId="0" applyNumberFormat="1" applyFont="1" applyBorder="1" applyAlignment="1">
      <alignment horizontal="center"/>
    </xf>
    <xf numFmtId="170" fontId="3" fillId="0" borderId="13" xfId="0" applyNumberFormat="1" applyFont="1" applyBorder="1"/>
    <xf numFmtId="170" fontId="2" fillId="0" borderId="15" xfId="0" applyNumberFormat="1" applyFont="1" applyBorder="1" applyAlignment="1">
      <alignment horizontal="center"/>
    </xf>
    <xf numFmtId="170" fontId="3" fillId="0" borderId="15" xfId="0" applyNumberFormat="1" applyFont="1" applyBorder="1" applyAlignment="1">
      <alignment horizontal="center"/>
    </xf>
    <xf numFmtId="0" fontId="7" fillId="0" borderId="64" xfId="0" applyFont="1" applyBorder="1"/>
    <xf numFmtId="170" fontId="2" fillId="0" borderId="40" xfId="0" applyNumberFormat="1" applyFont="1" applyBorder="1" applyAlignment="1">
      <alignment horizontal="center"/>
    </xf>
    <xf numFmtId="170" fontId="2" fillId="0" borderId="13" xfId="0" applyNumberFormat="1" applyFont="1" applyBorder="1" applyAlignment="1">
      <alignment horizontal="center"/>
    </xf>
    <xf numFmtId="0" fontId="8" fillId="0" borderId="64" xfId="0" applyFont="1" applyBorder="1" applyAlignment="1">
      <alignment vertical="center" wrapText="1"/>
    </xf>
    <xf numFmtId="170" fontId="3" fillId="0" borderId="40" xfId="0" applyNumberFormat="1" applyFont="1" applyBorder="1" applyAlignment="1">
      <alignment horizontal="center" vertical="center"/>
    </xf>
    <xf numFmtId="170" fontId="3" fillId="0" borderId="13" xfId="0" applyNumberFormat="1" applyFont="1" applyBorder="1" applyAlignment="1">
      <alignment horizontal="center" vertical="center"/>
    </xf>
    <xf numFmtId="170" fontId="3" fillId="0" borderId="15" xfId="0" applyNumberFormat="1" applyFont="1" applyBorder="1" applyAlignment="1">
      <alignment horizontal="center" vertical="center"/>
    </xf>
    <xf numFmtId="0" fontId="3" fillId="0" borderId="64" xfId="0" applyFont="1" applyBorder="1"/>
    <xf numFmtId="170" fontId="3" fillId="0" borderId="40" xfId="0" applyNumberFormat="1" applyFont="1" applyBorder="1"/>
    <xf numFmtId="170" fontId="3" fillId="0" borderId="15" xfId="0" applyNumberFormat="1" applyFont="1" applyBorder="1"/>
    <xf numFmtId="170" fontId="3" fillId="0" borderId="38" xfId="0" applyNumberFormat="1" applyFont="1" applyBorder="1" applyAlignment="1">
      <alignment horizontal="center"/>
    </xf>
    <xf numFmtId="170" fontId="3" fillId="0" borderId="17" xfId="0" applyNumberFormat="1" applyFont="1" applyBorder="1" applyAlignment="1">
      <alignment horizontal="center"/>
    </xf>
    <xf numFmtId="170" fontId="3" fillId="0" borderId="17" xfId="0" applyNumberFormat="1" applyFont="1" applyBorder="1"/>
    <xf numFmtId="170" fontId="3" fillId="0" borderId="56" xfId="0" applyNumberFormat="1" applyFont="1" applyBorder="1" applyAlignment="1">
      <alignment horizontal="center"/>
    </xf>
    <xf numFmtId="170" fontId="3" fillId="0" borderId="63" xfId="0" applyNumberFormat="1" applyFont="1" applyBorder="1"/>
    <xf numFmtId="170" fontId="3" fillId="0" borderId="7" xfId="0" applyNumberFormat="1" applyFont="1" applyBorder="1" applyAlignment="1"/>
    <xf numFmtId="171" fontId="3" fillId="0" borderId="7" xfId="0" applyNumberFormat="1" applyFont="1" applyBorder="1" applyAlignment="1"/>
    <xf numFmtId="171" fontId="3" fillId="0" borderId="13" xfId="0" applyNumberFormat="1" applyFont="1" applyBorder="1"/>
    <xf numFmtId="170" fontId="3" fillId="0" borderId="13" xfId="0" applyNumberFormat="1" applyFont="1" applyBorder="1" applyAlignment="1"/>
    <xf numFmtId="171" fontId="3" fillId="0" borderId="13" xfId="0" applyNumberFormat="1" applyFont="1" applyBorder="1" applyAlignment="1"/>
    <xf numFmtId="170" fontId="2" fillId="0" borderId="40" xfId="0" applyNumberFormat="1" applyFont="1" applyBorder="1"/>
    <xf numFmtId="170" fontId="2" fillId="0" borderId="13" xfId="0" applyNumberFormat="1" applyFont="1" applyBorder="1"/>
    <xf numFmtId="171" fontId="2" fillId="0" borderId="13" xfId="0" applyNumberFormat="1" applyFont="1" applyBorder="1"/>
    <xf numFmtId="0" fontId="8" fillId="0" borderId="64" xfId="0" applyFont="1" applyBorder="1" applyAlignment="1"/>
    <xf numFmtId="171" fontId="3" fillId="0" borderId="15" xfId="0" applyNumberFormat="1" applyFont="1" applyBorder="1"/>
    <xf numFmtId="0" fontId="9" fillId="0" borderId="64" xfId="0" applyFont="1" applyBorder="1"/>
    <xf numFmtId="170" fontId="16" fillId="0" borderId="13" xfId="0" applyNumberFormat="1" applyFont="1" applyBorder="1"/>
    <xf numFmtId="170" fontId="16" fillId="0" borderId="40" xfId="0" applyNumberFormat="1" applyFont="1" applyBorder="1"/>
    <xf numFmtId="0" fontId="17" fillId="0" borderId="0" xfId="0" applyFont="1"/>
    <xf numFmtId="0" fontId="18" fillId="0" borderId="64" xfId="0" applyFont="1" applyBorder="1"/>
    <xf numFmtId="170" fontId="17" fillId="0" borderId="13" xfId="0" applyNumberFormat="1" applyFont="1" applyBorder="1"/>
    <xf numFmtId="170" fontId="16" fillId="0" borderId="13" xfId="0" applyNumberFormat="1" applyFont="1" applyBorder="1" applyAlignment="1">
      <alignment horizontal="center"/>
    </xf>
    <xf numFmtId="0" fontId="8" fillId="0" borderId="65" xfId="0" applyFont="1" applyBorder="1" applyAlignment="1"/>
    <xf numFmtId="170" fontId="3" fillId="0" borderId="42" xfId="0" applyNumberFormat="1" applyFont="1" applyBorder="1"/>
    <xf numFmtId="170" fontId="3" fillId="0" borderId="20" xfId="0" applyNumberFormat="1" applyFont="1" applyBorder="1"/>
    <xf numFmtId="170" fontId="3" fillId="0" borderId="20" xfId="0" applyNumberFormat="1" applyFont="1" applyBorder="1" applyAlignment="1"/>
    <xf numFmtId="171" fontId="3" fillId="0" borderId="20" xfId="0" applyNumberFormat="1" applyFont="1" applyBorder="1"/>
    <xf numFmtId="170" fontId="3" fillId="0" borderId="22" xfId="0" applyNumberFormat="1" applyFont="1" applyBorder="1" applyAlignment="1">
      <alignment horizontal="center"/>
    </xf>
    <xf numFmtId="0" fontId="8" fillId="0" borderId="66" xfId="0" applyFont="1" applyBorder="1"/>
    <xf numFmtId="165" fontId="3" fillId="0" borderId="59" xfId="0" applyNumberFormat="1" applyFont="1" applyBorder="1"/>
    <xf numFmtId="172" fontId="3" fillId="0" borderId="23" xfId="0" applyNumberFormat="1" applyFont="1" applyBorder="1"/>
    <xf numFmtId="170" fontId="3" fillId="0" borderId="23" xfId="0" applyNumberFormat="1" applyFont="1" applyBorder="1"/>
    <xf numFmtId="170" fontId="3" fillId="0" borderId="67" xfId="0" applyNumberFormat="1" applyFont="1" applyBorder="1"/>
    <xf numFmtId="165" fontId="3" fillId="0" borderId="24" xfId="0" applyNumberFormat="1" applyFont="1" applyBorder="1"/>
    <xf numFmtId="171" fontId="3" fillId="0" borderId="24" xfId="0" applyNumberFormat="1" applyFont="1" applyBorder="1"/>
    <xf numFmtId="170" fontId="3" fillId="0" borderId="24" xfId="0" applyNumberFormat="1" applyFont="1" applyBorder="1"/>
    <xf numFmtId="165" fontId="3" fillId="0" borderId="24" xfId="0" applyNumberFormat="1" applyFont="1" applyBorder="1" applyAlignment="1">
      <alignment horizontal="center"/>
    </xf>
    <xf numFmtId="170" fontId="3" fillId="0" borderId="27" xfId="0" applyNumberFormat="1" applyFont="1" applyBorder="1" applyAlignment="1">
      <alignment horizontal="center"/>
    </xf>
    <xf numFmtId="0" fontId="10" fillId="0" borderId="28" xfId="0" applyFont="1" applyBorder="1"/>
    <xf numFmtId="170" fontId="3" fillId="0" borderId="28" xfId="0" applyNumberFormat="1" applyFont="1" applyBorder="1"/>
    <xf numFmtId="170" fontId="3" fillId="0" borderId="29" xfId="0" applyNumberFormat="1" applyFont="1" applyBorder="1"/>
    <xf numFmtId="170" fontId="3" fillId="0" borderId="29" xfId="0" applyNumberFormat="1" applyFont="1" applyBorder="1" applyAlignment="1">
      <alignment horizontal="center"/>
    </xf>
    <xf numFmtId="170" fontId="3" fillId="0" borderId="28" xfId="0" applyNumberFormat="1" applyFont="1" applyBorder="1" applyAlignment="1">
      <alignment horizontal="center"/>
    </xf>
    <xf numFmtId="0" fontId="3" fillId="0" borderId="53" xfId="0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3" fillId="0" borderId="5" xfId="0" applyFont="1" applyBorder="1"/>
    <xf numFmtId="16" fontId="13" fillId="0" borderId="63" xfId="0" applyNumberFormat="1" applyFont="1" applyBorder="1" applyAlignment="1">
      <alignment horizontal="center"/>
    </xf>
    <xf numFmtId="16" fontId="13" fillId="0" borderId="7" xfId="0" applyNumberFormat="1" applyFont="1" applyBorder="1" applyAlignment="1">
      <alignment horizontal="center"/>
    </xf>
    <xf numFmtId="16" fontId="13" fillId="0" borderId="9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7" fillId="0" borderId="41" xfId="0" applyFont="1" applyBorder="1"/>
    <xf numFmtId="16" fontId="7" fillId="0" borderId="38" xfId="0" applyNumberFormat="1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10" fillId="0" borderId="63" xfId="0" applyFont="1" applyBorder="1"/>
    <xf numFmtId="1" fontId="8" fillId="0" borderId="7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10" fillId="0" borderId="40" xfId="0" applyFont="1" applyBorder="1"/>
    <xf numFmtId="1" fontId="10" fillId="0" borderId="13" xfId="0" applyNumberFormat="1" applyFont="1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0" fontId="7" fillId="0" borderId="40" xfId="0" applyFont="1" applyBorder="1"/>
    <xf numFmtId="1" fontId="7" fillId="0" borderId="13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8" fillId="0" borderId="69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8" fillId="0" borderId="40" xfId="0" applyFont="1" applyBorder="1"/>
    <xf numFmtId="1" fontId="8" fillId="0" borderId="12" xfId="0" applyNumberFormat="1" applyFont="1" applyBorder="1" applyAlignment="1">
      <alignment horizontal="center"/>
    </xf>
    <xf numFmtId="0" fontId="13" fillId="0" borderId="40" xfId="0" applyFont="1" applyBorder="1"/>
    <xf numFmtId="1" fontId="13" fillId="0" borderId="13" xfId="0" applyNumberFormat="1" applyFont="1" applyBorder="1" applyAlignment="1">
      <alignment horizontal="center"/>
    </xf>
    <xf numFmtId="1" fontId="13" fillId="0" borderId="15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8" fillId="0" borderId="42" xfId="0" applyFont="1" applyBorder="1"/>
    <xf numFmtId="1" fontId="8" fillId="0" borderId="20" xfId="0" applyNumberFormat="1" applyFont="1" applyBorder="1" applyAlignment="1">
      <alignment horizontal="center"/>
    </xf>
    <xf numFmtId="1" fontId="10" fillId="0" borderId="70" xfId="0" applyNumberFormat="1" applyFont="1" applyBorder="1" applyAlignment="1">
      <alignment horizontal="center"/>
    </xf>
    <xf numFmtId="16" fontId="13" fillId="0" borderId="36" xfId="0" applyNumberFormat="1" applyFont="1" applyBorder="1" applyAlignment="1">
      <alignment horizontal="center"/>
    </xf>
    <xf numFmtId="16" fontId="13" fillId="0" borderId="30" xfId="0" applyNumberFormat="1" applyFont="1" applyBorder="1" applyAlignment="1">
      <alignment horizontal="center"/>
    </xf>
    <xf numFmtId="16" fontId="13" fillId="0" borderId="57" xfId="0" applyNumberFormat="1" applyFont="1" applyBorder="1" applyAlignment="1">
      <alignment horizontal="center"/>
    </xf>
    <xf numFmtId="165" fontId="10" fillId="0" borderId="46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165" fontId="19" fillId="0" borderId="46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8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165" fontId="10" fillId="0" borderId="29" xfId="0" applyNumberFormat="1" applyFont="1" applyBorder="1" applyAlignment="1">
      <alignment horizontal="center"/>
    </xf>
    <xf numFmtId="165" fontId="13" fillId="0" borderId="28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3" fillId="5" borderId="71" xfId="0" applyFont="1" applyFill="1" applyBorder="1"/>
    <xf numFmtId="166" fontId="8" fillId="0" borderId="0" xfId="0" applyNumberFormat="1" applyFont="1" applyAlignment="1">
      <alignment horizontal="center"/>
    </xf>
    <xf numFmtId="0" fontId="15" fillId="0" borderId="29" xfId="0" applyFont="1" applyBorder="1"/>
    <xf numFmtId="16" fontId="22" fillId="0" borderId="30" xfId="0" applyNumberFormat="1" applyFont="1" applyBorder="1" applyAlignment="1">
      <alignment horizontal="center"/>
    </xf>
    <xf numFmtId="16" fontId="22" fillId="0" borderId="57" xfId="0" applyNumberFormat="1" applyFont="1" applyBorder="1" applyAlignment="1">
      <alignment horizontal="center"/>
    </xf>
    <xf numFmtId="0" fontId="8" fillId="0" borderId="63" xfId="0" applyFont="1" applyBorder="1"/>
    <xf numFmtId="2" fontId="1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173" fontId="15" fillId="0" borderId="7" xfId="0" applyNumberFormat="1" applyFont="1" applyBorder="1" applyAlignment="1">
      <alignment horizontal="center"/>
    </xf>
    <xf numFmtId="167" fontId="15" fillId="0" borderId="7" xfId="0" applyNumberFormat="1" applyFont="1" applyBorder="1" applyAlignment="1">
      <alignment horizontal="center"/>
    </xf>
    <xf numFmtId="4" fontId="15" fillId="0" borderId="9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73" fontId="15" fillId="0" borderId="13" xfId="0" applyNumberFormat="1" applyFont="1" applyBorder="1" applyAlignment="1">
      <alignment horizontal="center"/>
    </xf>
    <xf numFmtId="167" fontId="15" fillId="0" borderId="13" xfId="0" applyNumberFormat="1" applyFont="1" applyBorder="1" applyAlignment="1">
      <alignment horizontal="center"/>
    </xf>
    <xf numFmtId="4" fontId="15" fillId="0" borderId="15" xfId="0" applyNumberFormat="1" applyFont="1" applyBorder="1" applyAlignment="1">
      <alignment horizontal="center"/>
    </xf>
    <xf numFmtId="0" fontId="8" fillId="0" borderId="38" xfId="0" applyFont="1" applyBorder="1"/>
    <xf numFmtId="2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3" fontId="15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center"/>
    </xf>
    <xf numFmtId="4" fontId="15" fillId="0" borderId="56" xfId="0" applyNumberFormat="1" applyFont="1" applyBorder="1" applyAlignment="1">
      <alignment horizontal="center"/>
    </xf>
    <xf numFmtId="2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173" fontId="15" fillId="0" borderId="20" xfId="0" applyNumberFormat="1" applyFont="1" applyBorder="1" applyAlignment="1">
      <alignment horizontal="center"/>
    </xf>
    <xf numFmtId="167" fontId="15" fillId="0" borderId="20" xfId="0" applyNumberFormat="1" applyFont="1" applyBorder="1" applyAlignment="1">
      <alignment horizontal="center"/>
    </xf>
    <xf numFmtId="4" fontId="15" fillId="0" borderId="22" xfId="0" applyNumberFormat="1" applyFont="1" applyBorder="1" applyAlignment="1">
      <alignment horizontal="center"/>
    </xf>
    <xf numFmtId="0" fontId="10" fillId="0" borderId="29" xfId="0" applyFont="1" applyBorder="1"/>
    <xf numFmtId="4" fontId="15" fillId="0" borderId="30" xfId="0" applyNumberFormat="1" applyFont="1" applyBorder="1" applyAlignment="1">
      <alignment horizontal="center"/>
    </xf>
    <xf numFmtId="4" fontId="15" fillId="0" borderId="57" xfId="0" applyNumberFormat="1" applyFont="1" applyBorder="1" applyAlignment="1">
      <alignment horizontal="center"/>
    </xf>
    <xf numFmtId="0" fontId="3" fillId="0" borderId="29" xfId="0" applyFont="1" applyBorder="1"/>
    <xf numFmtId="0" fontId="23" fillId="0" borderId="29" xfId="0" applyFont="1" applyBorder="1"/>
    <xf numFmtId="16" fontId="22" fillId="0" borderId="36" xfId="0" applyNumberFormat="1" applyFont="1" applyBorder="1" applyAlignment="1">
      <alignment horizontal="center"/>
    </xf>
    <xf numFmtId="0" fontId="23" fillId="0" borderId="72" xfId="0" applyFont="1" applyBorder="1"/>
    <xf numFmtId="0" fontId="15" fillId="0" borderId="56" xfId="0" applyFont="1" applyBorder="1" applyAlignment="1">
      <alignment horizontal="center"/>
    </xf>
    <xf numFmtId="0" fontId="23" fillId="0" borderId="40" xfId="0" applyFont="1" applyBorder="1"/>
    <xf numFmtId="0" fontId="15" fillId="0" borderId="15" xfId="0" applyFont="1" applyBorder="1" applyAlignment="1">
      <alignment horizontal="center"/>
    </xf>
    <xf numFmtId="0" fontId="23" fillId="0" borderId="42" xfId="0" applyFont="1" applyBorder="1"/>
    <xf numFmtId="0" fontId="15" fillId="0" borderId="22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3" fillId="0" borderId="35" xfId="0" applyFont="1" applyBorder="1"/>
    <xf numFmtId="16" fontId="22" fillId="0" borderId="3" xfId="0" applyNumberFormat="1" applyFont="1" applyBorder="1" applyAlignment="1">
      <alignment horizontal="center"/>
    </xf>
    <xf numFmtId="16" fontId="22" fillId="0" borderId="26" xfId="0" applyNumberFormat="1" applyFont="1" applyBorder="1" applyAlignment="1">
      <alignment horizontal="center"/>
    </xf>
    <xf numFmtId="0" fontId="23" fillId="0" borderId="63" xfId="0" applyFont="1" applyBorder="1"/>
    <xf numFmtId="4" fontId="15" fillId="0" borderId="7" xfId="0" applyNumberFormat="1" applyFont="1" applyBorder="1" applyAlignment="1">
      <alignment horizontal="center"/>
    </xf>
    <xf numFmtId="4" fontId="15" fillId="0" borderId="20" xfId="0" applyNumberFormat="1" applyFont="1" applyBorder="1" applyAlignment="1">
      <alignment horizontal="center"/>
    </xf>
    <xf numFmtId="16" fontId="15" fillId="0" borderId="9" xfId="0" applyNumberFormat="1" applyFont="1" applyBorder="1" applyAlignment="1">
      <alignment horizontal="center"/>
    </xf>
    <xf numFmtId="16" fontId="22" fillId="0" borderId="63" xfId="0" applyNumberFormat="1" applyFont="1" applyBorder="1" applyAlignment="1">
      <alignment horizontal="center"/>
    </xf>
    <xf numFmtId="16" fontId="22" fillId="0" borderId="7" xfId="0" applyNumberFormat="1" applyFont="1" applyBorder="1" applyAlignment="1">
      <alignment horizontal="center"/>
    </xf>
    <xf numFmtId="16" fontId="22" fillId="0" borderId="9" xfId="0" applyNumberFormat="1" applyFont="1" applyBorder="1" applyAlignment="1">
      <alignment horizontal="center"/>
    </xf>
    <xf numFmtId="16" fontId="15" fillId="0" borderId="15" xfId="0" applyNumberFormat="1" applyFont="1" applyBorder="1" applyAlignment="1">
      <alignment horizontal="center"/>
    </xf>
    <xf numFmtId="16" fontId="22" fillId="0" borderId="40" xfId="0" applyNumberFormat="1" applyFont="1" applyBorder="1" applyAlignment="1">
      <alignment horizontal="center"/>
    </xf>
    <xf numFmtId="16" fontId="22" fillId="0" borderId="13" xfId="0" applyNumberFormat="1" applyFont="1" applyBorder="1" applyAlignment="1">
      <alignment horizontal="center"/>
    </xf>
    <xf numFmtId="16" fontId="22" fillId="0" borderId="15" xfId="0" applyNumberFormat="1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4" fontId="15" fillId="0" borderId="17" xfId="0" applyNumberFormat="1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5" xfId="0" applyFont="1" applyBorder="1"/>
    <xf numFmtId="16" fontId="25" fillId="0" borderId="3" xfId="0" applyNumberFormat="1" applyFont="1" applyBorder="1" applyAlignment="1">
      <alignment horizontal="center"/>
    </xf>
    <xf numFmtId="16" fontId="25" fillId="0" borderId="26" xfId="0" applyNumberFormat="1" applyFont="1" applyBorder="1" applyAlignment="1">
      <alignment horizontal="center"/>
    </xf>
    <xf numFmtId="0" fontId="10" fillId="0" borderId="59" xfId="0" applyFont="1" applyBorder="1"/>
    <xf numFmtId="4" fontId="15" fillId="0" borderId="24" xfId="0" applyNumberFormat="1" applyFont="1" applyBorder="1" applyAlignment="1">
      <alignment horizontal="center"/>
    </xf>
    <xf numFmtId="4" fontId="15" fillId="0" borderId="27" xfId="0" applyNumberFormat="1" applyFont="1" applyBorder="1" applyAlignment="1">
      <alignment horizontal="center"/>
    </xf>
    <xf numFmtId="16" fontId="22" fillId="0" borderId="2" xfId="0" applyNumberFormat="1" applyFont="1" applyBorder="1" applyAlignment="1">
      <alignment horizontal="center"/>
    </xf>
    <xf numFmtId="0" fontId="2" fillId="0" borderId="0" xfId="0" quotePrefix="1" applyFont="1"/>
    <xf numFmtId="0" fontId="15" fillId="0" borderId="9" xfId="0" applyFont="1" applyBorder="1" applyAlignment="1">
      <alignment horizontal="center"/>
    </xf>
    <xf numFmtId="0" fontId="23" fillId="0" borderId="59" xfId="0" applyFont="1" applyBorder="1"/>
    <xf numFmtId="0" fontId="15" fillId="0" borderId="24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16" fontId="25" fillId="0" borderId="30" xfId="0" applyNumberFormat="1" applyFont="1" applyBorder="1" applyAlignment="1">
      <alignment horizontal="center"/>
    </xf>
    <xf numFmtId="16" fontId="25" fillId="0" borderId="57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0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50" xfId="0" applyNumberFormat="1" applyFont="1" applyBorder="1"/>
    <xf numFmtId="0" fontId="16" fillId="0" borderId="0" xfId="0" applyFont="1" applyAlignment="1">
      <alignment horizontal="center"/>
    </xf>
    <xf numFmtId="165" fontId="16" fillId="0" borderId="50" xfId="0" applyNumberFormat="1" applyFont="1" applyBorder="1" applyAlignment="1">
      <alignment horizontal="center"/>
    </xf>
    <xf numFmtId="0" fontId="26" fillId="0" borderId="49" xfId="0" applyFont="1" applyBorder="1" applyAlignment="1">
      <alignment horizontal="left"/>
    </xf>
    <xf numFmtId="0" fontId="27" fillId="0" borderId="49" xfId="0" applyFont="1" applyBorder="1" applyAlignment="1">
      <alignment horizontal="left"/>
    </xf>
    <xf numFmtId="165" fontId="2" fillId="0" borderId="49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5" fontId="16" fillId="0" borderId="58" xfId="0" applyNumberFormat="1" applyFont="1" applyBorder="1" applyAlignment="1">
      <alignment horizontal="center"/>
    </xf>
    <xf numFmtId="0" fontId="16" fillId="0" borderId="73" xfId="0" applyFont="1" applyBorder="1" applyAlignment="1">
      <alignment horizontal="left"/>
    </xf>
    <xf numFmtId="0" fontId="3" fillId="0" borderId="73" xfId="0" applyFont="1" applyBorder="1"/>
    <xf numFmtId="0" fontId="3" fillId="0" borderId="60" xfId="0" applyFont="1" applyBorder="1"/>
    <xf numFmtId="0" fontId="3" fillId="0" borderId="63" xfId="0" applyFont="1" applyBorder="1"/>
    <xf numFmtId="0" fontId="3" fillId="0" borderId="8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40" xfId="0" applyFont="1" applyBorder="1"/>
    <xf numFmtId="0" fontId="3" fillId="0" borderId="14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42" xfId="0" applyFont="1" applyBorder="1"/>
    <xf numFmtId="2" fontId="3" fillId="0" borderId="20" xfId="0" applyNumberFormat="1" applyFont="1" applyBorder="1"/>
    <xf numFmtId="0" fontId="3" fillId="0" borderId="21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2" fillId="0" borderId="5" xfId="0" applyFont="1" applyBorder="1"/>
    <xf numFmtId="2" fontId="3" fillId="0" borderId="20" xfId="0" applyNumberFormat="1" applyFont="1" applyBorder="1" applyAlignment="1">
      <alignment horizontal="right"/>
    </xf>
    <xf numFmtId="16" fontId="2" fillId="0" borderId="30" xfId="0" applyNumberFormat="1" applyFont="1" applyBorder="1"/>
    <xf numFmtId="14" fontId="2" fillId="0" borderId="57" xfId="0" applyNumberFormat="1" applyFont="1" applyBorder="1"/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7" xfId="0" applyFont="1" applyBorder="1" applyAlignment="1">
      <alignment horizontal="right"/>
    </xf>
    <xf numFmtId="0" fontId="3" fillId="0" borderId="61" xfId="0" applyFont="1" applyBorder="1"/>
    <xf numFmtId="165" fontId="3" fillId="0" borderId="30" xfId="0" applyNumberFormat="1" applyFont="1" applyBorder="1" applyAlignment="1">
      <alignment horizontal="center"/>
    </xf>
    <xf numFmtId="165" fontId="3" fillId="0" borderId="57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52" xfId="0" applyFont="1" applyBorder="1"/>
    <xf numFmtId="166" fontId="2" fillId="0" borderId="3" xfId="0" applyNumberFormat="1" applyFont="1" applyBorder="1" applyAlignment="1"/>
    <xf numFmtId="166" fontId="2" fillId="0" borderId="2" xfId="0" applyNumberFormat="1" applyFont="1" applyBorder="1" applyAlignment="1"/>
    <xf numFmtId="166" fontId="2" fillId="2" borderId="74" xfId="0" applyNumberFormat="1" applyFont="1" applyFill="1" applyBorder="1" applyAlignment="1"/>
    <xf numFmtId="166" fontId="2" fillId="0" borderId="26" xfId="0" applyNumberFormat="1" applyFont="1" applyBorder="1"/>
    <xf numFmtId="2" fontId="3" fillId="0" borderId="30" xfId="0" applyNumberFormat="1" applyFont="1" applyBorder="1" applyAlignment="1">
      <alignment horizontal="right"/>
    </xf>
    <xf numFmtId="2" fontId="3" fillId="0" borderId="36" xfId="0" applyNumberFormat="1" applyFont="1" applyBorder="1" applyAlignment="1">
      <alignment horizontal="right"/>
    </xf>
    <xf numFmtId="2" fontId="3" fillId="2" borderId="30" xfId="0" applyNumberFormat="1" applyFont="1" applyFill="1" applyBorder="1" applyAlignment="1">
      <alignment horizontal="right"/>
    </xf>
    <xf numFmtId="2" fontId="3" fillId="0" borderId="45" xfId="0" applyNumberFormat="1" applyFont="1" applyBorder="1" applyAlignment="1">
      <alignment horizontal="right"/>
    </xf>
    <xf numFmtId="0" fontId="1" fillId="0" borderId="28" xfId="0" applyFont="1" applyBorder="1"/>
    <xf numFmtId="0" fontId="1" fillId="6" borderId="29" xfId="0" applyFont="1" applyFill="1" applyBorder="1"/>
    <xf numFmtId="16" fontId="2" fillId="0" borderId="36" xfId="0" applyNumberFormat="1" applyFont="1" applyBorder="1" applyAlignment="1">
      <alignment horizontal="center"/>
    </xf>
    <xf numFmtId="16" fontId="2" fillId="0" borderId="30" xfId="0" applyNumberFormat="1" applyFont="1" applyBorder="1" applyAlignment="1">
      <alignment horizontal="center"/>
    </xf>
    <xf numFmtId="16" fontId="2" fillId="2" borderId="30" xfId="0" applyNumberFormat="1" applyFont="1" applyFill="1" applyBorder="1" applyAlignment="1">
      <alignment horizontal="center"/>
    </xf>
    <xf numFmtId="16" fontId="2" fillId="0" borderId="57" xfId="0" applyNumberFormat="1" applyFont="1" applyBorder="1" applyAlignment="1">
      <alignment horizontal="center"/>
    </xf>
    <xf numFmtId="0" fontId="3" fillId="6" borderId="29" xfId="0" applyFont="1" applyFill="1" applyBorder="1"/>
    <xf numFmtId="174" fontId="3" fillId="0" borderId="36" xfId="0" applyNumberFormat="1" applyFont="1" applyBorder="1" applyAlignment="1">
      <alignment horizontal="right"/>
    </xf>
    <xf numFmtId="2" fontId="3" fillId="0" borderId="57" xfId="0" applyNumberFormat="1" applyFont="1" applyBorder="1" applyAlignment="1">
      <alignment horizontal="right"/>
    </xf>
    <xf numFmtId="0" fontId="1" fillId="6" borderId="28" xfId="0" applyFont="1" applyFill="1" applyBorder="1"/>
    <xf numFmtId="0" fontId="3" fillId="6" borderId="75" xfId="0" applyFont="1" applyFill="1" applyBorder="1"/>
    <xf numFmtId="174" fontId="3" fillId="0" borderId="45" xfId="0" applyNumberFormat="1" applyFont="1" applyBorder="1" applyAlignment="1">
      <alignment horizontal="right"/>
    </xf>
    <xf numFmtId="166" fontId="2" fillId="0" borderId="3" xfId="0" applyNumberFormat="1" applyFont="1" applyBorder="1"/>
    <xf numFmtId="166" fontId="2" fillId="0" borderId="2" xfId="0" applyNumberFormat="1" applyFont="1" applyBorder="1"/>
    <xf numFmtId="166" fontId="2" fillId="2" borderId="74" xfId="0" applyNumberFormat="1" applyFont="1" applyFill="1" applyBorder="1"/>
    <xf numFmtId="0" fontId="2" fillId="6" borderId="75" xfId="0" applyFont="1" applyFill="1" applyBorder="1"/>
    <xf numFmtId="174" fontId="2" fillId="0" borderId="45" xfId="0" applyNumberFormat="1" applyFont="1" applyBorder="1" applyAlignment="1">
      <alignment horizontal="right"/>
    </xf>
    <xf numFmtId="0" fontId="1" fillId="0" borderId="13" xfId="0" applyFont="1" applyBorder="1"/>
    <xf numFmtId="166" fontId="2" fillId="0" borderId="13" xfId="0" applyNumberFormat="1" applyFont="1" applyBorder="1"/>
    <xf numFmtId="166" fontId="2" fillId="2" borderId="13" xfId="0" applyNumberFormat="1" applyFont="1" applyFill="1" applyBorder="1"/>
    <xf numFmtId="0" fontId="1" fillId="6" borderId="13" xfId="0" applyFont="1" applyFill="1" applyBorder="1"/>
    <xf numFmtId="16" fontId="2" fillId="0" borderId="13" xfId="0" applyNumberFormat="1" applyFont="1" applyBorder="1" applyAlignment="1">
      <alignment horizontal="center"/>
    </xf>
    <xf numFmtId="174" fontId="3" fillId="0" borderId="0" xfId="0" applyNumberFormat="1" applyFont="1" applyAlignment="1">
      <alignment horizontal="right"/>
    </xf>
    <xf numFmtId="0" fontId="6" fillId="0" borderId="43" xfId="0" applyFont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0" fontId="3" fillId="4" borderId="43" xfId="0" applyFont="1" applyFill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5" fillId="0" borderId="53" xfId="0" applyFont="1" applyBorder="1"/>
    <xf numFmtId="0" fontId="5" fillId="0" borderId="54" xfId="0" applyFont="1" applyBorder="1"/>
    <xf numFmtId="16" fontId="7" fillId="0" borderId="55" xfId="0" applyNumberFormat="1" applyFont="1" applyBorder="1" applyAlignment="1">
      <alignment horizontal="center"/>
    </xf>
    <xf numFmtId="0" fontId="5" fillId="0" borderId="55" xfId="0" applyFont="1" applyBorder="1"/>
    <xf numFmtId="0" fontId="5" fillId="0" borderId="10" xfId="0" applyFont="1" applyBorder="1"/>
    <xf numFmtId="0" fontId="12" fillId="0" borderId="52" xfId="0" applyFont="1" applyBorder="1" applyAlignment="1">
      <alignment horizontal="center"/>
    </xf>
    <xf numFmtId="170" fontId="3" fillId="0" borderId="17" xfId="0" applyNumberFormat="1" applyFont="1" applyBorder="1" applyAlignment="1">
      <alignment horizontal="center" vertical="center"/>
    </xf>
    <xf numFmtId="0" fontId="5" fillId="0" borderId="16" xfId="0" applyFont="1" applyBorder="1"/>
    <xf numFmtId="0" fontId="5" fillId="0" borderId="47" xfId="0" applyFont="1" applyBorder="1"/>
    <xf numFmtId="0" fontId="20" fillId="0" borderId="43" xfId="0" applyFont="1" applyBorder="1" applyAlignment="1">
      <alignment horizontal="center"/>
    </xf>
    <xf numFmtId="0" fontId="21" fillId="0" borderId="43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/>
    </xf>
    <xf numFmtId="0" fontId="5" fillId="0" borderId="72" xfId="0" applyFont="1" applyBorder="1"/>
    <xf numFmtId="0" fontId="5" fillId="0" borderId="67" xfId="0" applyFont="1" applyBorder="1"/>
    <xf numFmtId="0" fontId="2" fillId="0" borderId="43" xfId="0" applyFont="1" applyBorder="1" applyAlignment="1">
      <alignment horizontal="center"/>
    </xf>
    <xf numFmtId="0" fontId="3" fillId="0" borderId="4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4260869565217391"/>
          <c:y val="0.12292378744644714"/>
          <c:w val="0.84869565217391307"/>
          <c:h val="0.66777516964151018"/>
        </c:manualLayout>
      </c:layout>
      <c:lineChart>
        <c:grouping val="standard"/>
        <c:varyColors val="0"/>
        <c:ser>
          <c:idx val="0"/>
          <c:order val="0"/>
          <c:tx>
            <c:v>Galpão 1 - Abaixo de Zero</c:v>
          </c:tx>
          <c:spPr>
            <a:ln w="9525"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5E5-44AF-B2C1-E1BE3C7F7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I'!$B$153:$M$153</c:f>
              <c:numCache>
                <c:formatCode>0.00</c:formatCode>
                <c:ptCount val="12"/>
                <c:pt idx="0">
                  <c:v>105.80000000000291</c:v>
                </c:pt>
                <c:pt idx="1">
                  <c:v>67.5</c:v>
                </c:pt>
                <c:pt idx="2">
                  <c:v>74.799999999999272</c:v>
                </c:pt>
                <c:pt idx="3">
                  <c:v>53.799999999999272</c:v>
                </c:pt>
                <c:pt idx="4">
                  <c:v>75</c:v>
                </c:pt>
                <c:pt idx="5">
                  <c:v>68.599999999998545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4AF-B2C1-E1BE3C7F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26670"/>
        <c:axId val="1697412065"/>
      </c:lineChart>
      <c:catAx>
        <c:axId val="1355326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130426949361441"/>
              <c:y val="0.893689122193059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97412065"/>
        <c:crosses val="autoZero"/>
        <c:auto val="1"/>
        <c:lblAlgn val="ctr"/>
        <c:lblOffset val="100"/>
        <c:noMultiLvlLbl val="1"/>
      </c:catAx>
      <c:valAx>
        <c:axId val="1697412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0.04"/>
              <c:y val="0.262458957336215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35532667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11 - Metal Printing (Reserva Incêndio) </a:t>
            </a:r>
          </a:p>
        </c:rich>
      </c:tx>
      <c:layout>
        <c:manualLayout>
          <c:xMode val="edge"/>
          <c:yMode val="edge"/>
          <c:x val="0.27844977429242185"/>
          <c:y val="5.7823242180197562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46B-4619-A4B3-133A5EA69EF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46B-4619-A4B3-133A5EA69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I'!$B$183:$M$183</c:f>
              <c:numCache>
                <c:formatCode>0.00</c:formatCode>
                <c:ptCount val="12"/>
                <c:pt idx="0">
                  <c:v>0.34000000000000341</c:v>
                </c:pt>
                <c:pt idx="1">
                  <c:v>4.9999999999997158E-2</c:v>
                </c:pt>
                <c:pt idx="2">
                  <c:v>0.10999999999999943</c:v>
                </c:pt>
                <c:pt idx="3">
                  <c:v>0.21000000000000796</c:v>
                </c:pt>
                <c:pt idx="4">
                  <c:v>1.7199999999999989</c:v>
                </c:pt>
                <c:pt idx="5">
                  <c:v>3.210000000000008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B-4619-A4B3-133A5EA6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89716"/>
        <c:axId val="670005463"/>
      </c:lineChart>
      <c:catAx>
        <c:axId val="1954089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5006126602236"/>
              <c:y val="0.878980939348393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70005463"/>
        <c:crosses val="autoZero"/>
        <c:auto val="1"/>
        <c:lblAlgn val="ctr"/>
        <c:lblOffset val="100"/>
        <c:noMultiLvlLbl val="1"/>
      </c:catAx>
      <c:valAx>
        <c:axId val="670005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0278662731434617E-2"/>
              <c:y val="0.2770702380151198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54089716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8 - Nek Packing
</a:t>
            </a:r>
          </a:p>
        </c:rich>
      </c:tx>
      <c:layout>
        <c:manualLayout>
          <c:xMode val="edge"/>
          <c:yMode val="edge"/>
          <c:x val="0.33225288449682044"/>
          <c:y val="3.7162225582729309E-2"/>
        </c:manualLayout>
      </c:layout>
      <c:overlay val="0"/>
    </c:title>
    <c:autoTitleDeleted val="0"/>
    <c:plotArea>
      <c:layout>
        <c:manualLayout>
          <c:xMode val="edge"/>
          <c:yMode val="edge"/>
          <c:x val="9.4003241491085895E-2"/>
          <c:y val="0.2195945945945946"/>
          <c:w val="0.88330632090761751"/>
          <c:h val="0.54729729729729726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I'!$B$177:$M$177</c:f>
              <c:numCache>
                <c:formatCode>0.00</c:formatCode>
                <c:ptCount val="12"/>
                <c:pt idx="0">
                  <c:v>3.589999999999975</c:v>
                </c:pt>
                <c:pt idx="1">
                  <c:v>3.5800000000000409</c:v>
                </c:pt>
                <c:pt idx="2">
                  <c:v>4.7699999999999818</c:v>
                </c:pt>
                <c:pt idx="3">
                  <c:v>3.9800000000000182</c:v>
                </c:pt>
                <c:pt idx="4">
                  <c:v>4.8499999999999659</c:v>
                </c:pt>
                <c:pt idx="5">
                  <c:v>4.0099999999999909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D-4796-BE73-FBE7546C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87257"/>
        <c:axId val="860226631"/>
      </c:lineChart>
      <c:catAx>
        <c:axId val="593887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0891409043668201"/>
              <c:y val="0.87162156054996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60226631"/>
        <c:crosses val="autoZero"/>
        <c:auto val="1"/>
        <c:lblAlgn val="ctr"/>
        <c:lblOffset val="100"/>
        <c:noMultiLvlLbl val="1"/>
      </c:catAx>
      <c:valAx>
        <c:axId val="860226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5931899452165792E-2"/>
              <c:y val="0.253378526359701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59388725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09 </a:t>
            </a:r>
          </a:p>
        </c:rich>
      </c:tx>
      <c:layout>
        <c:manualLayout>
          <c:xMode val="edge"/>
          <c:yMode val="edge"/>
          <c:x val="0.42113876632294028"/>
          <c:y val="3.7037152534151054E-2"/>
        </c:manualLayout>
      </c:layout>
      <c:overlay val="0"/>
    </c:title>
    <c:autoTitleDeleted val="0"/>
    <c:plotArea>
      <c:layout>
        <c:manualLayout>
          <c:xMode val="edge"/>
          <c:yMode val="edge"/>
          <c:x val="0.11647852761688726"/>
          <c:y val="0.17138604268573801"/>
          <c:w val="0.87154609938087424"/>
          <c:h val="0.59225991621763951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I'!$B$180:$M$180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E-45B0-87EB-93D2F458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56412"/>
        <c:axId val="1582994248"/>
      </c:lineChart>
      <c:catAx>
        <c:axId val="483256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44802255755184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582994248"/>
        <c:crosses val="autoZero"/>
        <c:auto val="1"/>
        <c:lblAlgn val="ctr"/>
        <c:lblOffset val="100"/>
        <c:noMultiLvlLbl val="1"/>
      </c:catAx>
      <c:valAx>
        <c:axId val="158299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1626809032772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8325641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6 - Piso Intermediário - Restaurante</a:t>
            </a:r>
          </a:p>
        </c:rich>
      </c:tx>
      <c:layout>
        <c:manualLayout>
          <c:xMode val="edge"/>
          <c:yMode val="edge"/>
          <c:x val="0.22599153022724683"/>
          <c:y val="6.1519877500438865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I'!$B$169:$M$169</c:f>
              <c:numCache>
                <c:formatCode>0.00</c:formatCode>
                <c:ptCount val="12"/>
                <c:pt idx="0">
                  <c:v>5.0000000000181899E-2</c:v>
                </c:pt>
                <c:pt idx="1">
                  <c:v>1.0000000000218279E-2</c:v>
                </c:pt>
                <c:pt idx="2">
                  <c:v>0.13000000000010914</c:v>
                </c:pt>
                <c:pt idx="3">
                  <c:v>1.0000000000218279E-2</c:v>
                </c:pt>
                <c:pt idx="4">
                  <c:v>8.9999999999236024E-2</c:v>
                </c:pt>
                <c:pt idx="5">
                  <c:v>2.0000000000436557E-2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E-4E36-98A2-A06148C1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3215"/>
        <c:axId val="224288550"/>
      </c:lineChart>
      <c:catAx>
        <c:axId val="1057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4990962955975"/>
              <c:y val="0.878980727409073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24288550"/>
        <c:crosses val="autoZero"/>
        <c:auto val="1"/>
        <c:lblAlgn val="ctr"/>
        <c:lblOffset val="100"/>
        <c:noMultiLvlLbl val="1"/>
      </c:catAx>
      <c:valAx>
        <c:axId val="224288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0278655287849497E-2"/>
              <c:y val="0.277070266216722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057321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Chácara Manacás</a:t>
            </a:r>
          </a:p>
        </c:rich>
      </c:tx>
      <c:layout>
        <c:manualLayout>
          <c:xMode val="edge"/>
          <c:yMode val="edge"/>
          <c:x val="0.44191110242067838"/>
          <c:y val="5.7823226087789788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56A-46B9-85F4-FCE2B9004EE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56A-46B9-85F4-FCE2B9004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I'!$B$195:$M$195</c:f>
              <c:numCache>
                <c:formatCode>0.00</c:formatCode>
                <c:ptCount val="12"/>
                <c:pt idx="0">
                  <c:v>43.460000000000036</c:v>
                </c:pt>
                <c:pt idx="1">
                  <c:v>47.3799999999992</c:v>
                </c:pt>
                <c:pt idx="2">
                  <c:v>18.240000000000691</c:v>
                </c:pt>
                <c:pt idx="3">
                  <c:v>9.0799999999999272</c:v>
                </c:pt>
                <c:pt idx="4">
                  <c:v>13.949999999999818</c:v>
                </c:pt>
                <c:pt idx="5">
                  <c:v>4.4600000000000364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A-46B9-85F4-FCE2B900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32539"/>
        <c:axId val="489087959"/>
      </c:lineChart>
      <c:catAx>
        <c:axId val="538732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5006126602236"/>
              <c:y val="0.878980939348393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89087959"/>
        <c:crosses val="autoZero"/>
        <c:auto val="1"/>
        <c:lblAlgn val="ctr"/>
        <c:lblOffset val="100"/>
        <c:noMultiLvlLbl val="1"/>
      </c:catAx>
      <c:valAx>
        <c:axId val="489087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0278662731434617E-2"/>
              <c:y val="0.2770702380151198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53873253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4260869565217391"/>
          <c:y val="0.12292378744644714"/>
          <c:w val="0.84869565217391307"/>
          <c:h val="0.66777516964151018"/>
        </c:manualLayout>
      </c:layout>
      <c:lineChart>
        <c:grouping val="standard"/>
        <c:varyColors val="0"/>
        <c:ser>
          <c:idx val="0"/>
          <c:order val="0"/>
          <c:tx>
            <c:v>Galpão 1 - Abaixo de Zero</c:v>
          </c:tx>
          <c:spPr>
            <a:ln w="9525" cmpd="sng">
              <a:solidFill>
                <a:srgbClr val="4F81B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EA4-463F-A2C7-5EFEB0ED9D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I'!$B$153:$M$153</c:f>
              <c:numCache>
                <c:formatCode>0.00</c:formatCode>
                <c:ptCount val="12"/>
                <c:pt idx="0">
                  <c:v>105.80000000000291</c:v>
                </c:pt>
                <c:pt idx="1">
                  <c:v>67.5</c:v>
                </c:pt>
                <c:pt idx="2">
                  <c:v>74.799999999999272</c:v>
                </c:pt>
                <c:pt idx="3">
                  <c:v>53.799999999999272</c:v>
                </c:pt>
                <c:pt idx="4">
                  <c:v>75</c:v>
                </c:pt>
                <c:pt idx="5">
                  <c:v>68.599999999998545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4-463F-A2C7-5EFEB0ED9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95200"/>
        <c:axId val="419429441"/>
      </c:lineChart>
      <c:catAx>
        <c:axId val="4599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130426949361441"/>
              <c:y val="0.893689122193059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19429441"/>
        <c:crosses val="autoZero"/>
        <c:auto val="1"/>
        <c:lblAlgn val="ctr"/>
        <c:lblOffset val="100"/>
        <c:noMultiLvlLbl val="1"/>
      </c:catAx>
      <c:valAx>
        <c:axId val="419429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0.04"/>
              <c:y val="0.2624589573362153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5999520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2 - Masp</a:t>
            </a:r>
          </a:p>
        </c:rich>
      </c:tx>
      <c:layout>
        <c:manualLayout>
          <c:xMode val="edge"/>
          <c:yMode val="edge"/>
          <c:x val="0.38762187745399751"/>
          <c:y val="3.6423948635085114E-2"/>
        </c:manualLayout>
      </c:layout>
      <c:overlay val="0"/>
    </c:title>
    <c:autoTitleDeleted val="0"/>
    <c:plotArea>
      <c:layout>
        <c:manualLayout>
          <c:xMode val="edge"/>
          <c:yMode val="edge"/>
          <c:x val="0.11523436282793419"/>
          <c:y val="0.22078593445764053"/>
          <c:w val="0.85993485342019549"/>
          <c:h val="0.52649006622516559"/>
        </c:manualLayout>
      </c:layout>
      <c:lineChart>
        <c:grouping val="standard"/>
        <c:varyColors val="0"/>
        <c:ser>
          <c:idx val="0"/>
          <c:order val="0"/>
          <c:tx>
            <c:v>Galpão 2 - Masp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I'!$B$155:$M$155</c:f>
              <c:numCache>
                <c:formatCode>0.00</c:formatCode>
                <c:ptCount val="12"/>
                <c:pt idx="0">
                  <c:v>37.910000000001673</c:v>
                </c:pt>
                <c:pt idx="1">
                  <c:v>37.039999999999054</c:v>
                </c:pt>
                <c:pt idx="2">
                  <c:v>44.819999999999709</c:v>
                </c:pt>
                <c:pt idx="3">
                  <c:v>43.069999999999709</c:v>
                </c:pt>
                <c:pt idx="4">
                  <c:v>43.710000000000946</c:v>
                </c:pt>
                <c:pt idx="5">
                  <c:v>47.869999999998981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D-4C47-BFF1-9FDAB9C9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372587"/>
        <c:axId val="163235944"/>
      </c:lineChart>
      <c:catAx>
        <c:axId val="1633372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48859944393743232"/>
              <c:y val="0.857615908760590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3235944"/>
        <c:crosses val="autoZero"/>
        <c:auto val="1"/>
        <c:lblAlgn val="ctr"/>
        <c:lblOffset val="100"/>
        <c:noMultiLvlLbl val="1"/>
      </c:catAx>
      <c:valAx>
        <c:axId val="163235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58535135938199E-2"/>
              <c:y val="0.205297904537177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3337258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3 
</a:t>
            </a:r>
          </a:p>
        </c:rich>
      </c:tx>
      <c:layout>
        <c:manualLayout>
          <c:xMode val="edge"/>
          <c:yMode val="edge"/>
          <c:x val="0.41915945086303463"/>
          <c:y val="2.3051160138529012E-2"/>
        </c:manualLayout>
      </c:layout>
      <c:overlay val="0"/>
    </c:title>
    <c:autoTitleDeleted val="0"/>
    <c:plotArea>
      <c:layout>
        <c:manualLayout>
          <c:xMode val="edge"/>
          <c:yMode val="edge"/>
          <c:x val="0.11284741354609773"/>
          <c:y val="0.21498405528561318"/>
          <c:w val="0.86284868511400881"/>
          <c:h val="0.56026147741099186"/>
        </c:manualLayout>
      </c:layout>
      <c:lineChart>
        <c:grouping val="standard"/>
        <c:varyColors val="0"/>
        <c:ser>
          <c:idx val="0"/>
          <c:order val="0"/>
          <c:tx>
            <c:v>Galpão 3 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I'!$B$157:$M$157</c:f>
              <c:numCache>
                <c:formatCode>0.00</c:formatCode>
                <c:ptCount val="12"/>
                <c:pt idx="0">
                  <c:v>0</c:v>
                </c:pt>
                <c:pt idx="1">
                  <c:v>1.0000000000218279E-2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A-4EAE-A6BA-274D6E46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388811"/>
        <c:axId val="872672721"/>
      </c:lineChart>
      <c:catAx>
        <c:axId val="964388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62587386857017"/>
              <c:y val="0.876222820390262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72672721"/>
        <c:crosses val="autoZero"/>
        <c:auto val="1"/>
        <c:lblAlgn val="ctr"/>
        <c:lblOffset val="100"/>
        <c:noMultiLvlLbl val="1"/>
      </c:catAx>
      <c:valAx>
        <c:axId val="872672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7777859543258027E-2"/>
              <c:y val="0.263844096165295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6438881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4 - Metal Printing </a:t>
            </a:r>
          </a:p>
        </c:rich>
      </c:tx>
      <c:layout>
        <c:manualLayout>
          <c:xMode val="edge"/>
          <c:yMode val="edge"/>
          <c:x val="0.36319219531520824"/>
          <c:y val="3.5947573860959682E-2"/>
        </c:manualLayout>
      </c:layout>
      <c:overlay val="0"/>
    </c:title>
    <c:autoTitleDeleted val="0"/>
    <c:plotArea>
      <c:layout>
        <c:manualLayout>
          <c:xMode val="edge"/>
          <c:yMode val="edge"/>
          <c:x val="0.11621541086524372"/>
          <c:y val="0.22694339133534233"/>
          <c:w val="0.87421517881408894"/>
          <c:h val="0.51960950140899909"/>
        </c:manualLayout>
      </c:layout>
      <c:lineChart>
        <c:grouping val="standard"/>
        <c:varyColors val="0"/>
        <c:ser>
          <c:idx val="0"/>
          <c:order val="0"/>
          <c:tx>
            <c:v>Galpão 4 - Metal Printing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I'!$B$159:$M$159</c:f>
              <c:numCache>
                <c:formatCode>0.00</c:formatCode>
                <c:ptCount val="12"/>
                <c:pt idx="0">
                  <c:v>42.360000000000582</c:v>
                </c:pt>
                <c:pt idx="1">
                  <c:v>47.159999999999854</c:v>
                </c:pt>
                <c:pt idx="2">
                  <c:v>41.610000000000582</c:v>
                </c:pt>
                <c:pt idx="3">
                  <c:v>57.600000000000364</c:v>
                </c:pt>
                <c:pt idx="4">
                  <c:v>54.949999999998909</c:v>
                </c:pt>
                <c:pt idx="5">
                  <c:v>42.989999999999782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5-4AD6-9924-C839A532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7225"/>
        <c:axId val="1810687354"/>
      </c:lineChart>
      <c:catAx>
        <c:axId val="370647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465797907337052"/>
              <c:y val="0.875819705229154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10687354"/>
        <c:crosses val="autoZero"/>
        <c:auto val="1"/>
        <c:lblAlgn val="ctr"/>
        <c:lblOffset val="100"/>
        <c:noMultiLvlLbl val="1"/>
      </c:catAx>
      <c:valAx>
        <c:axId val="181068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58535135938199E-2"/>
              <c:y val="0.2745107342351437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7064722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7 - Piso Superior </a:t>
            </a:r>
          </a:p>
        </c:rich>
      </c:tx>
      <c:layout>
        <c:manualLayout>
          <c:xMode val="edge"/>
          <c:yMode val="edge"/>
          <c:x val="0.33225288449682044"/>
          <c:y val="3.7162225582729309E-2"/>
        </c:manualLayout>
      </c:layout>
      <c:overlay val="0"/>
    </c:title>
    <c:autoTitleDeleted val="0"/>
    <c:plotArea>
      <c:layout>
        <c:manualLayout>
          <c:xMode val="edge"/>
          <c:yMode val="edge"/>
          <c:x val="9.4003241491085895E-2"/>
          <c:y val="0.2195945945945946"/>
          <c:w val="0.88330632090761751"/>
          <c:h val="0.54729729729729726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I'!$B$175:$M$175</c:f>
              <c:numCache>
                <c:formatCode>0.00</c:formatCode>
                <c:ptCount val="12"/>
                <c:pt idx="0">
                  <c:v>0</c:v>
                </c:pt>
                <c:pt idx="1">
                  <c:v>0.42000000000000171</c:v>
                </c:pt>
                <c:pt idx="2">
                  <c:v>0.13999999999999346</c:v>
                </c:pt>
                <c:pt idx="3">
                  <c:v>0</c:v>
                </c:pt>
                <c:pt idx="4">
                  <c:v>0.10000000000000142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2-40E8-8D0D-C23A4B3C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24384"/>
        <c:axId val="634927397"/>
      </c:lineChart>
      <c:catAx>
        <c:axId val="15733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0891409043668201"/>
              <c:y val="0.87162156054996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34927397"/>
        <c:crosses val="autoZero"/>
        <c:auto val="1"/>
        <c:lblAlgn val="ctr"/>
        <c:lblOffset val="100"/>
        <c:noMultiLvlLbl val="1"/>
      </c:catAx>
      <c:valAx>
        <c:axId val="634927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5931899452165792E-2"/>
              <c:y val="0.253378526359701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57332438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2 - Masp</a:t>
            </a:r>
          </a:p>
        </c:rich>
      </c:tx>
      <c:layout>
        <c:manualLayout>
          <c:xMode val="edge"/>
          <c:yMode val="edge"/>
          <c:x val="0.38762187745399751"/>
          <c:y val="3.6423948635085114E-2"/>
        </c:manualLayout>
      </c:layout>
      <c:overlay val="0"/>
    </c:title>
    <c:autoTitleDeleted val="0"/>
    <c:plotArea>
      <c:layout>
        <c:manualLayout>
          <c:xMode val="edge"/>
          <c:yMode val="edge"/>
          <c:x val="0.11523436282793419"/>
          <c:y val="0.22078593445764053"/>
          <c:w val="0.85993485342019549"/>
          <c:h val="0.52649006622516559"/>
        </c:manualLayout>
      </c:layout>
      <c:lineChart>
        <c:grouping val="standard"/>
        <c:varyColors val="0"/>
        <c:ser>
          <c:idx val="0"/>
          <c:order val="0"/>
          <c:tx>
            <c:v>Galpão 2 - Masp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I'!$B$155:$M$155</c:f>
              <c:numCache>
                <c:formatCode>0.00</c:formatCode>
                <c:ptCount val="12"/>
                <c:pt idx="0">
                  <c:v>37.910000000001673</c:v>
                </c:pt>
                <c:pt idx="1">
                  <c:v>37.039999999999054</c:v>
                </c:pt>
                <c:pt idx="2">
                  <c:v>44.819999999999709</c:v>
                </c:pt>
                <c:pt idx="3">
                  <c:v>43.069999999999709</c:v>
                </c:pt>
                <c:pt idx="4">
                  <c:v>43.710000000000946</c:v>
                </c:pt>
                <c:pt idx="5">
                  <c:v>47.869999999998981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1AF-B82D-3AE0F3C4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93652"/>
        <c:axId val="547640761"/>
      </c:lineChart>
      <c:catAx>
        <c:axId val="811193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48859944393743232"/>
              <c:y val="0.857615908760590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547640761"/>
        <c:crosses val="autoZero"/>
        <c:auto val="1"/>
        <c:lblAlgn val="ctr"/>
        <c:lblOffset val="100"/>
        <c:noMultiLvlLbl val="1"/>
      </c:catAx>
      <c:valAx>
        <c:axId val="547640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58535135938199E-2"/>
              <c:y val="0.205297904537177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1119365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10 - Metal Printing</a:t>
            </a:r>
          </a:p>
        </c:rich>
      </c:tx>
      <c:layout>
        <c:manualLayout>
          <c:xMode val="edge"/>
          <c:yMode val="edge"/>
          <c:x val="0.40811196504628539"/>
          <c:y val="3.5031721034870643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I'!$B$182:$M$182</c:f>
              <c:numCache>
                <c:formatCode>0.00</c:formatCode>
                <c:ptCount val="12"/>
                <c:pt idx="0">
                  <c:v>24.650000000000091</c:v>
                </c:pt>
                <c:pt idx="1">
                  <c:v>26.740000000000009</c:v>
                </c:pt>
                <c:pt idx="2">
                  <c:v>17.2199999999998</c:v>
                </c:pt>
                <c:pt idx="3">
                  <c:v>20.900000000000091</c:v>
                </c:pt>
                <c:pt idx="4">
                  <c:v>20.150000000000091</c:v>
                </c:pt>
                <c:pt idx="5">
                  <c:v>25.299999999999955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D-4A72-A2D1-0BFF524B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1093"/>
        <c:axId val="588206000"/>
      </c:lineChart>
      <c:catAx>
        <c:axId val="1945811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4990962955975"/>
              <c:y val="0.878980727409073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588206000"/>
        <c:crosses val="autoZero"/>
        <c:auto val="1"/>
        <c:lblAlgn val="ctr"/>
        <c:lblOffset val="100"/>
        <c:noMultiLvlLbl val="1"/>
      </c:catAx>
      <c:valAx>
        <c:axId val="588206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0278655287849497E-2"/>
              <c:y val="0.277070266216722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45811093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6 - Piso Térreo</a:t>
            </a:r>
          </a:p>
        </c:rich>
      </c:tx>
      <c:layout>
        <c:manualLayout>
          <c:xMode val="edge"/>
          <c:yMode val="edge"/>
          <c:x val="0.36270924842509106"/>
          <c:y val="6.4423046167304057E-2"/>
        </c:manualLayout>
      </c:layout>
      <c:overlay val="0"/>
    </c:title>
    <c:autoTitleDeleted val="0"/>
    <c:plotArea>
      <c:layout>
        <c:manualLayout>
          <c:xMode val="edge"/>
          <c:yMode val="edge"/>
          <c:x val="0.11324051444811838"/>
          <c:y val="0.22222295291111938"/>
          <c:w val="0.86237007156643986"/>
          <c:h val="0.54545633896365664"/>
        </c:manualLayout>
      </c:layout>
      <c:lineChart>
        <c:grouping val="standard"/>
        <c:varyColors val="0"/>
        <c:ser>
          <c:idx val="0"/>
          <c:order val="0"/>
          <c:tx>
            <c:v>Lava-Car 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I'!$B$167:$M$167</c:f>
              <c:numCache>
                <c:formatCode>0.00</c:formatCode>
                <c:ptCount val="12"/>
                <c:pt idx="0">
                  <c:v>9.9999999999909051E-3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D-4329-90F5-CF11E34F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335897"/>
        <c:axId val="424472758"/>
      </c:lineChart>
      <c:catAx>
        <c:axId val="1648335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67979002624675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24472758"/>
        <c:crosses val="autoZero"/>
        <c:auto val="1"/>
        <c:lblAlgn val="ctr"/>
        <c:lblOffset val="100"/>
        <c:noMultiLvlLbl val="1"/>
      </c:catAx>
      <c:valAx>
        <c:axId val="424472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7875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4833589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08 - Piso Superior</a:t>
            </a:r>
          </a:p>
        </c:rich>
      </c:tx>
      <c:layout>
        <c:manualLayout>
          <c:xMode val="edge"/>
          <c:yMode val="edge"/>
          <c:x val="0.42113876632294028"/>
          <c:y val="3.7037152534151054E-2"/>
        </c:manualLayout>
      </c:layout>
      <c:overlay val="0"/>
    </c:title>
    <c:autoTitleDeleted val="0"/>
    <c:plotArea>
      <c:layout>
        <c:manualLayout>
          <c:xMode val="edge"/>
          <c:yMode val="edge"/>
          <c:x val="0.11647852761688726"/>
          <c:y val="0.17138604268573801"/>
          <c:w val="0.87154609938087424"/>
          <c:h val="0.59225991621763951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I'!$B$179:$M$179</c:f>
              <c:numCache>
                <c:formatCode>0.00</c:formatCode>
                <c:ptCount val="12"/>
                <c:pt idx="0">
                  <c:v>1.3000000000000682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D-459B-9939-77601AF3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184812"/>
        <c:axId val="207936981"/>
      </c:lineChart>
      <c:catAx>
        <c:axId val="1982184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44802255755184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07936981"/>
        <c:crosses val="autoZero"/>
        <c:auto val="1"/>
        <c:lblAlgn val="ctr"/>
        <c:lblOffset val="100"/>
        <c:noMultiLvlLbl val="1"/>
      </c:catAx>
      <c:valAx>
        <c:axId val="207936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1626809032772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8218481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7 - Piso Inferior</a:t>
            </a:r>
          </a:p>
        </c:rich>
      </c:tx>
      <c:layout>
        <c:manualLayout>
          <c:xMode val="edge"/>
          <c:yMode val="edge"/>
          <c:x val="0.42824737269287122"/>
          <c:y val="3.5031772344246447E-2"/>
        </c:manualLayout>
      </c:layout>
      <c:overlay val="0"/>
    </c:title>
    <c:autoTitleDeleted val="0"/>
    <c:plotArea>
      <c:layout>
        <c:manualLayout>
          <c:xMode val="edge"/>
          <c:yMode val="edge"/>
          <c:x val="0.1049612934805475"/>
          <c:y val="0.16892344247213995"/>
          <c:w val="0.86401779719406813"/>
          <c:h val="0.6058531354377642"/>
        </c:manualLayout>
      </c:layout>
      <c:lineChart>
        <c:grouping val="standard"/>
        <c:varyColors val="0"/>
        <c:ser>
          <c:idx val="0"/>
          <c:order val="0"/>
          <c:tx>
            <c:v>3,86 0,01 4,16 0,00 0,00 0,00 0,00 0,00 1,31 1,21 1,35 0,01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I'!$B$173:$M$173</c:f>
              <c:numCache>
                <c:formatCode>0.00</c:formatCode>
                <c:ptCount val="12"/>
                <c:pt idx="0">
                  <c:v>0</c:v>
                </c:pt>
                <c:pt idx="1">
                  <c:v>2.1500000000000909</c:v>
                </c:pt>
                <c:pt idx="2">
                  <c:v>1.999999999998181E-2</c:v>
                </c:pt>
                <c:pt idx="3">
                  <c:v>2.2199999999997999</c:v>
                </c:pt>
                <c:pt idx="4">
                  <c:v>0.65000000000009095</c:v>
                </c:pt>
                <c:pt idx="5">
                  <c:v>1.1900000000000546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2-4E0C-AEAC-AC4573B3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641742"/>
        <c:axId val="1231050258"/>
      </c:lineChart>
      <c:catAx>
        <c:axId val="1762641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916404023794216"/>
              <c:y val="0.878980867523138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31050258"/>
        <c:crosses val="autoZero"/>
        <c:auto val="1"/>
        <c:lblAlgn val="ctr"/>
        <c:lblOffset val="100"/>
        <c:noMultiLvlLbl val="1"/>
      </c:catAx>
      <c:valAx>
        <c:axId val="1231050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2960949238817443E-2"/>
              <c:y val="0.2001751754049324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6264174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11 - Metal Printing (Reserva Incêndio) </a:t>
            </a:r>
          </a:p>
        </c:rich>
      </c:tx>
      <c:layout>
        <c:manualLayout>
          <c:xMode val="edge"/>
          <c:yMode val="edge"/>
          <c:x val="0.27844977429242185"/>
          <c:y val="5.7823242180197562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14A-4E86-8D33-98B4C82EAAE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14A-4E86-8D33-98B4C82EA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I'!$B$183:$M$183</c:f>
              <c:numCache>
                <c:formatCode>0.00</c:formatCode>
                <c:ptCount val="12"/>
                <c:pt idx="0">
                  <c:v>0.34000000000000341</c:v>
                </c:pt>
                <c:pt idx="1">
                  <c:v>4.9999999999997158E-2</c:v>
                </c:pt>
                <c:pt idx="2">
                  <c:v>0.10999999999999943</c:v>
                </c:pt>
                <c:pt idx="3">
                  <c:v>0.21000000000000796</c:v>
                </c:pt>
                <c:pt idx="4">
                  <c:v>1.7199999999999989</c:v>
                </c:pt>
                <c:pt idx="5">
                  <c:v>3.210000000000008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A-4E86-8D33-98B4C82E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53004"/>
        <c:axId val="281530548"/>
      </c:lineChart>
      <c:catAx>
        <c:axId val="1877153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5006126602236"/>
              <c:y val="0.878980939348393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81530548"/>
        <c:crosses val="autoZero"/>
        <c:auto val="1"/>
        <c:lblAlgn val="ctr"/>
        <c:lblOffset val="100"/>
        <c:noMultiLvlLbl val="1"/>
      </c:catAx>
      <c:valAx>
        <c:axId val="281530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0278662731434617E-2"/>
              <c:y val="0.2770702380151198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7715300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8 - Nek Packing
</a:t>
            </a:r>
          </a:p>
        </c:rich>
      </c:tx>
      <c:layout>
        <c:manualLayout>
          <c:xMode val="edge"/>
          <c:yMode val="edge"/>
          <c:x val="0.33225288449682044"/>
          <c:y val="3.7162225582729309E-2"/>
        </c:manualLayout>
      </c:layout>
      <c:overlay val="0"/>
    </c:title>
    <c:autoTitleDeleted val="0"/>
    <c:plotArea>
      <c:layout>
        <c:manualLayout>
          <c:xMode val="edge"/>
          <c:yMode val="edge"/>
          <c:x val="9.4003241491085895E-2"/>
          <c:y val="0.2195945945945946"/>
          <c:w val="0.88330632090761751"/>
          <c:h val="0.54729729729729726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I'!$B$177:$M$177</c:f>
              <c:numCache>
                <c:formatCode>0.00</c:formatCode>
                <c:ptCount val="12"/>
                <c:pt idx="0">
                  <c:v>3.589999999999975</c:v>
                </c:pt>
                <c:pt idx="1">
                  <c:v>3.5800000000000409</c:v>
                </c:pt>
                <c:pt idx="2">
                  <c:v>4.7699999999999818</c:v>
                </c:pt>
                <c:pt idx="3">
                  <c:v>3.9800000000000182</c:v>
                </c:pt>
                <c:pt idx="4">
                  <c:v>4.8499999999999659</c:v>
                </c:pt>
                <c:pt idx="5">
                  <c:v>4.0099999999999909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D-491E-95F1-AB2B65D7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569740"/>
        <c:axId val="293378276"/>
      </c:lineChart>
      <c:catAx>
        <c:axId val="1802569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0891409043668201"/>
              <c:y val="0.87162156054996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93378276"/>
        <c:crosses val="autoZero"/>
        <c:auto val="1"/>
        <c:lblAlgn val="ctr"/>
        <c:lblOffset val="100"/>
        <c:noMultiLvlLbl val="1"/>
      </c:catAx>
      <c:valAx>
        <c:axId val="293378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5931899452165792E-2"/>
              <c:y val="0.253378526359701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0256974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09 </a:t>
            </a:r>
          </a:p>
        </c:rich>
      </c:tx>
      <c:layout>
        <c:manualLayout>
          <c:xMode val="edge"/>
          <c:yMode val="edge"/>
          <c:x val="0.42113876632294028"/>
          <c:y val="3.7037152534151054E-2"/>
        </c:manualLayout>
      </c:layout>
      <c:overlay val="0"/>
    </c:title>
    <c:autoTitleDeleted val="0"/>
    <c:plotArea>
      <c:layout>
        <c:manualLayout>
          <c:xMode val="edge"/>
          <c:yMode val="edge"/>
          <c:x val="0.11647852761688726"/>
          <c:y val="0.17138604268573801"/>
          <c:w val="0.87154609938087424"/>
          <c:h val="0.59225991621763951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I'!$B$180:$M$180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2-4DB1-A135-1E8E47F7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63373"/>
        <c:axId val="721276358"/>
      </c:lineChart>
      <c:catAx>
        <c:axId val="166946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44802255755184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21276358"/>
        <c:crosses val="autoZero"/>
        <c:auto val="1"/>
        <c:lblAlgn val="ctr"/>
        <c:lblOffset val="100"/>
        <c:noMultiLvlLbl val="1"/>
      </c:catAx>
      <c:valAx>
        <c:axId val="721276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1626809032772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69463373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6 - Piso Intermediário - Restaurante</a:t>
            </a:r>
          </a:p>
        </c:rich>
      </c:tx>
      <c:layout>
        <c:manualLayout>
          <c:xMode val="edge"/>
          <c:yMode val="edge"/>
          <c:x val="0.22599153022724683"/>
          <c:y val="6.1519877500438865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I'!$B$169:$M$169</c:f>
              <c:numCache>
                <c:formatCode>0.00</c:formatCode>
                <c:ptCount val="12"/>
                <c:pt idx="0">
                  <c:v>5.0000000000181899E-2</c:v>
                </c:pt>
                <c:pt idx="1">
                  <c:v>1.0000000000218279E-2</c:v>
                </c:pt>
                <c:pt idx="2">
                  <c:v>0.13000000000010914</c:v>
                </c:pt>
                <c:pt idx="3">
                  <c:v>1.0000000000218279E-2</c:v>
                </c:pt>
                <c:pt idx="4">
                  <c:v>8.9999999999236024E-2</c:v>
                </c:pt>
                <c:pt idx="5">
                  <c:v>2.0000000000436557E-2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B-430E-BFFA-89AF5F27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597028"/>
        <c:axId val="773521805"/>
      </c:lineChart>
      <c:catAx>
        <c:axId val="1038597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4990962955975"/>
              <c:y val="0.878980727409073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73521805"/>
        <c:crosses val="autoZero"/>
        <c:auto val="1"/>
        <c:lblAlgn val="ctr"/>
        <c:lblOffset val="100"/>
        <c:noMultiLvlLbl val="1"/>
      </c:catAx>
      <c:valAx>
        <c:axId val="773521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0278655287849497E-2"/>
              <c:y val="0.277070266216722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03859702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Chácara Manacás</a:t>
            </a:r>
          </a:p>
        </c:rich>
      </c:tx>
      <c:layout>
        <c:manualLayout>
          <c:xMode val="edge"/>
          <c:yMode val="edge"/>
          <c:x val="0.44191110242067838"/>
          <c:y val="5.7823226087789788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A3B-4AEA-AF92-6CF0F1B3D63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A3B-4AEA-AF92-6CF0F1B3D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I'!$B$195:$M$195</c:f>
              <c:numCache>
                <c:formatCode>0.00</c:formatCode>
                <c:ptCount val="12"/>
                <c:pt idx="0">
                  <c:v>43.460000000000036</c:v>
                </c:pt>
                <c:pt idx="1">
                  <c:v>47.3799999999992</c:v>
                </c:pt>
                <c:pt idx="2">
                  <c:v>18.240000000000691</c:v>
                </c:pt>
                <c:pt idx="3">
                  <c:v>9.0799999999999272</c:v>
                </c:pt>
                <c:pt idx="4">
                  <c:v>13.949999999999818</c:v>
                </c:pt>
                <c:pt idx="5">
                  <c:v>4.4600000000000364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B-4AEA-AF92-6CF0F1B3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47224"/>
        <c:axId val="249880401"/>
      </c:lineChart>
      <c:catAx>
        <c:axId val="133514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5006126602236"/>
              <c:y val="0.878980939348393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49880401"/>
        <c:crosses val="autoZero"/>
        <c:auto val="1"/>
        <c:lblAlgn val="ctr"/>
        <c:lblOffset val="100"/>
        <c:noMultiLvlLbl val="1"/>
      </c:catAx>
      <c:valAx>
        <c:axId val="249880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0278662731434617E-2"/>
              <c:y val="0.2770702380151198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33514722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  <a:latin typeface="Arial"/>
              </a:defRPr>
            </a:pPr>
            <a:r>
              <a:rPr sz="1500" b="1" i="0">
                <a:solidFill>
                  <a:srgbClr val="000000"/>
                </a:solidFill>
                <a:latin typeface="Arial"/>
              </a:rPr>
              <a:t>Poço 02</a:t>
            </a:r>
          </a:p>
        </c:rich>
      </c:tx>
      <c:layout>
        <c:manualLayout>
          <c:xMode val="edge"/>
          <c:yMode val="edge"/>
          <c:x val="0.42664873540090409"/>
          <c:y val="3.5031578083989504E-2"/>
        </c:manualLayout>
      </c:layout>
      <c:overlay val="0"/>
    </c:title>
    <c:autoTitleDeleted val="0"/>
    <c:plotArea>
      <c:layout>
        <c:manualLayout>
          <c:xMode val="edge"/>
          <c:yMode val="edge"/>
          <c:x val="7.5370121130551818E-2"/>
          <c:y val="0.23248407643312102"/>
          <c:w val="0.9057873485868102"/>
          <c:h val="0.5573248407643312"/>
        </c:manualLayout>
      </c:layout>
      <c:lineChart>
        <c:grouping val="standard"/>
        <c:varyColors val="0"/>
        <c:ser>
          <c:idx val="0"/>
          <c:order val="0"/>
          <c:tx>
            <c:v>Poço 02</c:v>
          </c:tx>
          <c:spPr>
            <a:ln w="9525" cmpd="sng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>
                  <a:alpha val="100000"/>
                </a:srgbClr>
              </a:solidFill>
              <a:ln cmpd="sng">
                <a:solidFill>
                  <a:srgbClr val="000080">
                    <a:alpha val="100000"/>
                  </a:srgbClr>
                </a:solidFill>
              </a:ln>
            </c:spPr>
          </c:marker>
          <c:cat>
            <c:strRef>
              <c:f>'GRÁFICO ENERGIA REF 2023 I '!$B$52:$M$52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ENERGIA REF 2023 I '!$B$67:$M$67</c:f>
              <c:numCache>
                <c:formatCode>0</c:formatCode>
                <c:ptCount val="12"/>
                <c:pt idx="0">
                  <c:v>583</c:v>
                </c:pt>
                <c:pt idx="1">
                  <c:v>369</c:v>
                </c:pt>
                <c:pt idx="2">
                  <c:v>1059</c:v>
                </c:pt>
                <c:pt idx="3">
                  <c:v>164</c:v>
                </c:pt>
                <c:pt idx="4">
                  <c:v>674</c:v>
                </c:pt>
                <c:pt idx="5">
                  <c:v>3321</c:v>
                </c:pt>
                <c:pt idx="6">
                  <c:v>-638763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5-49C0-BB53-9F2C254B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780971"/>
        <c:axId val="1657829674"/>
      </c:lineChart>
      <c:catAx>
        <c:axId val="1229780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0605645611117378"/>
              <c:y val="0.87579642388451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57829674"/>
        <c:crosses val="autoZero"/>
        <c:auto val="1"/>
        <c:lblAlgn val="ctr"/>
        <c:lblOffset val="100"/>
        <c:noMultiLvlLbl val="1"/>
      </c:catAx>
      <c:valAx>
        <c:axId val="1657829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Consumo KWh</a:t>
                </a:r>
              </a:p>
            </c:rich>
          </c:tx>
          <c:layout>
            <c:manualLayout>
              <c:xMode val="edge"/>
              <c:yMode val="edge"/>
              <c:x val="2.1534355141722018E-2"/>
              <c:y val="0.340764435695538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2978097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3 
</a:t>
            </a:r>
          </a:p>
        </c:rich>
      </c:tx>
      <c:layout>
        <c:manualLayout>
          <c:xMode val="edge"/>
          <c:yMode val="edge"/>
          <c:x val="0.41915945086303463"/>
          <c:y val="2.3051160138529012E-2"/>
        </c:manualLayout>
      </c:layout>
      <c:overlay val="0"/>
    </c:title>
    <c:autoTitleDeleted val="0"/>
    <c:plotArea>
      <c:layout>
        <c:manualLayout>
          <c:xMode val="edge"/>
          <c:yMode val="edge"/>
          <c:x val="0.11284741354609773"/>
          <c:y val="0.21498405528561318"/>
          <c:w val="0.86284868511400881"/>
          <c:h val="0.56026147741099186"/>
        </c:manualLayout>
      </c:layout>
      <c:lineChart>
        <c:grouping val="standard"/>
        <c:varyColors val="0"/>
        <c:ser>
          <c:idx val="0"/>
          <c:order val="0"/>
          <c:tx>
            <c:v>Galpão 3 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I'!$B$157:$M$157</c:f>
              <c:numCache>
                <c:formatCode>0.00</c:formatCode>
                <c:ptCount val="12"/>
                <c:pt idx="0">
                  <c:v>0</c:v>
                </c:pt>
                <c:pt idx="1">
                  <c:v>1.0000000000218279E-2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1-49AE-BD00-EDA4A948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2067"/>
        <c:axId val="1903658057"/>
      </c:lineChart>
      <c:catAx>
        <c:axId val="1859342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62587386857017"/>
              <c:y val="0.876222820390262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03658057"/>
        <c:crosses val="autoZero"/>
        <c:auto val="1"/>
        <c:lblAlgn val="ctr"/>
        <c:lblOffset val="100"/>
        <c:noMultiLvlLbl val="1"/>
      </c:catAx>
      <c:valAx>
        <c:axId val="1903658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7777859543258027E-2"/>
              <c:y val="0.263844096165295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5934206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9.6904441453566623E-2"/>
          <c:y val="0.23103448275862068"/>
          <c:w val="0.88425302826379537"/>
          <c:h val="0.52758620689655178"/>
        </c:manualLayout>
      </c:layout>
      <c:lineChart>
        <c:grouping val="standard"/>
        <c:varyColors val="0"/>
        <c:ser>
          <c:idx val="0"/>
          <c:order val="0"/>
          <c:tx>
            <c:v>Poço 01 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'GRÁFICO ENERGIA REF 2023 I '!$B$52:$M$52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ENERGIA REF 2023 I '!$B$66:$M$66</c:f>
              <c:numCache>
                <c:formatCode>0</c:formatCode>
                <c:ptCount val="12"/>
                <c:pt idx="0">
                  <c:v>8882</c:v>
                </c:pt>
                <c:pt idx="1">
                  <c:v>5802</c:v>
                </c:pt>
                <c:pt idx="2">
                  <c:v>5662</c:v>
                </c:pt>
                <c:pt idx="3">
                  <c:v>5243</c:v>
                </c:pt>
                <c:pt idx="4">
                  <c:v>7458</c:v>
                </c:pt>
                <c:pt idx="5">
                  <c:v>4932</c:v>
                </c:pt>
                <c:pt idx="6">
                  <c:v>-367277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B-496C-B29E-C09933BD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14020"/>
        <c:axId val="845196820"/>
      </c:lineChart>
      <c:catAx>
        <c:axId val="513814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1547776215065677"/>
              <c:y val="0.85172436496285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45196820"/>
        <c:crosses val="autoZero"/>
        <c:auto val="1"/>
        <c:lblAlgn val="ctr"/>
        <c:lblOffset val="100"/>
        <c:noMultiLvlLbl val="1"/>
      </c:catAx>
      <c:valAx>
        <c:axId val="845196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Consumo KWh</a:t>
                </a:r>
              </a:p>
            </c:rich>
          </c:tx>
          <c:layout>
            <c:manualLayout>
              <c:xMode val="edge"/>
              <c:yMode val="edge"/>
              <c:x val="2.1534355141722018E-2"/>
              <c:y val="0.3068962142444058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51381402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300" b="1" i="0">
                <a:solidFill>
                  <a:srgbClr val="000000"/>
                </a:solidFill>
                <a:latin typeface="Arial"/>
              </a:defRPr>
            </a:pPr>
            <a:r>
              <a:rPr sz="1300" b="1" i="0">
                <a:solidFill>
                  <a:srgbClr val="000000"/>
                </a:solidFill>
                <a:latin typeface="Arial"/>
              </a:rPr>
              <a:t>Galpão - Serralheria  e Lava-Car</a:t>
            </a:r>
          </a:p>
        </c:rich>
      </c:tx>
      <c:layout>
        <c:manualLayout>
          <c:xMode val="edge"/>
          <c:yMode val="edge"/>
          <c:x val="0.30936227566148822"/>
          <c:y val="3.793101619873273E-2"/>
        </c:manualLayout>
      </c:layout>
      <c:overlay val="0"/>
    </c:title>
    <c:autoTitleDeleted val="0"/>
    <c:plotArea>
      <c:layout>
        <c:manualLayout>
          <c:xMode val="edge"/>
          <c:yMode val="edge"/>
          <c:x val="9.7693351424694708E-2"/>
          <c:y val="0.23103448275862068"/>
          <c:w val="0.88331071913161463"/>
          <c:h val="0.52758620689655178"/>
        </c:manualLayout>
      </c:layout>
      <c:lineChart>
        <c:grouping val="standard"/>
        <c:varyColors val="0"/>
        <c:ser>
          <c:idx val="0"/>
          <c:order val="0"/>
          <c:tx>
            <c:v>Poço 02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'GRÁFICO ENERGIA REF 2023 I '!$B$52:$M$52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ENERGIA REF 2023 I '!$B$67:$M$67</c:f>
              <c:numCache>
                <c:formatCode>0</c:formatCode>
                <c:ptCount val="12"/>
                <c:pt idx="0">
                  <c:v>583</c:v>
                </c:pt>
                <c:pt idx="1">
                  <c:v>369</c:v>
                </c:pt>
                <c:pt idx="2">
                  <c:v>1059</c:v>
                </c:pt>
                <c:pt idx="3">
                  <c:v>164</c:v>
                </c:pt>
                <c:pt idx="4">
                  <c:v>674</c:v>
                </c:pt>
                <c:pt idx="5">
                  <c:v>3321</c:v>
                </c:pt>
                <c:pt idx="6">
                  <c:v>-638763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8-4787-BA47-A5FB7DB7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45107"/>
        <c:axId val="730877956"/>
      </c:lineChart>
      <c:catAx>
        <c:axId val="788445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1560374547776122"/>
              <c:y val="0.85172424154051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30877956"/>
        <c:crosses val="autoZero"/>
        <c:auto val="1"/>
        <c:lblAlgn val="ctr"/>
        <c:lblOffset val="100"/>
        <c:noMultiLvlLbl val="1"/>
      </c:catAx>
      <c:valAx>
        <c:axId val="73087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Consumo KWh</a:t>
                </a:r>
              </a:p>
            </c:rich>
          </c:tx>
          <c:layout>
            <c:manualLayout>
              <c:xMode val="edge"/>
              <c:yMode val="edge"/>
              <c:x val="9.0856210541249895E-3"/>
              <c:y val="0.3374776637768763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8844510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300" b="1" i="0">
                <a:solidFill>
                  <a:srgbClr val="000000"/>
                </a:solidFill>
                <a:latin typeface="Arial"/>
              </a:defRPr>
            </a:pPr>
            <a:r>
              <a:rPr sz="1300" b="1" i="0">
                <a:solidFill>
                  <a:srgbClr val="000000"/>
                </a:solidFill>
                <a:latin typeface="Arial"/>
              </a:rPr>
              <a:t>Chácara Colina - Sr. Mário</a:t>
            </a:r>
          </a:p>
        </c:rich>
      </c:tx>
      <c:layout>
        <c:manualLayout>
          <c:xMode val="edge"/>
          <c:yMode val="edge"/>
          <c:x val="0.40376869111200242"/>
          <c:y val="3.7930675332250134E-2"/>
        </c:manualLayout>
      </c:layout>
      <c:overlay val="0"/>
    </c:title>
    <c:autoTitleDeleted val="0"/>
    <c:plotArea>
      <c:layout>
        <c:manualLayout>
          <c:xMode val="edge"/>
          <c:yMode val="edge"/>
          <c:x val="9.6904441453566623E-2"/>
          <c:y val="0.23103448275862068"/>
          <c:w val="0.88425302826379537"/>
          <c:h val="0.52758620689655178"/>
        </c:manualLayout>
      </c:layout>
      <c:lineChart>
        <c:grouping val="standard"/>
        <c:varyColors val="0"/>
        <c:ser>
          <c:idx val="0"/>
          <c:order val="0"/>
          <c:tx>
            <c:v>Chácara Colina - Sub Medição (Sr° Mario)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'GRÁFICO ENERGIA REF 2023 I '!$B$52:$M$52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ENERGIA REF 2023 I '!$B$62:$M$62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5-4A72-A10D-3CA5047D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0095"/>
        <c:axId val="71318235"/>
      </c:lineChart>
      <c:catAx>
        <c:axId val="8315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1547782398513853"/>
              <c:y val="0.85172478440194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1318235"/>
        <c:crosses val="autoZero"/>
        <c:auto val="1"/>
        <c:lblAlgn val="ctr"/>
        <c:lblOffset val="100"/>
        <c:noMultiLvlLbl val="1"/>
      </c:catAx>
      <c:valAx>
        <c:axId val="7131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Consumo KWh</a:t>
                </a:r>
              </a:p>
            </c:rich>
          </c:tx>
          <c:layout>
            <c:manualLayout>
              <c:xMode val="edge"/>
              <c:yMode val="edge"/>
              <c:x val="2.1534131289889031E-2"/>
              <c:y val="0.3068962213056701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315009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300" b="1" i="0">
                <a:solidFill>
                  <a:srgbClr val="000000"/>
                </a:solidFill>
                <a:latin typeface="Arial"/>
              </a:defRPr>
            </a:pPr>
            <a:r>
              <a:rPr sz="1300" b="1" i="0">
                <a:solidFill>
                  <a:srgbClr val="000000"/>
                </a:solidFill>
                <a:latin typeface="Arial"/>
              </a:rPr>
              <a:t>Poço 03 - Ch Manacás</a:t>
            </a:r>
          </a:p>
        </c:rich>
      </c:tx>
      <c:layout>
        <c:manualLayout>
          <c:xMode val="edge"/>
          <c:yMode val="edge"/>
          <c:x val="0.40376864396375234"/>
          <c:y val="3.7930600880213168E-2"/>
        </c:manualLayout>
      </c:layout>
      <c:overlay val="0"/>
    </c:title>
    <c:autoTitleDeleted val="0"/>
    <c:plotArea>
      <c:layout>
        <c:manualLayout>
          <c:xMode val="edge"/>
          <c:yMode val="edge"/>
          <c:x val="9.6904441453566623E-2"/>
          <c:y val="0.23103448275862068"/>
          <c:w val="0.88425302826379537"/>
          <c:h val="0.52758620689655178"/>
        </c:manualLayout>
      </c:layout>
      <c:lineChart>
        <c:grouping val="standard"/>
        <c:varyColors val="0"/>
        <c:ser>
          <c:idx val="0"/>
          <c:order val="0"/>
          <c:tx>
            <c:v>Poço 03 - Sub Medição (26/04/2013)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'GRÁFICO ENERGIA REF 2023 I '!$B$52:$M$52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ENERGIA REF 2023 I '!$B$68:$M$68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-240652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C-41D8-B0C8-9FE9B946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31024"/>
        <c:axId val="64779800"/>
      </c:lineChart>
      <c:catAx>
        <c:axId val="61833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1547786615168678"/>
              <c:y val="0.85172459906390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4779800"/>
        <c:crosses val="autoZero"/>
        <c:auto val="1"/>
        <c:lblAlgn val="ctr"/>
        <c:lblOffset val="100"/>
        <c:noMultiLvlLbl val="1"/>
      </c:catAx>
      <c:valAx>
        <c:axId val="6477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Consumo KWh</a:t>
                </a:r>
              </a:p>
            </c:rich>
          </c:tx>
          <c:layout>
            <c:manualLayout>
              <c:xMode val="edge"/>
              <c:yMode val="edge"/>
              <c:x val="2.1534255120764772E-2"/>
              <c:y val="0.3068962007125535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1833102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4260869565217391"/>
          <c:y val="0.12292378744644714"/>
          <c:w val="0.84869565217391307"/>
          <c:h val="0.66777516964151018"/>
        </c:manualLayout>
      </c:layout>
      <c:lineChart>
        <c:grouping val="standard"/>
        <c:varyColors val="0"/>
        <c:ser>
          <c:idx val="0"/>
          <c:order val="0"/>
          <c:tx>
            <c:v>Galpão 1 - Abaixo de Zero</c:v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35A-40A7-AA6E-4861F4C85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I'!$B$153:$M$153</c:f>
              <c:numCache>
                <c:formatCode>0.00</c:formatCode>
                <c:ptCount val="12"/>
                <c:pt idx="0">
                  <c:v>105.80000000000291</c:v>
                </c:pt>
                <c:pt idx="1">
                  <c:v>67.5</c:v>
                </c:pt>
                <c:pt idx="2">
                  <c:v>74.799999999999272</c:v>
                </c:pt>
                <c:pt idx="3">
                  <c:v>53.799999999999272</c:v>
                </c:pt>
                <c:pt idx="4">
                  <c:v>75</c:v>
                </c:pt>
                <c:pt idx="5">
                  <c:v>68.599999999998545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A-40A7-AA6E-4861F4C85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660967"/>
        <c:axId val="1929707126"/>
      </c:lineChart>
      <c:catAx>
        <c:axId val="997660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236228804732742"/>
              <c:y val="0.900633475503061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29707126"/>
        <c:crosses val="autoZero"/>
        <c:auto val="1"/>
        <c:lblAlgn val="ctr"/>
        <c:lblOffset val="100"/>
        <c:noMultiLvlLbl val="1"/>
      </c:catAx>
      <c:valAx>
        <c:axId val="1929707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7.2275508204043395E-2"/>
              <c:y val="0.252126623306186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9766096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2 - MASP</a:t>
            </a:r>
          </a:p>
        </c:rich>
      </c:tx>
      <c:layout>
        <c:manualLayout>
          <c:xMode val="edge"/>
          <c:yMode val="edge"/>
          <c:x val="0.43894893715713357"/>
          <c:y val="5.0052448724999664E-2"/>
        </c:manualLayout>
      </c:layout>
      <c:overlay val="0"/>
    </c:title>
    <c:autoTitleDeleted val="0"/>
    <c:plotArea>
      <c:layout>
        <c:manualLayout>
          <c:xMode val="edge"/>
          <c:yMode val="edge"/>
          <c:x val="0.11523436282793419"/>
          <c:y val="0.22078593445764053"/>
          <c:w val="0.85993485342019549"/>
          <c:h val="0.52649006622516559"/>
        </c:manualLayout>
      </c:layout>
      <c:lineChart>
        <c:grouping val="standard"/>
        <c:varyColors val="0"/>
        <c:ser>
          <c:idx val="0"/>
          <c:order val="0"/>
          <c:tx>
            <c:v>Galpão 2 - Masp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FFA-421D-AB66-64399F7BF45B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 lvl="0">
                    <a:defRPr b="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FFA-421D-AB66-64399F7BF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I'!$B$155:$M$155</c:f>
              <c:numCache>
                <c:formatCode>0.00</c:formatCode>
                <c:ptCount val="12"/>
                <c:pt idx="0">
                  <c:v>37.910000000001673</c:v>
                </c:pt>
                <c:pt idx="1">
                  <c:v>37.039999999999054</c:v>
                </c:pt>
                <c:pt idx="2">
                  <c:v>44.819999999999709</c:v>
                </c:pt>
                <c:pt idx="3">
                  <c:v>43.069999999999709</c:v>
                </c:pt>
                <c:pt idx="4">
                  <c:v>43.710000000000946</c:v>
                </c:pt>
                <c:pt idx="5">
                  <c:v>47.869999999998981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A-421D-AB66-64399F7B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41527"/>
        <c:axId val="827280865"/>
      </c:lineChart>
      <c:catAx>
        <c:axId val="1913541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4885994750656168"/>
              <c:y val="0.857615923009623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27280865"/>
        <c:crosses val="autoZero"/>
        <c:auto val="1"/>
        <c:lblAlgn val="ctr"/>
        <c:lblOffset val="100"/>
        <c:noMultiLvlLbl val="1"/>
      </c:catAx>
      <c:valAx>
        <c:axId val="827280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1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4.5889460667810231E-2"/>
              <c:y val="0.2393695421803109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1354152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3 </a:t>
            </a:r>
          </a:p>
        </c:rich>
      </c:tx>
      <c:layout>
        <c:manualLayout>
          <c:xMode val="edge"/>
          <c:yMode val="edge"/>
          <c:x val="0.41915976756348983"/>
          <c:y val="2.3051406173172945E-2"/>
        </c:manualLayout>
      </c:layout>
      <c:overlay val="0"/>
    </c:title>
    <c:autoTitleDeleted val="0"/>
    <c:plotArea>
      <c:layout>
        <c:manualLayout>
          <c:xMode val="edge"/>
          <c:yMode val="edge"/>
          <c:x val="0.11284741354609773"/>
          <c:y val="0.21498405528561318"/>
          <c:w val="0.86284868511400881"/>
          <c:h val="0.56026147741099186"/>
        </c:manualLayout>
      </c:layout>
      <c:lineChart>
        <c:grouping val="standard"/>
        <c:varyColors val="0"/>
        <c:ser>
          <c:idx val="0"/>
          <c:order val="0"/>
          <c:tx>
            <c:v>Galpão 3 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I'!$B$157:$M$157</c:f>
              <c:numCache>
                <c:formatCode>0.00</c:formatCode>
                <c:ptCount val="12"/>
                <c:pt idx="0">
                  <c:v>0</c:v>
                </c:pt>
                <c:pt idx="1">
                  <c:v>1.0000000000218279E-2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7-49D4-9622-DE465CC1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56044"/>
        <c:axId val="2057531797"/>
      </c:lineChart>
      <c:catAx>
        <c:axId val="360356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62593243337695"/>
              <c:y val="0.876222965533002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057531797"/>
        <c:crosses val="autoZero"/>
        <c:auto val="1"/>
        <c:lblAlgn val="ctr"/>
        <c:lblOffset val="100"/>
        <c:noMultiLvlLbl val="1"/>
      </c:catAx>
      <c:valAx>
        <c:axId val="2057531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7777850082789241E-2"/>
              <c:y val="0.263843932437205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6035604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4 - Metal Printing </a:t>
            </a:r>
          </a:p>
        </c:rich>
      </c:tx>
      <c:layout>
        <c:manualLayout>
          <c:xMode val="edge"/>
          <c:yMode val="edge"/>
          <c:x val="0.41431049952621729"/>
          <c:y val="3.5947628639443327E-2"/>
        </c:manualLayout>
      </c:layout>
      <c:overlay val="0"/>
    </c:title>
    <c:autoTitleDeleted val="0"/>
    <c:plotArea>
      <c:layout>
        <c:manualLayout>
          <c:xMode val="edge"/>
          <c:yMode val="edge"/>
          <c:x val="0.11621541086524372"/>
          <c:y val="0.22694339133534233"/>
          <c:w val="0.87421517881408894"/>
          <c:h val="0.51960950140899909"/>
        </c:manualLayout>
      </c:layout>
      <c:lineChart>
        <c:grouping val="standard"/>
        <c:varyColors val="0"/>
        <c:ser>
          <c:idx val="0"/>
          <c:order val="0"/>
          <c:tx>
            <c:v>Galpão 4 - Metal Printing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I'!$B$159:$M$159</c:f>
              <c:numCache>
                <c:formatCode>0.00</c:formatCode>
                <c:ptCount val="12"/>
                <c:pt idx="0">
                  <c:v>42.360000000000582</c:v>
                </c:pt>
                <c:pt idx="1">
                  <c:v>47.159999999999854</c:v>
                </c:pt>
                <c:pt idx="2">
                  <c:v>41.610000000000582</c:v>
                </c:pt>
                <c:pt idx="3">
                  <c:v>57.600000000000364</c:v>
                </c:pt>
                <c:pt idx="4">
                  <c:v>54.949999999998909</c:v>
                </c:pt>
                <c:pt idx="5">
                  <c:v>42.989999999999782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2-4E01-916D-204F2970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584148"/>
        <c:axId val="1757591031"/>
      </c:lineChart>
      <c:catAx>
        <c:axId val="1333584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465794277817878"/>
              <c:y val="0.875819655876348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57591031"/>
        <c:crosses val="autoZero"/>
        <c:auto val="1"/>
        <c:lblAlgn val="ctr"/>
        <c:lblOffset val="100"/>
        <c:noMultiLvlLbl val="1"/>
      </c:catAx>
      <c:valAx>
        <c:axId val="1757591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6.0137438890426234E-2"/>
              <c:y val="0.1466036440212415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33358414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10 - Metal Printing</a:t>
            </a:r>
          </a:p>
        </c:rich>
      </c:tx>
      <c:layout>
        <c:manualLayout>
          <c:xMode val="edge"/>
          <c:yMode val="edge"/>
          <c:x val="0.40811206227050617"/>
          <c:y val="3.5031444598836912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I'!$B$182:$M$182</c:f>
              <c:numCache>
                <c:formatCode>0.00</c:formatCode>
                <c:ptCount val="12"/>
                <c:pt idx="0">
                  <c:v>24.650000000000091</c:v>
                </c:pt>
                <c:pt idx="1">
                  <c:v>26.740000000000009</c:v>
                </c:pt>
                <c:pt idx="2">
                  <c:v>17.2199999999998</c:v>
                </c:pt>
                <c:pt idx="3">
                  <c:v>20.900000000000091</c:v>
                </c:pt>
                <c:pt idx="4">
                  <c:v>20.150000000000091</c:v>
                </c:pt>
                <c:pt idx="5">
                  <c:v>25.299999999999955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C-41AF-B51E-5034E773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16902"/>
        <c:axId val="1809622133"/>
      </c:lineChart>
      <c:catAx>
        <c:axId val="1411616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4999064974376"/>
              <c:y val="0.87898059801348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09622133"/>
        <c:crosses val="autoZero"/>
        <c:auto val="1"/>
        <c:lblAlgn val="ctr"/>
        <c:lblOffset val="100"/>
        <c:noMultiLvlLbl val="1"/>
      </c:catAx>
      <c:valAx>
        <c:axId val="1809622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5.3091577366007336E-2"/>
              <c:y val="0.195018776499091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1161690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11 - Metal Printing (Reserva Incêndio) </a:t>
            </a:r>
          </a:p>
        </c:rich>
      </c:tx>
      <c:layout>
        <c:manualLayout>
          <c:xMode val="edge"/>
          <c:yMode val="edge"/>
          <c:x val="0.33910417622378203"/>
          <c:y val="7.7923871325129582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091-4FF7-9645-8BD6CEEDBAD6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800" b="0" i="0">
                      <a:solidFill>
                        <a:srgbClr val="000000"/>
                      </a:solidFill>
                      <a:latin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091-4FF7-9645-8BD6CEEDBA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I'!$B$183:$M$183</c:f>
              <c:numCache>
                <c:formatCode>0.00</c:formatCode>
                <c:ptCount val="12"/>
                <c:pt idx="0">
                  <c:v>0.34000000000000341</c:v>
                </c:pt>
                <c:pt idx="1">
                  <c:v>4.9999999999997158E-2</c:v>
                </c:pt>
                <c:pt idx="2">
                  <c:v>0.10999999999999943</c:v>
                </c:pt>
                <c:pt idx="3">
                  <c:v>0.21000000000000796</c:v>
                </c:pt>
                <c:pt idx="4">
                  <c:v>1.7199999999999989</c:v>
                </c:pt>
                <c:pt idx="5">
                  <c:v>3.210000000000008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1-4FF7-9645-8BD6CEED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609119"/>
        <c:axId val="1991965180"/>
      </c:lineChart>
      <c:catAx>
        <c:axId val="146260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5009373828269"/>
              <c:y val="0.878980819705229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91965180"/>
        <c:crosses val="autoZero"/>
        <c:auto val="1"/>
        <c:lblAlgn val="ctr"/>
        <c:lblOffset val="100"/>
        <c:noMultiLvlLbl val="1"/>
      </c:catAx>
      <c:valAx>
        <c:axId val="1991965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5.1137993225707119E-2"/>
              <c:y val="0.2016931112254184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6260911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4 - Metal Printing </a:t>
            </a:r>
          </a:p>
        </c:rich>
      </c:tx>
      <c:layout>
        <c:manualLayout>
          <c:xMode val="edge"/>
          <c:yMode val="edge"/>
          <c:x val="0.36319219531520824"/>
          <c:y val="3.5947573860959682E-2"/>
        </c:manualLayout>
      </c:layout>
      <c:overlay val="0"/>
    </c:title>
    <c:autoTitleDeleted val="0"/>
    <c:plotArea>
      <c:layout>
        <c:manualLayout>
          <c:xMode val="edge"/>
          <c:yMode val="edge"/>
          <c:x val="0.11621541086524372"/>
          <c:y val="0.22694339133534233"/>
          <c:w val="0.87421517881408894"/>
          <c:h val="0.51960950140899909"/>
        </c:manualLayout>
      </c:layout>
      <c:lineChart>
        <c:grouping val="standard"/>
        <c:varyColors val="0"/>
        <c:ser>
          <c:idx val="0"/>
          <c:order val="0"/>
          <c:tx>
            <c:v>Galpão 4 - Metal Printing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I'!$B$159:$M$159</c:f>
              <c:numCache>
                <c:formatCode>0.00</c:formatCode>
                <c:ptCount val="12"/>
                <c:pt idx="0">
                  <c:v>42.360000000000582</c:v>
                </c:pt>
                <c:pt idx="1">
                  <c:v>47.159999999999854</c:v>
                </c:pt>
                <c:pt idx="2">
                  <c:v>41.610000000000582</c:v>
                </c:pt>
                <c:pt idx="3">
                  <c:v>57.600000000000364</c:v>
                </c:pt>
                <c:pt idx="4">
                  <c:v>54.949999999998909</c:v>
                </c:pt>
                <c:pt idx="5">
                  <c:v>42.989999999999782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B-4CAE-A0B9-39CDACB1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809293"/>
        <c:axId val="1815724940"/>
      </c:lineChart>
      <c:catAx>
        <c:axId val="1960809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465797907337052"/>
              <c:y val="0.875819705229154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15724940"/>
        <c:crosses val="autoZero"/>
        <c:auto val="1"/>
        <c:lblAlgn val="ctr"/>
        <c:lblOffset val="100"/>
        <c:noMultiLvlLbl val="1"/>
      </c:catAx>
      <c:valAx>
        <c:axId val="1815724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58535135938199E-2"/>
              <c:y val="0.2745107342351437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60809293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6 - Piso Térreo</a:t>
            </a:r>
          </a:p>
        </c:rich>
      </c:tx>
      <c:layout>
        <c:manualLayout>
          <c:xMode val="edge"/>
          <c:yMode val="edge"/>
          <c:x val="0.36270924842509106"/>
          <c:y val="6.4423046167304057E-2"/>
        </c:manualLayout>
      </c:layout>
      <c:overlay val="0"/>
    </c:title>
    <c:autoTitleDeleted val="0"/>
    <c:plotArea>
      <c:layout>
        <c:manualLayout>
          <c:xMode val="edge"/>
          <c:yMode val="edge"/>
          <c:x val="0.11324051444811838"/>
          <c:y val="0.22222295291111938"/>
          <c:w val="0.86237007156643986"/>
          <c:h val="0.54545633896365664"/>
        </c:manualLayout>
      </c:layout>
      <c:lineChart>
        <c:grouping val="standard"/>
        <c:varyColors val="0"/>
        <c:ser>
          <c:idx val="0"/>
          <c:order val="0"/>
          <c:tx>
            <c:v>Lava-Car 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I'!$B$167:$M$167</c:f>
              <c:numCache>
                <c:formatCode>0.00</c:formatCode>
                <c:ptCount val="12"/>
                <c:pt idx="0">
                  <c:v>9.9999999999909051E-3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9-4F23-A1AD-DE2E3431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36824"/>
        <c:axId val="780233146"/>
      </c:lineChart>
      <c:catAx>
        <c:axId val="174133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67979002624675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80233146"/>
        <c:crosses val="autoZero"/>
        <c:auto val="1"/>
        <c:lblAlgn val="ctr"/>
        <c:lblOffset val="100"/>
        <c:noMultiLvlLbl val="1"/>
      </c:catAx>
      <c:valAx>
        <c:axId val="780233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7875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4133682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6 - Piso Intermediário </a:t>
            </a:r>
          </a:p>
        </c:rich>
      </c:tx>
      <c:layout>
        <c:manualLayout>
          <c:xMode val="edge"/>
          <c:yMode val="edge"/>
          <c:x val="0.36443133829357088"/>
          <c:y val="3.7036887960889872E-2"/>
        </c:manualLayout>
      </c:layout>
      <c:overlay val="0"/>
    </c:title>
    <c:autoTitleDeleted val="0"/>
    <c:plotArea>
      <c:layout>
        <c:manualLayout>
          <c:xMode val="edge"/>
          <c:yMode val="edge"/>
          <c:x val="0.11324051444811838"/>
          <c:y val="0.22222295291111938"/>
          <c:w val="0.86237007156643986"/>
          <c:h val="0.54545633896365664"/>
        </c:manualLayout>
      </c:layout>
      <c:lineChart>
        <c:grouping val="standard"/>
        <c:varyColors val="0"/>
        <c:ser>
          <c:idx val="0"/>
          <c:order val="0"/>
          <c:tx>
            <c:v>Lava-Car 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I'!$B$169:$M$169</c:f>
              <c:numCache>
                <c:formatCode>0.00</c:formatCode>
                <c:ptCount val="12"/>
                <c:pt idx="0">
                  <c:v>5.0000000000181899E-2</c:v>
                </c:pt>
                <c:pt idx="1">
                  <c:v>1.0000000000218279E-2</c:v>
                </c:pt>
                <c:pt idx="2">
                  <c:v>0.13000000000010914</c:v>
                </c:pt>
                <c:pt idx="3">
                  <c:v>1.0000000000218279E-2</c:v>
                </c:pt>
                <c:pt idx="4">
                  <c:v>8.9999999999236024E-2</c:v>
                </c:pt>
                <c:pt idx="5">
                  <c:v>2.0000000000436557E-2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2-422C-B7C1-E15FEB83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508173"/>
        <c:axId val="1313312988"/>
      </c:lineChart>
      <c:catAx>
        <c:axId val="1885508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67976111561975"/>
              <c:y val="0.872056887457757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313312988"/>
        <c:crosses val="autoZero"/>
        <c:auto val="1"/>
        <c:lblAlgn val="ctr"/>
        <c:lblOffset val="100"/>
        <c:noMultiLvlLbl val="1"/>
      </c:catAx>
      <c:valAx>
        <c:axId val="1313312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7875130872212963E-2"/>
              <c:y val="0.255892933511106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85508173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7 - Piso Inferior</a:t>
            </a:r>
          </a:p>
        </c:rich>
      </c:tx>
      <c:layout>
        <c:manualLayout>
          <c:xMode val="edge"/>
          <c:yMode val="edge"/>
          <c:x val="0.42824737269287122"/>
          <c:y val="3.5031772344246447E-2"/>
        </c:manualLayout>
      </c:layout>
      <c:overlay val="0"/>
    </c:title>
    <c:autoTitleDeleted val="0"/>
    <c:plotArea>
      <c:layout>
        <c:manualLayout>
          <c:xMode val="edge"/>
          <c:yMode val="edge"/>
          <c:x val="0.1049612934805475"/>
          <c:y val="0.16892344247213995"/>
          <c:w val="0.86401779719406813"/>
          <c:h val="0.6058531354377642"/>
        </c:manualLayout>
      </c:layout>
      <c:lineChart>
        <c:grouping val="standard"/>
        <c:varyColors val="0"/>
        <c:ser>
          <c:idx val="0"/>
          <c:order val="0"/>
          <c:tx>
            <c:v>3,86 0,01 4,16 0,00 0,00 0,00 0,00 0,00 1,31 1,21 1,35 0,01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I'!$B$173:$M$173</c:f>
              <c:numCache>
                <c:formatCode>0.00</c:formatCode>
                <c:ptCount val="12"/>
                <c:pt idx="0">
                  <c:v>0</c:v>
                </c:pt>
                <c:pt idx="1">
                  <c:v>2.1500000000000909</c:v>
                </c:pt>
                <c:pt idx="2">
                  <c:v>1.999999999998181E-2</c:v>
                </c:pt>
                <c:pt idx="3">
                  <c:v>2.2199999999997999</c:v>
                </c:pt>
                <c:pt idx="4">
                  <c:v>0.65000000000009095</c:v>
                </c:pt>
                <c:pt idx="5">
                  <c:v>1.1900000000000546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1-49BC-82A0-A73A5ADB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71619"/>
        <c:axId val="799997751"/>
      </c:lineChart>
      <c:catAx>
        <c:axId val="306071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916404023794216"/>
              <c:y val="0.878980867523138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99997751"/>
        <c:crosses val="autoZero"/>
        <c:auto val="1"/>
        <c:lblAlgn val="ctr"/>
        <c:lblOffset val="100"/>
        <c:noMultiLvlLbl val="1"/>
      </c:catAx>
      <c:valAx>
        <c:axId val="799997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2960949238817443E-2"/>
              <c:y val="0.2001751754049324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0607161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7 - Piso Superior </a:t>
            </a:r>
          </a:p>
        </c:rich>
      </c:tx>
      <c:layout>
        <c:manualLayout>
          <c:xMode val="edge"/>
          <c:yMode val="edge"/>
          <c:x val="0.33225288449682044"/>
          <c:y val="3.7162225582729309E-2"/>
        </c:manualLayout>
      </c:layout>
      <c:overlay val="0"/>
    </c:title>
    <c:autoTitleDeleted val="0"/>
    <c:plotArea>
      <c:layout>
        <c:manualLayout>
          <c:xMode val="edge"/>
          <c:yMode val="edge"/>
          <c:x val="9.4003241491085895E-2"/>
          <c:y val="0.2195945945945946"/>
          <c:w val="0.88330632090761751"/>
          <c:h val="0.54729729729729726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I'!$B$175:$M$175</c:f>
              <c:numCache>
                <c:formatCode>0.00</c:formatCode>
                <c:ptCount val="12"/>
                <c:pt idx="0">
                  <c:v>0</c:v>
                </c:pt>
                <c:pt idx="1">
                  <c:v>0.42000000000000171</c:v>
                </c:pt>
                <c:pt idx="2">
                  <c:v>0.13999999999999346</c:v>
                </c:pt>
                <c:pt idx="3">
                  <c:v>0</c:v>
                </c:pt>
                <c:pt idx="4">
                  <c:v>0.10000000000000142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5-49A7-9854-A6D56A89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91477"/>
        <c:axId val="1465407136"/>
      </c:lineChart>
      <c:catAx>
        <c:axId val="1492991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415416171403316"/>
              <c:y val="0.874881723411191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65407136"/>
        <c:crosses val="autoZero"/>
        <c:auto val="1"/>
        <c:lblAlgn val="ctr"/>
        <c:lblOffset val="100"/>
        <c:noMultiLvlLbl val="1"/>
      </c:catAx>
      <c:valAx>
        <c:axId val="146540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5931899452165792E-2"/>
              <c:y val="0.253378526359701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9299147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G8 Piso Inferior - Nek Packing  </a:t>
            </a:r>
          </a:p>
        </c:rich>
      </c:tx>
      <c:layout>
        <c:manualLayout>
          <c:xMode val="edge"/>
          <c:yMode val="edge"/>
          <c:x val="0.38847774217434905"/>
          <c:y val="7.3238821472005972E-2"/>
        </c:manualLayout>
      </c:layout>
      <c:overlay val="0"/>
    </c:title>
    <c:autoTitleDeleted val="0"/>
    <c:plotArea>
      <c:layout>
        <c:manualLayout>
          <c:xMode val="edge"/>
          <c:yMode val="edge"/>
          <c:x val="9.4003241491085895E-2"/>
          <c:y val="0.2195945945945946"/>
          <c:w val="0.88330632090761751"/>
          <c:h val="0.54729729729729726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FED-4701-9329-DFAF634786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I'!$B$177:$M$177</c:f>
              <c:numCache>
                <c:formatCode>0.00</c:formatCode>
                <c:ptCount val="12"/>
                <c:pt idx="0">
                  <c:v>3.589999999999975</c:v>
                </c:pt>
                <c:pt idx="1">
                  <c:v>3.5800000000000409</c:v>
                </c:pt>
                <c:pt idx="2">
                  <c:v>4.7699999999999818</c:v>
                </c:pt>
                <c:pt idx="3">
                  <c:v>3.9800000000000182</c:v>
                </c:pt>
                <c:pt idx="4">
                  <c:v>4.8499999999999659</c:v>
                </c:pt>
                <c:pt idx="5">
                  <c:v>4.0099999999999909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D-4701-9329-DFAF6347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881797"/>
        <c:axId val="876431245"/>
      </c:lineChart>
      <c:catAx>
        <c:axId val="176488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48318854542752565"/>
              <c:y val="0.91156203171800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76431245"/>
        <c:crosses val="autoZero"/>
        <c:auto val="1"/>
        <c:lblAlgn val="ctr"/>
        <c:lblOffset val="100"/>
        <c:noMultiLvlLbl val="1"/>
      </c:catAx>
      <c:valAx>
        <c:axId val="876431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4.0617023973387123E-2"/>
              <c:y val="0.239849443847703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6488179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08 - Piso Superior</a:t>
            </a:r>
          </a:p>
        </c:rich>
      </c:tx>
      <c:layout>
        <c:manualLayout>
          <c:xMode val="edge"/>
          <c:yMode val="edge"/>
          <c:x val="0.42113876632294028"/>
          <c:y val="3.7037152534151054E-2"/>
        </c:manualLayout>
      </c:layout>
      <c:overlay val="0"/>
    </c:title>
    <c:autoTitleDeleted val="0"/>
    <c:plotArea>
      <c:layout>
        <c:manualLayout>
          <c:xMode val="edge"/>
          <c:yMode val="edge"/>
          <c:x val="0.11647852761688726"/>
          <c:y val="0.17138604268573801"/>
          <c:w val="0.87154609938087424"/>
          <c:h val="0.59225991621763951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I'!$B$179:$M$179</c:f>
              <c:numCache>
                <c:formatCode>0.00</c:formatCode>
                <c:ptCount val="12"/>
                <c:pt idx="0">
                  <c:v>1.3000000000000682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4-4DAF-B9FF-EC094965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09097"/>
        <c:axId val="834764950"/>
      </c:lineChart>
      <c:catAx>
        <c:axId val="346609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44802255755184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34764950"/>
        <c:crosses val="autoZero"/>
        <c:auto val="1"/>
        <c:lblAlgn val="ctr"/>
        <c:lblOffset val="100"/>
        <c:noMultiLvlLbl val="1"/>
      </c:catAx>
      <c:valAx>
        <c:axId val="834764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1626809032772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4660909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09 </a:t>
            </a:r>
          </a:p>
        </c:rich>
      </c:tx>
      <c:layout>
        <c:manualLayout>
          <c:xMode val="edge"/>
          <c:yMode val="edge"/>
          <c:x val="0.42113876632294028"/>
          <c:y val="3.7037152534151054E-2"/>
        </c:manualLayout>
      </c:layout>
      <c:overlay val="0"/>
    </c:title>
    <c:autoTitleDeleted val="0"/>
    <c:plotArea>
      <c:layout>
        <c:manualLayout>
          <c:xMode val="edge"/>
          <c:yMode val="edge"/>
          <c:x val="0.11647852761688726"/>
          <c:y val="0.17138604268573801"/>
          <c:w val="0.87154609938087424"/>
          <c:h val="0.59225991621763951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I'!$B$180:$M$180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E-4EB8-969B-6433501E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6906"/>
        <c:axId val="1289616978"/>
      </c:lineChart>
      <c:catAx>
        <c:axId val="123646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44802255755184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89616978"/>
        <c:crosses val="autoZero"/>
        <c:auto val="1"/>
        <c:lblAlgn val="ctr"/>
        <c:lblOffset val="100"/>
        <c:noMultiLvlLbl val="1"/>
      </c:catAx>
      <c:valAx>
        <c:axId val="1289616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1626809032772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3646906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7 - Piso Superior </a:t>
            </a:r>
          </a:p>
        </c:rich>
      </c:tx>
      <c:layout>
        <c:manualLayout>
          <c:xMode val="edge"/>
          <c:yMode val="edge"/>
          <c:x val="0.33225288449682044"/>
          <c:y val="3.7162225582729309E-2"/>
        </c:manualLayout>
      </c:layout>
      <c:overlay val="0"/>
    </c:title>
    <c:autoTitleDeleted val="0"/>
    <c:plotArea>
      <c:layout>
        <c:manualLayout>
          <c:xMode val="edge"/>
          <c:yMode val="edge"/>
          <c:x val="9.4003241491085895E-2"/>
          <c:y val="0.2195945945945946"/>
          <c:w val="0.88330632090761751"/>
          <c:h val="0.54729729729729726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I'!$B$175:$M$175</c:f>
              <c:numCache>
                <c:formatCode>0.00</c:formatCode>
                <c:ptCount val="12"/>
                <c:pt idx="0">
                  <c:v>0</c:v>
                </c:pt>
                <c:pt idx="1">
                  <c:v>0.42000000000000171</c:v>
                </c:pt>
                <c:pt idx="2">
                  <c:v>0.13999999999999346</c:v>
                </c:pt>
                <c:pt idx="3">
                  <c:v>0</c:v>
                </c:pt>
                <c:pt idx="4">
                  <c:v>0.10000000000000142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6-426E-97DA-F4EE0930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92580"/>
        <c:axId val="1632558342"/>
      </c:lineChart>
      <c:catAx>
        <c:axId val="452592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0891409043668201"/>
              <c:y val="0.87162156054996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32558342"/>
        <c:crosses val="autoZero"/>
        <c:auto val="1"/>
        <c:lblAlgn val="ctr"/>
        <c:lblOffset val="100"/>
        <c:noMultiLvlLbl val="1"/>
      </c:catAx>
      <c:valAx>
        <c:axId val="1632558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5931899452165792E-2"/>
              <c:y val="0.253378526359701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5259258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10 - Metal Printing</a:t>
            </a:r>
          </a:p>
        </c:rich>
      </c:tx>
      <c:layout>
        <c:manualLayout>
          <c:xMode val="edge"/>
          <c:yMode val="edge"/>
          <c:x val="0.40811196504628539"/>
          <c:y val="3.5031721034870643E-2"/>
        </c:manualLayout>
      </c:layout>
      <c:overlay val="0"/>
    </c:title>
    <c:autoTitleDeleted val="0"/>
    <c:plotArea>
      <c:layout>
        <c:manualLayout>
          <c:xMode val="edge"/>
          <c:yMode val="edge"/>
          <c:x val="0.1140685822498097"/>
          <c:y val="0.2356687898089172"/>
          <c:w val="0.86818865379021826"/>
          <c:h val="0.54458598726114649"/>
        </c:manualLayout>
      </c:layout>
      <c:lineChart>
        <c:grouping val="standard"/>
        <c:varyColors val="0"/>
        <c:ser>
          <c:idx val="0"/>
          <c:order val="0"/>
          <c:tx>
            <c:v>JAN FEV MAR ABR MAI JUN JUL AGO SET OUT NOV DEZ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I'!$B$182:$M$182</c:f>
              <c:numCache>
                <c:formatCode>0.00</c:formatCode>
                <c:ptCount val="12"/>
                <c:pt idx="0">
                  <c:v>24.650000000000091</c:v>
                </c:pt>
                <c:pt idx="1">
                  <c:v>26.740000000000009</c:v>
                </c:pt>
                <c:pt idx="2">
                  <c:v>17.2199999999998</c:v>
                </c:pt>
                <c:pt idx="3">
                  <c:v>20.900000000000091</c:v>
                </c:pt>
                <c:pt idx="4">
                  <c:v>20.150000000000091</c:v>
                </c:pt>
                <c:pt idx="5">
                  <c:v>25.299999999999955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1-4C35-BA64-37014902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00895"/>
        <c:axId val="2011869706"/>
      </c:lineChart>
      <c:catAx>
        <c:axId val="184200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2724990962955975"/>
              <c:y val="0.878980727409073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011869706"/>
        <c:crosses val="autoZero"/>
        <c:auto val="1"/>
        <c:lblAlgn val="ctr"/>
        <c:lblOffset val="100"/>
        <c:noMultiLvlLbl val="1"/>
      </c:catAx>
      <c:valAx>
        <c:axId val="2011869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0278655287849497E-2"/>
              <c:y val="0.277070266216722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4200089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6 - Piso Térreo</a:t>
            </a:r>
          </a:p>
        </c:rich>
      </c:tx>
      <c:layout>
        <c:manualLayout>
          <c:xMode val="edge"/>
          <c:yMode val="edge"/>
          <c:x val="0.36270924842509106"/>
          <c:y val="6.4423046167304057E-2"/>
        </c:manualLayout>
      </c:layout>
      <c:overlay val="0"/>
    </c:title>
    <c:autoTitleDeleted val="0"/>
    <c:plotArea>
      <c:layout>
        <c:manualLayout>
          <c:xMode val="edge"/>
          <c:yMode val="edge"/>
          <c:x val="0.11324051444811838"/>
          <c:y val="0.22222295291111938"/>
          <c:w val="0.86237007156643986"/>
          <c:h val="0.54545633896365664"/>
        </c:manualLayout>
      </c:layout>
      <c:lineChart>
        <c:grouping val="standard"/>
        <c:varyColors val="0"/>
        <c:ser>
          <c:idx val="0"/>
          <c:order val="0"/>
          <c:tx>
            <c:v>Lava-Car 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I'!$B$167:$M$167</c:f>
              <c:numCache>
                <c:formatCode>0.00</c:formatCode>
                <c:ptCount val="12"/>
                <c:pt idx="0">
                  <c:v>9.9999999999909051E-3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A-4411-8098-F7A9570F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195024"/>
        <c:axId val="1293590376"/>
      </c:lineChart>
      <c:catAx>
        <c:axId val="193219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67979002624675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93590376"/>
        <c:crosses val="autoZero"/>
        <c:auto val="1"/>
        <c:lblAlgn val="ctr"/>
        <c:lblOffset val="100"/>
        <c:noMultiLvlLbl val="1"/>
      </c:catAx>
      <c:valAx>
        <c:axId val="1293590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7875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3219502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08 - Piso Superior</a:t>
            </a:r>
          </a:p>
        </c:rich>
      </c:tx>
      <c:layout>
        <c:manualLayout>
          <c:xMode val="edge"/>
          <c:yMode val="edge"/>
          <c:x val="0.42113876632294028"/>
          <c:y val="3.7037152534151054E-2"/>
        </c:manualLayout>
      </c:layout>
      <c:overlay val="0"/>
    </c:title>
    <c:autoTitleDeleted val="0"/>
    <c:plotArea>
      <c:layout>
        <c:manualLayout>
          <c:xMode val="edge"/>
          <c:yMode val="edge"/>
          <c:x val="0.11647852761688726"/>
          <c:y val="0.17138604268573801"/>
          <c:w val="0.87154609938087424"/>
          <c:h val="0.59225991621763951"/>
        </c:manualLayout>
      </c:layout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I'!$B$179:$M$179</c:f>
              <c:numCache>
                <c:formatCode>0.00</c:formatCode>
                <c:ptCount val="12"/>
                <c:pt idx="0">
                  <c:v>1.3000000000000682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6-4C1D-A74F-5DFA9F0E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01044"/>
        <c:axId val="1322957754"/>
      </c:lineChart>
      <c:catAx>
        <c:axId val="1875501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544802255755184"/>
              <c:y val="0.87205668598355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322957754"/>
        <c:crosses val="autoZero"/>
        <c:auto val="1"/>
        <c:lblAlgn val="ctr"/>
        <c:lblOffset val="100"/>
        <c:noMultiLvlLbl val="1"/>
      </c:catAx>
      <c:valAx>
        <c:axId val="1322957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601626809032772E-2"/>
              <c:y val="0.2558928648770388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7550104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Arial"/>
              </a:defRPr>
            </a:pPr>
            <a:r>
              <a:rPr sz="1400" b="1" i="0">
                <a:solidFill>
                  <a:srgbClr val="000000"/>
                </a:solidFill>
                <a:latin typeface="Arial"/>
              </a:rPr>
              <a:t>Galpão 7 - Piso Inferior</a:t>
            </a:r>
          </a:p>
        </c:rich>
      </c:tx>
      <c:layout>
        <c:manualLayout>
          <c:xMode val="edge"/>
          <c:yMode val="edge"/>
          <c:x val="0.42824737269287122"/>
          <c:y val="3.5031772344246447E-2"/>
        </c:manualLayout>
      </c:layout>
      <c:overlay val="0"/>
    </c:title>
    <c:autoTitleDeleted val="0"/>
    <c:plotArea>
      <c:layout>
        <c:manualLayout>
          <c:xMode val="edge"/>
          <c:yMode val="edge"/>
          <c:x val="0.1049612934805475"/>
          <c:y val="0.16892344247213995"/>
          <c:w val="0.86401779719406813"/>
          <c:h val="0.6058531354377642"/>
        </c:manualLayout>
      </c:layout>
      <c:lineChart>
        <c:grouping val="standard"/>
        <c:varyColors val="0"/>
        <c:ser>
          <c:idx val="0"/>
          <c:order val="0"/>
          <c:tx>
            <c:v>3,86 0,01 4,16 0,00 0,00 0,00 0,00 0,00 1,31 1,21 1,35 0,01</c:v>
          </c:tx>
          <c:spPr>
            <a:ln w="952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ÁGUA 2024 I'!$B$152:$M$152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 ÁGUA 2024 I'!$B$173:$M$173</c:f>
              <c:numCache>
                <c:formatCode>0.00</c:formatCode>
                <c:ptCount val="12"/>
                <c:pt idx="0">
                  <c:v>0</c:v>
                </c:pt>
                <c:pt idx="1">
                  <c:v>2.1500000000000909</c:v>
                </c:pt>
                <c:pt idx="2">
                  <c:v>1.999999999998181E-2</c:v>
                </c:pt>
                <c:pt idx="3">
                  <c:v>2.2199999999997999</c:v>
                </c:pt>
                <c:pt idx="4">
                  <c:v>0.65000000000009095</c:v>
                </c:pt>
                <c:pt idx="5">
                  <c:v>1.1900000000000546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0-4D59-8F3B-BBFD342A2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8544"/>
        <c:axId val="1687389539"/>
      </c:lineChart>
      <c:catAx>
        <c:axId val="10283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MÊS 2024</a:t>
                </a:r>
              </a:p>
            </c:rich>
          </c:tx>
          <c:layout>
            <c:manualLayout>
              <c:xMode val="edge"/>
              <c:yMode val="edge"/>
              <c:x val="0.51916404023794216"/>
              <c:y val="0.878980867523138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687389539"/>
        <c:crosses val="autoZero"/>
        <c:auto val="1"/>
        <c:lblAlgn val="ctr"/>
        <c:lblOffset val="100"/>
        <c:noMultiLvlLbl val="1"/>
      </c:catAx>
      <c:valAx>
        <c:axId val="1687389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Arial"/>
                  </a:rPr>
                  <a:t>QTDE METRO CÚBICO</a:t>
                </a:r>
              </a:p>
            </c:rich>
          </c:tx>
          <c:layout>
            <c:manualLayout>
              <c:xMode val="edge"/>
              <c:yMode val="edge"/>
              <c:x val="2.2960949238817443E-2"/>
              <c:y val="0.2001751754049324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5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0283854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0</xdr:rowOff>
    </xdr:from>
    <xdr:ext cx="7162800" cy="2867025"/>
    <xdr:graphicFrame macro="">
      <xdr:nvGraphicFramePr>
        <xdr:cNvPr id="1602993661" name="Chart 1" title="Gráfico">
          <a:extLst>
            <a:ext uri="{FF2B5EF4-FFF2-40B4-BE49-F238E27FC236}">
              <a16:creationId xmlns:a16="http://schemas.microsoft.com/office/drawing/2014/main" id="{00000000-0008-0000-0200-0000FDBD8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314325</xdr:colOff>
      <xdr:row>0</xdr:row>
      <xdr:rowOff>0</xdr:rowOff>
    </xdr:from>
    <xdr:ext cx="7629525" cy="2876550"/>
    <xdr:graphicFrame macro="">
      <xdr:nvGraphicFramePr>
        <xdr:cNvPr id="319679525" name="Chart 2" title="Gráfico">
          <a:extLst>
            <a:ext uri="{FF2B5EF4-FFF2-40B4-BE49-F238E27FC236}">
              <a16:creationId xmlns:a16="http://schemas.microsoft.com/office/drawing/2014/main" id="{00000000-0008-0000-0200-000025EC0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18</xdr:row>
      <xdr:rowOff>19050</xdr:rowOff>
    </xdr:from>
    <xdr:ext cx="7162800" cy="3028950"/>
    <xdr:graphicFrame macro="">
      <xdr:nvGraphicFramePr>
        <xdr:cNvPr id="390936215" name="Chart 3" title="Gráfico">
          <a:extLst>
            <a:ext uri="{FF2B5EF4-FFF2-40B4-BE49-F238E27FC236}">
              <a16:creationId xmlns:a16="http://schemas.microsoft.com/office/drawing/2014/main" id="{00000000-0008-0000-0200-00009736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314325</xdr:colOff>
      <xdr:row>18</xdr:row>
      <xdr:rowOff>47625</xdr:rowOff>
    </xdr:from>
    <xdr:ext cx="7629525" cy="2990850"/>
    <xdr:graphicFrame macro="">
      <xdr:nvGraphicFramePr>
        <xdr:cNvPr id="164563355" name="Chart 4" title="Gráfico">
          <a:extLst>
            <a:ext uri="{FF2B5EF4-FFF2-40B4-BE49-F238E27FC236}">
              <a16:creationId xmlns:a16="http://schemas.microsoft.com/office/drawing/2014/main" id="{00000000-0008-0000-0200-00009B09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55</xdr:row>
      <xdr:rowOff>95250</xdr:rowOff>
    </xdr:from>
    <xdr:ext cx="7172325" cy="2905125"/>
    <xdr:graphicFrame macro="">
      <xdr:nvGraphicFramePr>
        <xdr:cNvPr id="1554530340" name="Chart 5" title="Gráfico">
          <a:extLst>
            <a:ext uri="{FF2B5EF4-FFF2-40B4-BE49-F238E27FC236}">
              <a16:creationId xmlns:a16="http://schemas.microsoft.com/office/drawing/2014/main" id="{00000000-0008-0000-0200-00002440A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47625</xdr:colOff>
      <xdr:row>92</xdr:row>
      <xdr:rowOff>152400</xdr:rowOff>
    </xdr:from>
    <xdr:ext cx="7172325" cy="3152775"/>
    <xdr:graphicFrame macro="">
      <xdr:nvGraphicFramePr>
        <xdr:cNvPr id="2131155225" name="Chart 6" title="Gráfico">
          <a:extLst>
            <a:ext uri="{FF2B5EF4-FFF2-40B4-BE49-F238E27FC236}">
              <a16:creationId xmlns:a16="http://schemas.microsoft.com/office/drawing/2014/main" id="{00000000-0008-0000-0200-000019D90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47625</xdr:colOff>
      <xdr:row>37</xdr:row>
      <xdr:rowOff>47625</xdr:rowOff>
    </xdr:from>
    <xdr:ext cx="7124700" cy="2905125"/>
    <xdr:graphicFrame macro="">
      <xdr:nvGraphicFramePr>
        <xdr:cNvPr id="337247055" name="Chart 7" title="Gráfico">
          <a:extLst>
            <a:ext uri="{FF2B5EF4-FFF2-40B4-BE49-F238E27FC236}">
              <a16:creationId xmlns:a16="http://schemas.microsoft.com/office/drawing/2014/main" id="{00000000-0008-0000-0200-00004FFB1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9525</xdr:rowOff>
    </xdr:from>
    <xdr:ext cx="7181850" cy="2971800"/>
    <xdr:graphicFrame macro="">
      <xdr:nvGraphicFramePr>
        <xdr:cNvPr id="1152541780" name="Chart 8" title="Gráfico">
          <a:extLst>
            <a:ext uri="{FF2B5EF4-FFF2-40B4-BE49-F238E27FC236}">
              <a16:creationId xmlns:a16="http://schemas.microsoft.com/office/drawing/2014/main" id="{00000000-0008-0000-0200-00005464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</xdr:col>
      <xdr:colOff>285750</xdr:colOff>
      <xdr:row>37</xdr:row>
      <xdr:rowOff>38100</xdr:rowOff>
    </xdr:from>
    <xdr:ext cx="7686675" cy="2924175"/>
    <xdr:graphicFrame macro="">
      <xdr:nvGraphicFramePr>
        <xdr:cNvPr id="1930012463" name="Chart 9" title="Gráfico">
          <a:extLst>
            <a:ext uri="{FF2B5EF4-FFF2-40B4-BE49-F238E27FC236}">
              <a16:creationId xmlns:a16="http://schemas.microsoft.com/office/drawing/2014/main" id="{00000000-0008-0000-0200-00002FA70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323850</xdr:colOff>
      <xdr:row>92</xdr:row>
      <xdr:rowOff>161925</xdr:rowOff>
    </xdr:from>
    <xdr:ext cx="7629525" cy="3152775"/>
    <xdr:graphicFrame macro="">
      <xdr:nvGraphicFramePr>
        <xdr:cNvPr id="983852556" name="Chart 10" title="Gráfico">
          <a:extLst>
            <a:ext uri="{FF2B5EF4-FFF2-40B4-BE49-F238E27FC236}">
              <a16:creationId xmlns:a16="http://schemas.microsoft.com/office/drawing/2014/main" id="{00000000-0008-0000-0200-00000C66A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5</xdr:col>
      <xdr:colOff>276225</xdr:colOff>
      <xdr:row>55</xdr:row>
      <xdr:rowOff>104775</xdr:rowOff>
    </xdr:from>
    <xdr:ext cx="7686675" cy="2905125"/>
    <xdr:graphicFrame macro="">
      <xdr:nvGraphicFramePr>
        <xdr:cNvPr id="73888610" name="Chart 11" title="Gráfico">
          <a:extLst>
            <a:ext uri="{FF2B5EF4-FFF2-40B4-BE49-F238E27FC236}">
              <a16:creationId xmlns:a16="http://schemas.microsoft.com/office/drawing/2014/main" id="{00000000-0008-0000-0200-000062736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5</xdr:col>
      <xdr:colOff>295275</xdr:colOff>
      <xdr:row>74</xdr:row>
      <xdr:rowOff>9525</xdr:rowOff>
    </xdr:from>
    <xdr:ext cx="7677150" cy="2990850"/>
    <xdr:graphicFrame macro="">
      <xdr:nvGraphicFramePr>
        <xdr:cNvPr id="1436193518" name="Chart 12" title="Gráfico">
          <a:extLst>
            <a:ext uri="{FF2B5EF4-FFF2-40B4-BE49-F238E27FC236}">
              <a16:creationId xmlns:a16="http://schemas.microsoft.com/office/drawing/2014/main" id="{00000000-0008-0000-0200-0000EE929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131</xdr:row>
      <xdr:rowOff>114300</xdr:rowOff>
    </xdr:from>
    <xdr:ext cx="7172325" cy="2876550"/>
    <xdr:graphicFrame macro="">
      <xdr:nvGraphicFramePr>
        <xdr:cNvPr id="1761899379" name="Chart 13" title="Gráfico">
          <a:extLst>
            <a:ext uri="{FF2B5EF4-FFF2-40B4-BE49-F238E27FC236}">
              <a16:creationId xmlns:a16="http://schemas.microsoft.com/office/drawing/2014/main" id="{00000000-0008-0000-0200-000073730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5</xdr:col>
      <xdr:colOff>276225</xdr:colOff>
      <xdr:row>131</xdr:row>
      <xdr:rowOff>123825</xdr:rowOff>
    </xdr:from>
    <xdr:ext cx="7639050" cy="2867025"/>
    <xdr:graphicFrame macro="">
      <xdr:nvGraphicFramePr>
        <xdr:cNvPr id="2089938269" name="Chart 14" title="Gráfico">
          <a:extLst>
            <a:ext uri="{FF2B5EF4-FFF2-40B4-BE49-F238E27FC236}">
              <a16:creationId xmlns:a16="http://schemas.microsoft.com/office/drawing/2014/main" id="{00000000-0008-0000-0200-00005DED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3811250" cy="4438650"/>
    <xdr:graphicFrame macro="">
      <xdr:nvGraphicFramePr>
        <xdr:cNvPr id="1406196373" name="Chart 42" title="Gráfico">
          <a:extLst>
            <a:ext uri="{FF2B5EF4-FFF2-40B4-BE49-F238E27FC236}">
              <a16:creationId xmlns:a16="http://schemas.microsoft.com/office/drawing/2014/main" id="{00000000-0008-0000-1000-000095DA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3811250" cy="3857625"/>
    <xdr:graphicFrame macro="">
      <xdr:nvGraphicFramePr>
        <xdr:cNvPr id="279220232" name="Chart 43" title="Gráfico">
          <a:extLst>
            <a:ext uri="{FF2B5EF4-FFF2-40B4-BE49-F238E27FC236}">
              <a16:creationId xmlns:a16="http://schemas.microsoft.com/office/drawing/2014/main" id="{00000000-0008-0000-1100-00000890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1706225" cy="2762250"/>
    <xdr:graphicFrame macro="">
      <xdr:nvGraphicFramePr>
        <xdr:cNvPr id="1427887992" name="Chart 44" title="Gráfico">
          <a:extLst>
            <a:ext uri="{FF2B5EF4-FFF2-40B4-BE49-F238E27FC236}">
              <a16:creationId xmlns:a16="http://schemas.microsoft.com/office/drawing/2014/main" id="{00000000-0008-0000-1200-000078D71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3335000" cy="3657600"/>
    <xdr:graphicFrame macro="">
      <xdr:nvGraphicFramePr>
        <xdr:cNvPr id="60115542" name="Chart 45" title="Gráfico">
          <a:extLst>
            <a:ext uri="{FF2B5EF4-FFF2-40B4-BE49-F238E27FC236}">
              <a16:creationId xmlns:a16="http://schemas.microsoft.com/office/drawing/2014/main" id="{00000000-0008-0000-1300-0000564A9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3230225" cy="3762375"/>
    <xdr:graphicFrame macro="">
      <xdr:nvGraphicFramePr>
        <xdr:cNvPr id="999328870" name="Chart 46" title="Gráfico">
          <a:extLst>
            <a:ext uri="{FF2B5EF4-FFF2-40B4-BE49-F238E27FC236}">
              <a16:creationId xmlns:a16="http://schemas.microsoft.com/office/drawing/2014/main" id="{00000000-0008-0000-1400-0000668C9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0</xdr:rowOff>
    </xdr:from>
    <xdr:ext cx="7610475" cy="2867025"/>
    <xdr:graphicFrame macro="">
      <xdr:nvGraphicFramePr>
        <xdr:cNvPr id="1781542255" name="Chart 15" title="Gráfico">
          <a:extLst>
            <a:ext uri="{FF2B5EF4-FFF2-40B4-BE49-F238E27FC236}">
              <a16:creationId xmlns:a16="http://schemas.microsoft.com/office/drawing/2014/main" id="{00000000-0008-0000-0300-00006F2D3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314325</xdr:colOff>
      <xdr:row>0</xdr:row>
      <xdr:rowOff>0</xdr:rowOff>
    </xdr:from>
    <xdr:ext cx="7610475" cy="2876550"/>
    <xdr:graphicFrame macro="">
      <xdr:nvGraphicFramePr>
        <xdr:cNvPr id="951856791" name="Chart 16" title="Gráfico">
          <a:extLst>
            <a:ext uri="{FF2B5EF4-FFF2-40B4-BE49-F238E27FC236}">
              <a16:creationId xmlns:a16="http://schemas.microsoft.com/office/drawing/2014/main" id="{00000000-0008-0000-0300-0000972E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47625</xdr:colOff>
      <xdr:row>18</xdr:row>
      <xdr:rowOff>19050</xdr:rowOff>
    </xdr:from>
    <xdr:ext cx="7610475" cy="3028950"/>
    <xdr:graphicFrame macro="">
      <xdr:nvGraphicFramePr>
        <xdr:cNvPr id="2000019180" name="Chart 17" title="Gráfico">
          <a:extLst>
            <a:ext uri="{FF2B5EF4-FFF2-40B4-BE49-F238E27FC236}">
              <a16:creationId xmlns:a16="http://schemas.microsoft.com/office/drawing/2014/main" id="{00000000-0008-0000-0300-0000ECDE3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314325</xdr:colOff>
      <xdr:row>18</xdr:row>
      <xdr:rowOff>47625</xdr:rowOff>
    </xdr:from>
    <xdr:ext cx="7610475" cy="2990850"/>
    <xdr:graphicFrame macro="">
      <xdr:nvGraphicFramePr>
        <xdr:cNvPr id="340716844" name="Chart 18" title="Gráfico">
          <a:extLst>
            <a:ext uri="{FF2B5EF4-FFF2-40B4-BE49-F238E27FC236}">
              <a16:creationId xmlns:a16="http://schemas.microsoft.com/office/drawing/2014/main" id="{00000000-0008-0000-0300-00002CED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55</xdr:row>
      <xdr:rowOff>95250</xdr:rowOff>
    </xdr:from>
    <xdr:ext cx="7620000" cy="2905125"/>
    <xdr:graphicFrame macro="">
      <xdr:nvGraphicFramePr>
        <xdr:cNvPr id="1469788438" name="Chart 19" title="Gráfico">
          <a:extLst>
            <a:ext uri="{FF2B5EF4-FFF2-40B4-BE49-F238E27FC236}">
              <a16:creationId xmlns:a16="http://schemas.microsoft.com/office/drawing/2014/main" id="{00000000-0008-0000-0300-000016319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93</xdr:row>
      <xdr:rowOff>0</xdr:rowOff>
    </xdr:from>
    <xdr:ext cx="7620000" cy="3886200"/>
    <xdr:graphicFrame macro="">
      <xdr:nvGraphicFramePr>
        <xdr:cNvPr id="117820766" name="Chart 20" title="Gráfico">
          <a:extLst>
            <a:ext uri="{FF2B5EF4-FFF2-40B4-BE49-F238E27FC236}">
              <a16:creationId xmlns:a16="http://schemas.microsoft.com/office/drawing/2014/main" id="{00000000-0008-0000-0300-00005ECD0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47625</xdr:colOff>
      <xdr:row>37</xdr:row>
      <xdr:rowOff>47625</xdr:rowOff>
    </xdr:from>
    <xdr:ext cx="7572375" cy="2905125"/>
    <xdr:graphicFrame macro="">
      <xdr:nvGraphicFramePr>
        <xdr:cNvPr id="908310152" name="Chart 21" title="Gráfico">
          <a:extLst>
            <a:ext uri="{FF2B5EF4-FFF2-40B4-BE49-F238E27FC236}">
              <a16:creationId xmlns:a16="http://schemas.microsoft.com/office/drawing/2014/main" id="{00000000-0008-0000-0300-000088B62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9525</xdr:rowOff>
    </xdr:from>
    <xdr:ext cx="7629525" cy="2971800"/>
    <xdr:graphicFrame macro="">
      <xdr:nvGraphicFramePr>
        <xdr:cNvPr id="389784342" name="Chart 22" title="Gráfico">
          <a:extLst>
            <a:ext uri="{FF2B5EF4-FFF2-40B4-BE49-F238E27FC236}">
              <a16:creationId xmlns:a16="http://schemas.microsoft.com/office/drawing/2014/main" id="{00000000-0008-0000-0300-000016A33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</xdr:col>
      <xdr:colOff>285750</xdr:colOff>
      <xdr:row>37</xdr:row>
      <xdr:rowOff>38100</xdr:rowOff>
    </xdr:from>
    <xdr:ext cx="7667625" cy="2924175"/>
    <xdr:graphicFrame macro="">
      <xdr:nvGraphicFramePr>
        <xdr:cNvPr id="523775198" name="Chart 23" title="Gráfico">
          <a:extLst>
            <a:ext uri="{FF2B5EF4-FFF2-40B4-BE49-F238E27FC236}">
              <a16:creationId xmlns:a16="http://schemas.microsoft.com/office/drawing/2014/main" id="{00000000-0008-0000-0300-0000DE2C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295275</xdr:colOff>
      <xdr:row>93</xdr:row>
      <xdr:rowOff>9525</xdr:rowOff>
    </xdr:from>
    <xdr:ext cx="7620000" cy="3876675"/>
    <xdr:graphicFrame macro="">
      <xdr:nvGraphicFramePr>
        <xdr:cNvPr id="278073666" name="Chart 24" title="Gráfico">
          <a:extLst>
            <a:ext uri="{FF2B5EF4-FFF2-40B4-BE49-F238E27FC236}">
              <a16:creationId xmlns:a16="http://schemas.microsoft.com/office/drawing/2014/main" id="{00000000-0008-0000-0300-00004211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5</xdr:col>
      <xdr:colOff>276225</xdr:colOff>
      <xdr:row>55</xdr:row>
      <xdr:rowOff>104775</xdr:rowOff>
    </xdr:from>
    <xdr:ext cx="7667625" cy="2905125"/>
    <xdr:graphicFrame macro="">
      <xdr:nvGraphicFramePr>
        <xdr:cNvPr id="772152168" name="Chart 25" title="Gráfico">
          <a:extLst>
            <a:ext uri="{FF2B5EF4-FFF2-40B4-BE49-F238E27FC236}">
              <a16:creationId xmlns:a16="http://schemas.microsoft.com/office/drawing/2014/main" id="{00000000-0008-0000-0300-0000681B0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5</xdr:col>
      <xdr:colOff>295275</xdr:colOff>
      <xdr:row>74</xdr:row>
      <xdr:rowOff>9525</xdr:rowOff>
    </xdr:from>
    <xdr:ext cx="7658100" cy="2990850"/>
    <xdr:graphicFrame macro="">
      <xdr:nvGraphicFramePr>
        <xdr:cNvPr id="870698877" name="Chart 26" title="Gráfico">
          <a:extLst>
            <a:ext uri="{FF2B5EF4-FFF2-40B4-BE49-F238E27FC236}">
              <a16:creationId xmlns:a16="http://schemas.microsoft.com/office/drawing/2014/main" id="{00000000-0008-0000-0300-00007DCF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118</xdr:row>
      <xdr:rowOff>0</xdr:rowOff>
    </xdr:from>
    <xdr:ext cx="7620000" cy="2990850"/>
    <xdr:graphicFrame macro="">
      <xdr:nvGraphicFramePr>
        <xdr:cNvPr id="907807393" name="Chart 27" title="Gráfico">
          <a:extLst>
            <a:ext uri="{FF2B5EF4-FFF2-40B4-BE49-F238E27FC236}">
              <a16:creationId xmlns:a16="http://schemas.microsoft.com/office/drawing/2014/main" id="{00000000-0008-0000-0300-0000A10A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5</xdr:col>
      <xdr:colOff>276225</xdr:colOff>
      <xdr:row>117</xdr:row>
      <xdr:rowOff>142875</xdr:rowOff>
    </xdr:from>
    <xdr:ext cx="7620000" cy="3009900"/>
    <xdr:graphicFrame macro="">
      <xdr:nvGraphicFramePr>
        <xdr:cNvPr id="809131975" name="Chart 28" title="Gráfico">
          <a:extLst>
            <a:ext uri="{FF2B5EF4-FFF2-40B4-BE49-F238E27FC236}">
              <a16:creationId xmlns:a16="http://schemas.microsoft.com/office/drawing/2014/main" id="{00000000-0008-0000-0300-0000C75F3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18</xdr:row>
      <xdr:rowOff>47625</xdr:rowOff>
    </xdr:from>
    <xdr:ext cx="8258175" cy="2390775"/>
    <xdr:graphicFrame macro="">
      <xdr:nvGraphicFramePr>
        <xdr:cNvPr id="1561340900" name="Chart 29">
          <a:extLst>
            <a:ext uri="{FF2B5EF4-FFF2-40B4-BE49-F238E27FC236}">
              <a16:creationId xmlns:a16="http://schemas.microsoft.com/office/drawing/2014/main" id="{00000000-0008-0000-0500-0000E42B1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19050</xdr:rowOff>
    </xdr:from>
    <xdr:ext cx="8258175" cy="2762250"/>
    <xdr:graphicFrame macro="">
      <xdr:nvGraphicFramePr>
        <xdr:cNvPr id="343056507" name="Chart 30">
          <a:extLst>
            <a:ext uri="{FF2B5EF4-FFF2-40B4-BE49-F238E27FC236}">
              <a16:creationId xmlns:a16="http://schemas.microsoft.com/office/drawing/2014/main" id="{00000000-0008-0000-0500-00007BA07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381000</xdr:colOff>
      <xdr:row>0</xdr:row>
      <xdr:rowOff>9525</xdr:rowOff>
    </xdr:from>
    <xdr:ext cx="7953375" cy="2781300"/>
    <xdr:graphicFrame macro="">
      <xdr:nvGraphicFramePr>
        <xdr:cNvPr id="1820519824" name="Chart 31">
          <a:extLst>
            <a:ext uri="{FF2B5EF4-FFF2-40B4-BE49-F238E27FC236}">
              <a16:creationId xmlns:a16="http://schemas.microsoft.com/office/drawing/2014/main" id="{00000000-0008-0000-0500-000090ED8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371475</xdr:colOff>
      <xdr:row>18</xdr:row>
      <xdr:rowOff>57150</xdr:rowOff>
    </xdr:from>
    <xdr:ext cx="8010525" cy="2362200"/>
    <xdr:graphicFrame macro="">
      <xdr:nvGraphicFramePr>
        <xdr:cNvPr id="1373782176" name="Chart 32">
          <a:extLst>
            <a:ext uri="{FF2B5EF4-FFF2-40B4-BE49-F238E27FC236}">
              <a16:creationId xmlns:a16="http://schemas.microsoft.com/office/drawing/2014/main" id="{00000000-0008-0000-0500-0000A040E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762000</xdr:colOff>
      <xdr:row>33</xdr:row>
      <xdr:rowOff>114300</xdr:rowOff>
    </xdr:from>
    <xdr:ext cx="8582025" cy="2457450"/>
    <xdr:graphicFrame macro="">
      <xdr:nvGraphicFramePr>
        <xdr:cNvPr id="1579979999" name="Chart 33">
          <a:extLst>
            <a:ext uri="{FF2B5EF4-FFF2-40B4-BE49-F238E27FC236}">
              <a16:creationId xmlns:a16="http://schemas.microsoft.com/office/drawing/2014/main" id="{00000000-0008-0000-0500-0000DF942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3354050" cy="3657600"/>
    <xdr:graphicFrame macro="">
      <xdr:nvGraphicFramePr>
        <xdr:cNvPr id="396543346" name="Chart 34" title="Gráfico">
          <a:extLst>
            <a:ext uri="{FF2B5EF4-FFF2-40B4-BE49-F238E27FC236}">
              <a16:creationId xmlns:a16="http://schemas.microsoft.com/office/drawing/2014/main" id="{00000000-0008-0000-0A00-000072C5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1896725" cy="3657600"/>
    <xdr:graphicFrame macro="">
      <xdr:nvGraphicFramePr>
        <xdr:cNvPr id="826054386" name="Chart 35" title="Gráfico">
          <a:extLst>
            <a:ext uri="{FF2B5EF4-FFF2-40B4-BE49-F238E27FC236}">
              <a16:creationId xmlns:a16="http://schemas.microsoft.com/office/drawing/2014/main" id="{00000000-0008-0000-0B00-0000F296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10963275" cy="3609975"/>
    <xdr:graphicFrame macro="">
      <xdr:nvGraphicFramePr>
        <xdr:cNvPr id="1307272652" name="Chart 36" title="Gráfico">
          <a:extLst>
            <a:ext uri="{FF2B5EF4-FFF2-40B4-BE49-F238E27FC236}">
              <a16:creationId xmlns:a16="http://schemas.microsoft.com/office/drawing/2014/main" id="{00000000-0008-0000-0C00-0000CC65E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14820900" cy="2143125"/>
    <xdr:graphicFrame macro="">
      <xdr:nvGraphicFramePr>
        <xdr:cNvPr id="1136855898" name="Chart 37" title="Gráfico">
          <a:extLst>
            <a:ext uri="{FF2B5EF4-FFF2-40B4-BE49-F238E27FC236}">
              <a16:creationId xmlns:a16="http://schemas.microsoft.com/office/drawing/2014/main" id="{00000000-0008-0000-0D00-00005A0BC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0</xdr:rowOff>
    </xdr:from>
    <xdr:ext cx="14811375" cy="2428875"/>
    <xdr:graphicFrame macro="">
      <xdr:nvGraphicFramePr>
        <xdr:cNvPr id="982362689" name="Chart 38" title="Gráfico">
          <a:extLst>
            <a:ext uri="{FF2B5EF4-FFF2-40B4-BE49-F238E27FC236}">
              <a16:creationId xmlns:a16="http://schemas.microsoft.com/office/drawing/2014/main" id="{00000000-0008-0000-0D00-000041AA8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152400</xdr:rowOff>
    </xdr:from>
    <xdr:ext cx="14820900" cy="2476500"/>
    <xdr:graphicFrame macro="">
      <xdr:nvGraphicFramePr>
        <xdr:cNvPr id="2009609001" name="Chart 39" title="Gráfico">
          <a:extLst>
            <a:ext uri="{FF2B5EF4-FFF2-40B4-BE49-F238E27FC236}">
              <a16:creationId xmlns:a16="http://schemas.microsoft.com/office/drawing/2014/main" id="{00000000-0008-0000-0D00-00002933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152400</xdr:rowOff>
    </xdr:from>
    <xdr:ext cx="10887075" cy="3981450"/>
    <xdr:graphicFrame macro="">
      <xdr:nvGraphicFramePr>
        <xdr:cNvPr id="1486641568" name="Chart 40" title="Gráfico">
          <a:extLst>
            <a:ext uri="{FF2B5EF4-FFF2-40B4-BE49-F238E27FC236}">
              <a16:creationId xmlns:a16="http://schemas.microsoft.com/office/drawing/2014/main" id="{00000000-0008-0000-0E00-0000A059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47625</xdr:rowOff>
    </xdr:from>
    <xdr:ext cx="14763750" cy="3733800"/>
    <xdr:graphicFrame macro="">
      <xdr:nvGraphicFramePr>
        <xdr:cNvPr id="935046409" name="Chart 41" title="Gráfico">
          <a:extLst>
            <a:ext uri="{FF2B5EF4-FFF2-40B4-BE49-F238E27FC236}">
              <a16:creationId xmlns:a16="http://schemas.microsoft.com/office/drawing/2014/main" id="{00000000-0008-0000-0F00-000009AD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00"/>
  <sheetViews>
    <sheetView tabSelected="1" workbookViewId="0"/>
  </sheetViews>
  <sheetFormatPr defaultColWidth="12.6328125" defaultRowHeight="15" customHeight="1" x14ac:dyDescent="0.25"/>
  <cols>
    <col min="1" max="1" width="48.6328125" customWidth="1"/>
    <col min="2" max="2" width="15.453125" hidden="1" customWidth="1"/>
    <col min="3" max="4" width="16.08984375" hidden="1" customWidth="1"/>
    <col min="5" max="9" width="16.453125" hidden="1" customWidth="1"/>
    <col min="10" max="10" width="17.6328125" hidden="1" customWidth="1"/>
    <col min="11" max="11" width="15.453125" hidden="1" customWidth="1"/>
    <col min="12" max="12" width="14.90625" hidden="1" customWidth="1"/>
    <col min="13" max="13" width="15.6328125" hidden="1" customWidth="1"/>
    <col min="14" max="14" width="13.08984375" customWidth="1"/>
    <col min="15" max="16" width="9.453125" customWidth="1"/>
    <col min="17" max="17" width="9.90625" customWidth="1"/>
    <col min="18" max="19" width="9.453125" customWidth="1"/>
    <col min="20" max="20" width="11" customWidth="1"/>
    <col min="21" max="21" width="9.453125" customWidth="1"/>
    <col min="22" max="23" width="10" customWidth="1"/>
    <col min="24" max="24" width="10.90625" customWidth="1"/>
    <col min="25" max="25" width="10.08984375" customWidth="1"/>
    <col min="26" max="26" width="13.08984375" customWidth="1"/>
    <col min="27" max="28" width="8.453125" customWidth="1"/>
  </cols>
  <sheetData>
    <row r="1" spans="1:28" ht="12.75" customHeight="1" x14ac:dyDescent="0.3">
      <c r="A1" s="1" t="s">
        <v>0</v>
      </c>
    </row>
    <row r="2" spans="1:28" ht="14.25" customHeight="1" x14ac:dyDescent="0.3">
      <c r="A2" s="2"/>
      <c r="B2" s="3">
        <v>37622</v>
      </c>
      <c r="C2" s="4">
        <v>37288</v>
      </c>
      <c r="D2" s="4">
        <v>37316</v>
      </c>
      <c r="E2" s="4">
        <v>37347</v>
      </c>
      <c r="F2" s="4">
        <v>38106</v>
      </c>
      <c r="G2" s="4">
        <v>38135</v>
      </c>
      <c r="H2" s="4">
        <v>38167</v>
      </c>
      <c r="I2" s="4">
        <v>37466</v>
      </c>
      <c r="J2" s="4">
        <v>38229</v>
      </c>
      <c r="K2" s="4">
        <v>38259</v>
      </c>
      <c r="L2" s="4">
        <v>37563</v>
      </c>
      <c r="M2" s="5">
        <v>37589</v>
      </c>
      <c r="N2" s="6">
        <v>45289</v>
      </c>
      <c r="O2" s="7">
        <v>42398</v>
      </c>
      <c r="P2" s="7">
        <v>42429</v>
      </c>
      <c r="Q2" s="7">
        <v>38440</v>
      </c>
      <c r="R2" s="7">
        <v>38471</v>
      </c>
      <c r="S2" s="7">
        <v>38501</v>
      </c>
      <c r="T2" s="7">
        <v>38532</v>
      </c>
      <c r="U2" s="7">
        <v>38562</v>
      </c>
      <c r="V2" s="7">
        <v>38593</v>
      </c>
      <c r="W2" s="7">
        <v>38624</v>
      </c>
      <c r="X2" s="7">
        <v>38654</v>
      </c>
      <c r="Y2" s="8">
        <v>38685</v>
      </c>
      <c r="Z2" s="6">
        <v>45655</v>
      </c>
      <c r="AA2" s="9"/>
      <c r="AB2" s="9"/>
    </row>
    <row r="3" spans="1:28" ht="12.75" customHeight="1" x14ac:dyDescent="0.25">
      <c r="A3" s="10" t="s">
        <v>1</v>
      </c>
      <c r="B3" s="11">
        <v>7230</v>
      </c>
      <c r="C3" s="12">
        <v>7433.1</v>
      </c>
      <c r="D3" s="12">
        <v>7552.8</v>
      </c>
      <c r="E3" s="12">
        <v>7769.7</v>
      </c>
      <c r="F3" s="12">
        <v>7921</v>
      </c>
      <c r="G3" s="12">
        <v>8050.6</v>
      </c>
      <c r="H3" s="12">
        <v>8180.9</v>
      </c>
      <c r="I3" s="12">
        <v>8297.5</v>
      </c>
      <c r="J3" s="12">
        <v>8431.9</v>
      </c>
      <c r="K3" s="12">
        <v>8574.2000000000007</v>
      </c>
      <c r="L3" s="12">
        <v>8723.2999999999993</v>
      </c>
      <c r="M3" s="13">
        <v>8837.2000000000007</v>
      </c>
      <c r="N3" s="14">
        <v>25141.599999999999</v>
      </c>
      <c r="O3" s="15">
        <v>25247.4</v>
      </c>
      <c r="P3" s="16">
        <v>25314.9</v>
      </c>
      <c r="Q3" s="16">
        <v>25389.7</v>
      </c>
      <c r="R3" s="17">
        <v>25443.5</v>
      </c>
      <c r="S3" s="17">
        <v>25518.5</v>
      </c>
      <c r="T3" s="17">
        <v>25587.1</v>
      </c>
      <c r="U3" s="18"/>
      <c r="V3" s="18"/>
      <c r="W3" s="18"/>
      <c r="X3" s="18"/>
      <c r="Y3" s="18"/>
      <c r="Z3" s="14"/>
    </row>
    <row r="4" spans="1:28" ht="12.75" customHeight="1" x14ac:dyDescent="0.25">
      <c r="A4" s="19" t="s">
        <v>2</v>
      </c>
      <c r="B4" s="20">
        <v>759.34</v>
      </c>
      <c r="C4" s="21">
        <v>836.95</v>
      </c>
      <c r="D4" s="21">
        <v>866.98</v>
      </c>
      <c r="E4" s="21">
        <v>930.13</v>
      </c>
      <c r="F4" s="21">
        <v>946.82</v>
      </c>
      <c r="G4" s="21">
        <v>959.66</v>
      </c>
      <c r="H4" s="21">
        <v>977.92</v>
      </c>
      <c r="I4" s="21">
        <v>1009.44</v>
      </c>
      <c r="J4" s="21">
        <v>1021.74</v>
      </c>
      <c r="K4" s="21">
        <v>1096.8499999999999</v>
      </c>
      <c r="L4" s="21">
        <v>1110.49</v>
      </c>
      <c r="M4" s="22">
        <v>1127.83</v>
      </c>
      <c r="N4" s="23">
        <v>10289.209999999999</v>
      </c>
      <c r="O4" s="24">
        <v>10327.120000000001</v>
      </c>
      <c r="P4" s="25">
        <v>10364.16</v>
      </c>
      <c r="Q4" s="25">
        <v>10408.98</v>
      </c>
      <c r="R4" s="26">
        <v>10452.049999999999</v>
      </c>
      <c r="S4" s="26">
        <v>10495.76</v>
      </c>
      <c r="T4" s="26">
        <v>10543.63</v>
      </c>
      <c r="U4" s="24"/>
      <c r="V4" s="24"/>
      <c r="W4" s="24"/>
      <c r="X4" s="24"/>
      <c r="Y4" s="24"/>
      <c r="Z4" s="23"/>
    </row>
    <row r="5" spans="1:28" ht="12.75" customHeight="1" x14ac:dyDescent="0.25">
      <c r="A5" s="19" t="s">
        <v>3</v>
      </c>
      <c r="B5" s="20">
        <v>1354.98</v>
      </c>
      <c r="C5" s="21">
        <v>1382.27</v>
      </c>
      <c r="D5" s="21">
        <v>1404.47</v>
      </c>
      <c r="E5" s="21">
        <v>1448.72</v>
      </c>
      <c r="F5" s="21">
        <v>1503.07</v>
      </c>
      <c r="G5" s="21">
        <v>1548.23</v>
      </c>
      <c r="H5" s="21">
        <v>1620</v>
      </c>
      <c r="I5" s="21">
        <v>1702.33</v>
      </c>
      <c r="J5" s="21">
        <v>1769.68</v>
      </c>
      <c r="K5" s="21">
        <v>1858.39</v>
      </c>
      <c r="L5" s="21">
        <v>1918.82</v>
      </c>
      <c r="M5" s="22">
        <v>2000.65</v>
      </c>
      <c r="N5" s="23">
        <v>9442.32</v>
      </c>
      <c r="O5" s="24">
        <v>9442.32</v>
      </c>
      <c r="P5" s="25">
        <v>9442.33</v>
      </c>
      <c r="Q5" s="24">
        <v>9442.33</v>
      </c>
      <c r="R5" s="26">
        <v>9442.33</v>
      </c>
      <c r="S5" s="26">
        <v>9442.33</v>
      </c>
      <c r="T5" s="26">
        <v>9442.33</v>
      </c>
      <c r="U5" s="24"/>
      <c r="V5" s="24"/>
      <c r="W5" s="24"/>
      <c r="X5" s="24"/>
      <c r="Y5" s="24"/>
      <c r="Z5" s="23"/>
    </row>
    <row r="6" spans="1:28" ht="12.75" customHeight="1" x14ac:dyDescent="0.25">
      <c r="A6" s="19" t="s">
        <v>4</v>
      </c>
      <c r="B6" s="20">
        <v>508.69</v>
      </c>
      <c r="C6" s="21">
        <v>527.1</v>
      </c>
      <c r="D6" s="21">
        <v>550.66</v>
      </c>
      <c r="E6" s="21">
        <v>597.78</v>
      </c>
      <c r="F6" s="21">
        <v>622.20000000000005</v>
      </c>
      <c r="G6" s="21">
        <v>648.19000000000005</v>
      </c>
      <c r="H6" s="21">
        <v>672.71</v>
      </c>
      <c r="I6" s="21">
        <v>699.09</v>
      </c>
      <c r="J6" s="21">
        <v>720.38</v>
      </c>
      <c r="K6" s="21">
        <v>738.56</v>
      </c>
      <c r="L6" s="21">
        <v>760.08</v>
      </c>
      <c r="M6" s="22">
        <v>760.08</v>
      </c>
      <c r="N6" s="23">
        <v>10284.81</v>
      </c>
      <c r="O6" s="24">
        <v>10327.17</v>
      </c>
      <c r="P6" s="24">
        <v>10374.33</v>
      </c>
      <c r="Q6" s="24">
        <v>10415.94</v>
      </c>
      <c r="R6" s="26">
        <v>10473.540000000001</v>
      </c>
      <c r="S6" s="26">
        <v>10528.49</v>
      </c>
      <c r="T6" s="26">
        <v>10571.48</v>
      </c>
      <c r="U6" s="24"/>
      <c r="V6" s="24"/>
      <c r="W6" s="24"/>
      <c r="X6" s="24"/>
      <c r="Y6" s="24"/>
      <c r="Z6" s="23"/>
    </row>
    <row r="7" spans="1:28" ht="12.75" customHeight="1" x14ac:dyDescent="0.25">
      <c r="A7" s="19" t="s">
        <v>5</v>
      </c>
      <c r="B7" s="20">
        <v>1146.05</v>
      </c>
      <c r="C7" s="21">
        <v>1205.1099999999999</v>
      </c>
      <c r="D7" s="21">
        <v>1247.68</v>
      </c>
      <c r="E7" s="21">
        <v>1303.6099999999999</v>
      </c>
      <c r="F7" s="21">
        <v>1355.07</v>
      </c>
      <c r="G7" s="21">
        <v>1404.93</v>
      </c>
      <c r="H7" s="21">
        <v>1451.26</v>
      </c>
      <c r="I7" s="21">
        <v>1504.02</v>
      </c>
      <c r="J7" s="21">
        <v>1553.4</v>
      </c>
      <c r="K7" s="21">
        <v>1607.84</v>
      </c>
      <c r="L7" s="21">
        <v>1661.58</v>
      </c>
      <c r="M7" s="22">
        <v>1705.81</v>
      </c>
      <c r="N7" s="23">
        <v>1698.38</v>
      </c>
      <c r="O7" s="24">
        <v>1700.74</v>
      </c>
      <c r="P7" s="24">
        <v>1703.7</v>
      </c>
      <c r="Q7" s="24">
        <v>1706.42</v>
      </c>
      <c r="R7" s="26">
        <v>1708.82</v>
      </c>
      <c r="S7" s="26">
        <v>1712.07</v>
      </c>
      <c r="T7" s="26">
        <v>1715.39</v>
      </c>
      <c r="U7" s="24"/>
      <c r="V7" s="24"/>
      <c r="W7" s="24"/>
      <c r="X7" s="24"/>
      <c r="Y7" s="24"/>
      <c r="Z7" s="23"/>
    </row>
    <row r="8" spans="1:28" ht="12.75" customHeight="1" x14ac:dyDescent="0.25">
      <c r="A8" s="19" t="s">
        <v>6</v>
      </c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3">
        <v>4633.29</v>
      </c>
      <c r="O8" s="24">
        <v>4633.29</v>
      </c>
      <c r="P8" s="24">
        <v>4633.3</v>
      </c>
      <c r="Q8" s="24">
        <v>4648.79</v>
      </c>
      <c r="R8" s="26">
        <v>4648.8</v>
      </c>
      <c r="S8" s="26">
        <v>4648.8</v>
      </c>
      <c r="T8" s="27">
        <v>4653.8</v>
      </c>
      <c r="U8" s="24"/>
      <c r="V8" s="24"/>
      <c r="W8" s="24"/>
      <c r="X8" s="24"/>
      <c r="Y8" s="24"/>
      <c r="Z8" s="23"/>
    </row>
    <row r="9" spans="1:28" ht="12.75" customHeight="1" x14ac:dyDescent="0.25">
      <c r="A9" s="19" t="s">
        <v>7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3">
        <v>197.37</v>
      </c>
      <c r="O9" s="24">
        <v>198.1</v>
      </c>
      <c r="P9" s="24">
        <v>200.21</v>
      </c>
      <c r="Q9" s="24">
        <v>200.96</v>
      </c>
      <c r="R9" s="26">
        <v>202.7</v>
      </c>
      <c r="S9" s="26">
        <v>204.05</v>
      </c>
      <c r="T9" s="27">
        <v>204.72</v>
      </c>
      <c r="U9" s="24"/>
      <c r="V9" s="24"/>
      <c r="W9" s="24"/>
      <c r="X9" s="24"/>
      <c r="Y9" s="24"/>
      <c r="Z9" s="23"/>
    </row>
    <row r="10" spans="1:28" ht="12.75" customHeight="1" x14ac:dyDescent="0.25">
      <c r="A10" s="19" t="s">
        <v>8</v>
      </c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3">
        <v>385.2</v>
      </c>
      <c r="O10" s="24">
        <v>385.21</v>
      </c>
      <c r="P10" s="24">
        <v>385.21</v>
      </c>
      <c r="Q10" s="24">
        <v>385.22</v>
      </c>
      <c r="R10" s="26">
        <v>385.23</v>
      </c>
      <c r="S10" s="26">
        <v>385.23</v>
      </c>
      <c r="T10" s="27">
        <v>385.23</v>
      </c>
      <c r="U10" s="24"/>
      <c r="V10" s="24"/>
      <c r="W10" s="24"/>
      <c r="X10" s="24"/>
      <c r="Y10" s="24"/>
      <c r="Z10" s="23"/>
    </row>
    <row r="11" spans="1:28" ht="12.75" hidden="1" customHeight="1" x14ac:dyDescent="0.25">
      <c r="A11" s="19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  <c r="N11" s="31"/>
      <c r="O11" s="24"/>
      <c r="P11" s="24"/>
      <c r="Q11" s="29"/>
      <c r="R11" s="29"/>
      <c r="S11" s="29"/>
      <c r="T11" s="29"/>
      <c r="U11" s="29"/>
      <c r="V11" s="29"/>
      <c r="W11" s="29"/>
      <c r="X11" s="29"/>
      <c r="Y11" s="29"/>
      <c r="Z11" s="31"/>
    </row>
    <row r="12" spans="1:28" ht="12.75" customHeight="1" x14ac:dyDescent="0.25">
      <c r="A12" s="19" t="s">
        <v>9</v>
      </c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3">
        <v>4138.9399999999996</v>
      </c>
      <c r="O12" s="24">
        <v>4138.99</v>
      </c>
      <c r="P12" s="24">
        <v>4139</v>
      </c>
      <c r="Q12" s="24">
        <v>4139.13</v>
      </c>
      <c r="R12" s="26">
        <v>4139.1400000000003</v>
      </c>
      <c r="S12" s="26">
        <v>4139.2299999999996</v>
      </c>
      <c r="T12" s="27">
        <v>4139.25</v>
      </c>
      <c r="U12" s="29"/>
      <c r="V12" s="24"/>
      <c r="W12" s="24"/>
      <c r="X12" s="24"/>
      <c r="Y12" s="24"/>
      <c r="Z12" s="23"/>
    </row>
    <row r="13" spans="1:28" ht="12.75" customHeight="1" x14ac:dyDescent="0.25">
      <c r="A13" s="19" t="s">
        <v>10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23">
        <v>30.52</v>
      </c>
      <c r="O13" s="24">
        <v>30.52</v>
      </c>
      <c r="P13" s="24">
        <v>30.52</v>
      </c>
      <c r="Q13" s="32">
        <v>30.52</v>
      </c>
      <c r="R13" s="26">
        <v>30.52</v>
      </c>
      <c r="S13" s="26">
        <v>30.52</v>
      </c>
      <c r="T13" s="27">
        <v>30.52</v>
      </c>
      <c r="U13" s="24"/>
      <c r="V13" s="24"/>
      <c r="W13" s="24"/>
      <c r="X13" s="24"/>
      <c r="Y13" s="24"/>
      <c r="Z13" s="23"/>
    </row>
    <row r="14" spans="1:28" ht="12.75" customHeight="1" x14ac:dyDescent="0.25">
      <c r="A14" s="19" t="s">
        <v>11</v>
      </c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3">
        <v>3102.31</v>
      </c>
      <c r="O14" s="24">
        <v>3102.31</v>
      </c>
      <c r="P14" s="24">
        <v>3104.46</v>
      </c>
      <c r="Q14" s="24">
        <v>3104.48</v>
      </c>
      <c r="R14" s="26">
        <v>3106.7</v>
      </c>
      <c r="S14" s="26">
        <v>3107.35</v>
      </c>
      <c r="T14" s="27">
        <v>3108.54</v>
      </c>
      <c r="U14" s="24"/>
      <c r="V14" s="24"/>
      <c r="W14" s="24"/>
      <c r="X14" s="24"/>
      <c r="Y14" s="24"/>
      <c r="Z14" s="23"/>
    </row>
    <row r="15" spans="1:28" ht="12.75" customHeight="1" x14ac:dyDescent="0.25">
      <c r="A15" s="19" t="s">
        <v>12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  <c r="N15" s="23">
        <v>33.85</v>
      </c>
      <c r="O15" s="24">
        <v>33.85</v>
      </c>
      <c r="P15" s="24">
        <v>34.270000000000003</v>
      </c>
      <c r="Q15" s="24">
        <v>34.409999999999997</v>
      </c>
      <c r="R15" s="26">
        <v>34.409999999999997</v>
      </c>
      <c r="S15" s="26">
        <v>34.51</v>
      </c>
      <c r="T15" s="27">
        <v>34.51</v>
      </c>
      <c r="U15" s="24"/>
      <c r="V15" s="24"/>
      <c r="W15" s="24"/>
      <c r="X15" s="24"/>
      <c r="Y15" s="24"/>
      <c r="Z15" s="23"/>
    </row>
    <row r="16" spans="1:28" ht="12.75" customHeight="1" x14ac:dyDescent="0.25">
      <c r="A16" s="19" t="s">
        <v>13</v>
      </c>
      <c r="B16" s="20">
        <v>899.74</v>
      </c>
      <c r="C16" s="21">
        <v>906.86</v>
      </c>
      <c r="D16" s="21">
        <v>918.95</v>
      </c>
      <c r="E16" s="21">
        <v>925.36</v>
      </c>
      <c r="F16" s="21">
        <v>945.68</v>
      </c>
      <c r="G16" s="21">
        <v>950.9</v>
      </c>
      <c r="H16" s="21">
        <v>964.62</v>
      </c>
      <c r="I16" s="21">
        <v>971.84</v>
      </c>
      <c r="J16" s="21">
        <v>982.5</v>
      </c>
      <c r="K16" s="21">
        <v>1016.27</v>
      </c>
      <c r="L16" s="21">
        <v>1025.05</v>
      </c>
      <c r="M16" s="22">
        <v>1029.24</v>
      </c>
      <c r="N16" s="23">
        <v>369.93</v>
      </c>
      <c r="O16" s="24">
        <v>373.52</v>
      </c>
      <c r="P16" s="24">
        <v>377.1</v>
      </c>
      <c r="Q16" s="24">
        <v>381.87</v>
      </c>
      <c r="R16" s="26">
        <v>385.85</v>
      </c>
      <c r="S16" s="26">
        <v>390.7</v>
      </c>
      <c r="T16" s="27">
        <v>394.71</v>
      </c>
      <c r="U16" s="24"/>
      <c r="V16" s="24"/>
      <c r="W16" s="24"/>
      <c r="X16" s="24"/>
      <c r="Y16" s="24"/>
      <c r="Z16" s="23"/>
    </row>
    <row r="17" spans="1:28" ht="12.75" customHeight="1" x14ac:dyDescent="0.25">
      <c r="A17" s="19" t="s">
        <v>14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2"/>
      <c r="N17" s="23">
        <v>788.8</v>
      </c>
      <c r="O17" s="24">
        <v>790.1</v>
      </c>
      <c r="P17" s="24">
        <v>790.1</v>
      </c>
      <c r="Q17" s="24">
        <v>791.1</v>
      </c>
      <c r="R17" s="26">
        <v>791.1</v>
      </c>
      <c r="S17" s="26">
        <v>791.1</v>
      </c>
      <c r="T17" s="27">
        <v>791.6</v>
      </c>
      <c r="U17" s="24"/>
      <c r="V17" s="24"/>
      <c r="W17" s="24"/>
      <c r="X17" s="24"/>
      <c r="Y17" s="24"/>
      <c r="Z17" s="23"/>
    </row>
    <row r="18" spans="1:28" ht="12.75" customHeight="1" x14ac:dyDescent="0.25">
      <c r="A18" s="19" t="s">
        <v>15</v>
      </c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3">
        <v>1.68</v>
      </c>
      <c r="O18" s="24">
        <v>1.68</v>
      </c>
      <c r="P18" s="24">
        <v>1.68</v>
      </c>
      <c r="Q18" s="24">
        <v>1.68</v>
      </c>
      <c r="R18" s="26">
        <v>1.68</v>
      </c>
      <c r="S18" s="26">
        <v>1.68</v>
      </c>
      <c r="T18" s="27">
        <v>1.68</v>
      </c>
      <c r="U18" s="24"/>
      <c r="V18" s="24"/>
      <c r="W18" s="24"/>
      <c r="X18" s="24"/>
      <c r="Y18" s="24"/>
      <c r="Z18" s="23"/>
    </row>
    <row r="19" spans="1:28" ht="12.75" customHeight="1" x14ac:dyDescent="0.25">
      <c r="A19" s="19" t="s">
        <v>16</v>
      </c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23">
        <v>1407.75</v>
      </c>
      <c r="O19" s="24">
        <v>1432.4</v>
      </c>
      <c r="P19" s="24">
        <v>1459.14</v>
      </c>
      <c r="Q19" s="24">
        <v>1476.36</v>
      </c>
      <c r="R19" s="26">
        <v>1497.26</v>
      </c>
      <c r="S19" s="26">
        <v>1517.41</v>
      </c>
      <c r="T19" s="27">
        <v>1542.71</v>
      </c>
      <c r="U19" s="24"/>
      <c r="V19" s="24"/>
      <c r="W19" s="24"/>
      <c r="X19" s="24"/>
      <c r="Y19" s="24"/>
      <c r="Z19" s="23"/>
    </row>
    <row r="20" spans="1:28" ht="12.75" customHeight="1" x14ac:dyDescent="0.25">
      <c r="A20" s="19" t="s">
        <v>17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3">
        <v>124.6</v>
      </c>
      <c r="O20" s="24">
        <v>124.94</v>
      </c>
      <c r="P20" s="24">
        <v>124.99</v>
      </c>
      <c r="Q20" s="24">
        <v>125.1</v>
      </c>
      <c r="R20" s="26">
        <v>125.31</v>
      </c>
      <c r="S20" s="26">
        <v>127.03</v>
      </c>
      <c r="T20" s="27">
        <v>130.24</v>
      </c>
      <c r="U20" s="24"/>
      <c r="V20" s="24"/>
      <c r="W20" s="24"/>
      <c r="X20" s="24"/>
      <c r="Y20" s="24"/>
      <c r="Z20" s="23"/>
    </row>
    <row r="21" spans="1:28" ht="12.75" customHeight="1" x14ac:dyDescent="0.25">
      <c r="A21" s="19" t="s">
        <v>18</v>
      </c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23">
        <v>16.309999999999999</v>
      </c>
      <c r="O21" s="24">
        <v>16.309999999999999</v>
      </c>
      <c r="P21" s="24">
        <v>16.309999999999999</v>
      </c>
      <c r="Q21" s="24">
        <v>17.38</v>
      </c>
      <c r="R21" s="26">
        <v>21.55</v>
      </c>
      <c r="S21" s="26">
        <v>47.65</v>
      </c>
      <c r="T21" s="27">
        <v>57.07</v>
      </c>
      <c r="U21" s="24"/>
      <c r="V21" s="24"/>
      <c r="W21" s="24"/>
      <c r="X21" s="24"/>
      <c r="Y21" s="24"/>
      <c r="Z21" s="23"/>
    </row>
    <row r="22" spans="1:28" ht="12.75" customHeight="1" x14ac:dyDescent="0.25">
      <c r="A22" s="19" t="s">
        <v>19</v>
      </c>
      <c r="B22" s="20">
        <v>284.10000000000002</v>
      </c>
      <c r="C22" s="21">
        <v>310.7</v>
      </c>
      <c r="D22" s="21">
        <v>331.78</v>
      </c>
      <c r="E22" s="21">
        <v>396.61</v>
      </c>
      <c r="F22" s="21">
        <v>455.99</v>
      </c>
      <c r="G22" s="21">
        <v>484.52</v>
      </c>
      <c r="H22" s="21">
        <v>510.93</v>
      </c>
      <c r="I22" s="21">
        <v>546.51</v>
      </c>
      <c r="J22" s="21">
        <v>584.65</v>
      </c>
      <c r="K22" s="21">
        <v>638.62</v>
      </c>
      <c r="L22" s="21">
        <v>680.75</v>
      </c>
      <c r="M22" s="22">
        <v>711.15</v>
      </c>
      <c r="N22" s="23">
        <v>1377.77</v>
      </c>
      <c r="O22" s="24">
        <v>1385.93</v>
      </c>
      <c r="P22" s="24">
        <v>1398.55</v>
      </c>
      <c r="Q22" s="24">
        <v>1391.14</v>
      </c>
      <c r="R22" s="26">
        <v>1393.12</v>
      </c>
      <c r="S22" s="26">
        <v>1400.92</v>
      </c>
      <c r="T22" s="27">
        <v>1405.11</v>
      </c>
      <c r="U22" s="24"/>
      <c r="V22" s="24"/>
      <c r="W22" s="24"/>
      <c r="X22" s="24"/>
      <c r="Y22" s="24"/>
      <c r="Z22" s="23"/>
    </row>
    <row r="23" spans="1:28" ht="12.75" customHeight="1" x14ac:dyDescent="0.25">
      <c r="A23" s="19" t="s">
        <v>20</v>
      </c>
      <c r="B23" s="20">
        <v>126.4</v>
      </c>
      <c r="C23" s="21">
        <v>138.53</v>
      </c>
      <c r="D23" s="21">
        <v>147.53</v>
      </c>
      <c r="E23" s="21">
        <v>158.77000000000001</v>
      </c>
      <c r="F23" s="21">
        <v>163.9</v>
      </c>
      <c r="G23" s="21">
        <v>168.27</v>
      </c>
      <c r="H23" s="21">
        <v>177.02</v>
      </c>
      <c r="I23" s="21">
        <v>188.16</v>
      </c>
      <c r="J23" s="21">
        <v>205.76</v>
      </c>
      <c r="K23" s="21">
        <v>229.61</v>
      </c>
      <c r="L23" s="21">
        <v>248.02</v>
      </c>
      <c r="M23" s="22">
        <v>262.52</v>
      </c>
      <c r="N23" s="23">
        <v>649.66999999999996</v>
      </c>
      <c r="O23" s="24">
        <v>649.66999999999996</v>
      </c>
      <c r="P23" s="24">
        <v>649.66999999999996</v>
      </c>
      <c r="Q23" s="24">
        <v>649.66999999999996</v>
      </c>
      <c r="R23" s="26">
        <v>649.66999999999996</v>
      </c>
      <c r="S23" s="26">
        <v>649.66999999999996</v>
      </c>
      <c r="T23" s="27">
        <v>649.66999999999996</v>
      </c>
      <c r="U23" s="24"/>
      <c r="V23" s="24"/>
      <c r="W23" s="24"/>
      <c r="X23" s="24"/>
      <c r="Y23" s="24"/>
      <c r="Z23" s="23"/>
    </row>
    <row r="24" spans="1:28" ht="12.75" customHeight="1" x14ac:dyDescent="0.25">
      <c r="A24" s="19" t="s">
        <v>21</v>
      </c>
      <c r="B24" s="20">
        <v>8.83</v>
      </c>
      <c r="C24" s="33">
        <v>8.98</v>
      </c>
      <c r="D24" s="33">
        <v>9.26</v>
      </c>
      <c r="E24" s="33">
        <v>9.85</v>
      </c>
      <c r="F24" s="33">
        <v>13.92</v>
      </c>
      <c r="G24" s="33">
        <v>24.76</v>
      </c>
      <c r="H24" s="33">
        <v>35.5</v>
      </c>
      <c r="I24" s="33">
        <v>36.74</v>
      </c>
      <c r="J24" s="33">
        <v>44.88</v>
      </c>
      <c r="K24" s="33">
        <v>57.57</v>
      </c>
      <c r="L24" s="21">
        <v>64.52</v>
      </c>
      <c r="M24" s="22">
        <v>66.94</v>
      </c>
      <c r="N24" s="23">
        <v>4625.6400000000003</v>
      </c>
      <c r="O24" s="24">
        <v>4632.3599999999997</v>
      </c>
      <c r="P24" s="24">
        <v>4650.3999999999996</v>
      </c>
      <c r="Q24" s="24">
        <v>4661.29</v>
      </c>
      <c r="R24" s="26">
        <v>4672.45</v>
      </c>
      <c r="S24" s="26">
        <v>4682.45</v>
      </c>
      <c r="T24" s="26">
        <v>4690.8999999999996</v>
      </c>
      <c r="U24" s="24"/>
      <c r="V24" s="24"/>
      <c r="W24" s="24"/>
      <c r="X24" s="24"/>
      <c r="Y24" s="24"/>
      <c r="Z24" s="23"/>
    </row>
    <row r="25" spans="1:28" ht="12.75" hidden="1" customHeight="1" x14ac:dyDescent="0.25">
      <c r="A25" s="19" t="s">
        <v>22</v>
      </c>
      <c r="B25" s="20">
        <v>94.22</v>
      </c>
      <c r="C25" s="21">
        <v>101.26</v>
      </c>
      <c r="D25" s="21">
        <v>107.65</v>
      </c>
      <c r="E25" s="21">
        <v>113.38</v>
      </c>
      <c r="F25" s="21">
        <v>119.26</v>
      </c>
      <c r="G25" s="21">
        <v>124.22</v>
      </c>
      <c r="H25" s="21">
        <v>130.05000000000001</v>
      </c>
      <c r="I25" s="21">
        <v>133.35</v>
      </c>
      <c r="J25" s="21">
        <v>137.03</v>
      </c>
      <c r="K25" s="21">
        <v>141.87</v>
      </c>
      <c r="L25" s="21">
        <v>145.16999999999999</v>
      </c>
      <c r="M25" s="22">
        <v>146.28</v>
      </c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3"/>
    </row>
    <row r="26" spans="1:28" ht="12.75" customHeight="1" x14ac:dyDescent="0.25">
      <c r="A26" s="19" t="s">
        <v>23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2"/>
      <c r="N26" s="23">
        <v>4370.43</v>
      </c>
      <c r="O26" s="24">
        <v>4371.1899999999996</v>
      </c>
      <c r="P26" s="32">
        <v>4384.3900000000003</v>
      </c>
      <c r="Q26" s="32">
        <v>4411.1899999999996</v>
      </c>
      <c r="R26" s="26">
        <v>4428.71</v>
      </c>
      <c r="S26" s="26">
        <v>4448.74</v>
      </c>
      <c r="T26" s="34">
        <v>4464.78</v>
      </c>
      <c r="U26" s="24"/>
      <c r="V26" s="24"/>
      <c r="W26" s="24"/>
      <c r="X26" s="24"/>
      <c r="Y26" s="24"/>
      <c r="Z26" s="23"/>
    </row>
    <row r="27" spans="1:28" ht="12.75" customHeight="1" x14ac:dyDescent="0.25">
      <c r="A27" s="19" t="s">
        <v>24</v>
      </c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30"/>
      <c r="N27" s="23">
        <v>5560.31</v>
      </c>
      <c r="O27" s="24">
        <v>5603.77</v>
      </c>
      <c r="P27" s="24">
        <v>5651.15</v>
      </c>
      <c r="Q27" s="24">
        <v>5669.39</v>
      </c>
      <c r="R27" s="26">
        <v>5678.47</v>
      </c>
      <c r="S27" s="26">
        <v>5692.42</v>
      </c>
      <c r="T27" s="26">
        <v>5696.88</v>
      </c>
      <c r="U27" s="24"/>
      <c r="V27" s="24"/>
      <c r="W27" s="24"/>
      <c r="X27" s="24"/>
      <c r="Y27" s="24"/>
      <c r="Z27" s="23"/>
    </row>
    <row r="28" spans="1:28" ht="12.75" customHeight="1" x14ac:dyDescent="0.25">
      <c r="A28" s="19" t="s">
        <v>25</v>
      </c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30"/>
      <c r="N28" s="23">
        <v>846.46</v>
      </c>
      <c r="O28" s="24">
        <v>847.25</v>
      </c>
      <c r="P28" s="24">
        <v>847.32</v>
      </c>
      <c r="Q28" s="24">
        <v>848.11</v>
      </c>
      <c r="R28" s="26">
        <v>848.16</v>
      </c>
      <c r="S28" s="26">
        <v>848.66</v>
      </c>
      <c r="T28" s="26">
        <v>848.67</v>
      </c>
      <c r="U28" s="24"/>
      <c r="V28" s="24"/>
      <c r="W28" s="24"/>
      <c r="X28" s="24"/>
      <c r="Y28" s="24"/>
      <c r="Z28" s="23"/>
    </row>
    <row r="29" spans="1:28" ht="12.75" customHeight="1" x14ac:dyDescent="0.25">
      <c r="A29" s="19" t="s">
        <v>26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30"/>
      <c r="N29" s="23">
        <v>1149.4100000000001</v>
      </c>
      <c r="O29" s="35">
        <v>1149.4100000000001</v>
      </c>
      <c r="P29" s="24">
        <v>1149.4100000000001</v>
      </c>
      <c r="Q29" s="24">
        <v>1149.4100000000001</v>
      </c>
      <c r="R29" s="26">
        <v>1149.47</v>
      </c>
      <c r="S29" s="26">
        <v>1149.47</v>
      </c>
      <c r="T29" s="26">
        <v>1149.47</v>
      </c>
      <c r="U29" s="24"/>
      <c r="V29" s="24"/>
      <c r="W29" s="24"/>
      <c r="X29" s="24"/>
      <c r="Y29" s="24"/>
      <c r="Z29" s="23"/>
    </row>
    <row r="30" spans="1:28" ht="12.75" customHeight="1" x14ac:dyDescent="0.3">
      <c r="A30" s="19" t="s">
        <v>27</v>
      </c>
      <c r="B30" s="36">
        <v>37977</v>
      </c>
      <c r="C30" s="37">
        <v>38007</v>
      </c>
      <c r="D30" s="37">
        <v>38037</v>
      </c>
      <c r="E30" s="37">
        <v>38068</v>
      </c>
      <c r="F30" s="37">
        <v>38099</v>
      </c>
      <c r="G30" s="37">
        <v>38128</v>
      </c>
      <c r="H30" s="37">
        <v>38161</v>
      </c>
      <c r="I30" s="37">
        <v>38191</v>
      </c>
      <c r="J30" s="37">
        <v>38222</v>
      </c>
      <c r="K30" s="37">
        <v>38252</v>
      </c>
      <c r="L30" s="37">
        <v>38282</v>
      </c>
      <c r="M30" s="38">
        <v>38314</v>
      </c>
      <c r="N30" s="23">
        <v>9974.73</v>
      </c>
      <c r="O30" s="35">
        <v>10327.290000000001</v>
      </c>
      <c r="P30" s="35">
        <v>10638.01</v>
      </c>
      <c r="Q30" s="24">
        <v>10916.24</v>
      </c>
      <c r="R30" s="26">
        <v>11214.91</v>
      </c>
      <c r="S30" s="26">
        <v>11538.53</v>
      </c>
      <c r="T30" s="26">
        <v>11765.09</v>
      </c>
      <c r="U30" s="24"/>
      <c r="V30" s="24"/>
      <c r="W30" s="24"/>
      <c r="X30" s="24"/>
      <c r="Y30" s="24"/>
      <c r="Z30" s="23"/>
      <c r="AA30" s="9"/>
      <c r="AB30" s="9"/>
    </row>
    <row r="31" spans="1:28" ht="12.75" customHeight="1" x14ac:dyDescent="0.3">
      <c r="A31" s="19" t="s">
        <v>28</v>
      </c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  <c r="N31" s="23">
        <v>1267.6300000000001</v>
      </c>
      <c r="O31" s="24">
        <v>1298.47</v>
      </c>
      <c r="P31" s="35">
        <v>1328.02</v>
      </c>
      <c r="Q31" s="24">
        <v>1365.01</v>
      </c>
      <c r="R31" s="26">
        <v>1370.01</v>
      </c>
      <c r="S31" s="26">
        <v>1406.79</v>
      </c>
      <c r="T31" s="26">
        <v>1491.85</v>
      </c>
      <c r="U31" s="24"/>
      <c r="V31" s="24"/>
      <c r="W31" s="24"/>
      <c r="X31" s="24"/>
      <c r="Y31" s="24"/>
      <c r="Z31" s="23"/>
      <c r="AA31" s="9"/>
      <c r="AB31" s="9"/>
    </row>
    <row r="32" spans="1:28" ht="12.75" customHeight="1" x14ac:dyDescent="0.3">
      <c r="A32" s="39" t="s">
        <v>29</v>
      </c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2"/>
      <c r="N32" s="43">
        <v>2887.08</v>
      </c>
      <c r="O32" s="44">
        <v>2887.08</v>
      </c>
      <c r="P32" s="45">
        <v>2887.08</v>
      </c>
      <c r="Q32" s="46">
        <v>2887.08</v>
      </c>
      <c r="R32" s="47">
        <v>2887.08</v>
      </c>
      <c r="S32" s="47">
        <v>2887.08</v>
      </c>
      <c r="T32" s="47">
        <v>2887.08</v>
      </c>
      <c r="U32" s="46"/>
      <c r="V32" s="46"/>
      <c r="W32" s="46"/>
      <c r="X32" s="46"/>
      <c r="Y32" s="46"/>
      <c r="Z32" s="43"/>
      <c r="AA32" s="9"/>
      <c r="AB32" s="9"/>
    </row>
    <row r="33" spans="1:28" ht="12.75" customHeight="1" x14ac:dyDescent="0.25">
      <c r="A33" s="48" t="s">
        <v>30</v>
      </c>
      <c r="B33" s="49">
        <v>39030</v>
      </c>
      <c r="C33" s="50">
        <v>40343</v>
      </c>
      <c r="D33" s="50">
        <v>41383</v>
      </c>
      <c r="E33" s="50">
        <v>42362</v>
      </c>
      <c r="F33" s="50">
        <v>43384</v>
      </c>
      <c r="G33" s="50">
        <f>770+F33</f>
        <v>44154</v>
      </c>
      <c r="H33" s="50">
        <v>44974</v>
      </c>
      <c r="I33" s="50">
        <v>45817</v>
      </c>
      <c r="J33" s="50">
        <v>46625</v>
      </c>
      <c r="K33" s="50">
        <v>47637</v>
      </c>
      <c r="L33" s="50">
        <f>+K33+1029</f>
        <v>48666</v>
      </c>
      <c r="M33" s="51">
        <f>+L33+743</f>
        <v>49409</v>
      </c>
      <c r="O33" s="48"/>
      <c r="P33" s="48"/>
    </row>
    <row r="34" spans="1:28" ht="12.75" hidden="1" customHeight="1" x14ac:dyDescent="0.25">
      <c r="B34" s="52">
        <v>463.38</v>
      </c>
      <c r="C34" s="52">
        <v>575.41</v>
      </c>
      <c r="D34" s="52">
        <v>453.4</v>
      </c>
      <c r="E34" s="52">
        <v>424.76</v>
      </c>
      <c r="F34" s="52">
        <v>443.42</v>
      </c>
      <c r="G34" s="52">
        <v>334.09</v>
      </c>
      <c r="H34" s="52">
        <v>355.78</v>
      </c>
      <c r="I34" s="52">
        <v>365.77</v>
      </c>
      <c r="J34" s="52">
        <v>350.57</v>
      </c>
      <c r="K34" s="52">
        <v>490.53</v>
      </c>
      <c r="L34" s="52">
        <v>509.89</v>
      </c>
      <c r="M34" s="52">
        <v>366.89</v>
      </c>
      <c r="O34" s="53"/>
    </row>
    <row r="35" spans="1:28" ht="12.75" hidden="1" customHeight="1" x14ac:dyDescent="0.3">
      <c r="A35" s="1" t="s">
        <v>31</v>
      </c>
      <c r="D35" s="48"/>
      <c r="F35" s="48"/>
      <c r="G35" s="48"/>
      <c r="H35" s="48"/>
      <c r="K35" s="48"/>
    </row>
    <row r="36" spans="1:28" ht="12.75" hidden="1" customHeight="1" x14ac:dyDescent="0.3">
      <c r="A36" s="10" t="s">
        <v>32</v>
      </c>
      <c r="N36" s="54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4"/>
    </row>
    <row r="37" spans="1:28" ht="12.75" hidden="1" customHeight="1" x14ac:dyDescent="0.3">
      <c r="A37" s="39" t="s">
        <v>33</v>
      </c>
      <c r="B37" s="56">
        <v>37622</v>
      </c>
      <c r="C37" s="55">
        <v>37288</v>
      </c>
      <c r="D37" s="55">
        <v>37316</v>
      </c>
      <c r="E37" s="55">
        <v>37347</v>
      </c>
      <c r="F37" s="55">
        <v>38106</v>
      </c>
      <c r="G37" s="55">
        <v>38135</v>
      </c>
      <c r="H37" s="55">
        <v>38167</v>
      </c>
      <c r="I37" s="55">
        <v>37466</v>
      </c>
      <c r="J37" s="55">
        <v>38229</v>
      </c>
      <c r="K37" s="55">
        <v>38259</v>
      </c>
      <c r="L37" s="55">
        <v>38294</v>
      </c>
      <c r="M37" s="57">
        <v>38320</v>
      </c>
      <c r="N37" s="5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8"/>
    </row>
    <row r="38" spans="1:28" ht="12.75" hidden="1" customHeight="1" x14ac:dyDescent="0.25">
      <c r="B38" s="60">
        <v>5356.19</v>
      </c>
      <c r="C38" s="59">
        <v>5773.03</v>
      </c>
      <c r="D38" s="59">
        <v>5923.09</v>
      </c>
      <c r="E38" s="59">
        <v>6201.61</v>
      </c>
      <c r="F38" s="59">
        <v>6404.69</v>
      </c>
      <c r="G38" s="59">
        <v>6551.44</v>
      </c>
      <c r="H38" s="59">
        <v>6725.99</v>
      </c>
      <c r="I38" s="59">
        <v>6911.17</v>
      </c>
      <c r="J38" s="59">
        <v>7096.66</v>
      </c>
      <c r="K38" s="59">
        <v>7403.01</v>
      </c>
      <c r="L38" s="59">
        <v>7607.14</v>
      </c>
      <c r="M38" s="61">
        <v>7781.23</v>
      </c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8" ht="12.75" customHeight="1" x14ac:dyDescent="0.25">
      <c r="U39" s="62"/>
      <c r="V39" s="62"/>
      <c r="W39" s="48"/>
    </row>
    <row r="40" spans="1:28" ht="12.75" customHeight="1" x14ac:dyDescent="0.3">
      <c r="A40" s="1" t="s">
        <v>31</v>
      </c>
      <c r="I40" s="62"/>
    </row>
    <row r="41" spans="1:28" ht="12.75" customHeight="1" x14ac:dyDescent="0.3">
      <c r="A41" s="63" t="s">
        <v>34</v>
      </c>
      <c r="N41" s="64">
        <v>45289</v>
      </c>
      <c r="O41" s="65">
        <v>38381</v>
      </c>
      <c r="P41" s="7">
        <v>42429</v>
      </c>
      <c r="Q41" s="7">
        <v>38440</v>
      </c>
      <c r="R41" s="7">
        <v>38471</v>
      </c>
      <c r="S41" s="7">
        <v>38501</v>
      </c>
      <c r="T41" s="7">
        <v>38532</v>
      </c>
      <c r="U41" s="7">
        <v>38562</v>
      </c>
      <c r="V41" s="7">
        <v>38593</v>
      </c>
      <c r="W41" s="7">
        <v>38624</v>
      </c>
      <c r="X41" s="7">
        <v>38654</v>
      </c>
      <c r="Y41" s="8">
        <v>38685</v>
      </c>
      <c r="Z41" s="64">
        <v>45655</v>
      </c>
    </row>
    <row r="42" spans="1:28" ht="12.75" customHeight="1" x14ac:dyDescent="0.25">
      <c r="A42" s="10" t="s">
        <v>35</v>
      </c>
      <c r="N42" s="66">
        <v>57940.63</v>
      </c>
      <c r="O42" s="16">
        <v>58182.73</v>
      </c>
      <c r="P42" s="18">
        <v>58329.66</v>
      </c>
      <c r="Q42" s="18">
        <v>58479.69</v>
      </c>
      <c r="R42" s="17">
        <v>58613.279999999999</v>
      </c>
      <c r="S42" s="17">
        <v>58814.99</v>
      </c>
      <c r="T42" s="17">
        <v>58959.67</v>
      </c>
      <c r="U42" s="18"/>
      <c r="V42" s="18"/>
      <c r="W42" s="18"/>
      <c r="X42" s="67"/>
      <c r="Y42" s="67"/>
      <c r="Z42" s="66"/>
    </row>
    <row r="43" spans="1:28" ht="12.75" customHeight="1" x14ac:dyDescent="0.25">
      <c r="A43" s="19" t="s">
        <v>36</v>
      </c>
      <c r="N43" s="68">
        <v>1722.22</v>
      </c>
      <c r="O43" s="25">
        <v>1731.25</v>
      </c>
      <c r="P43" s="24">
        <v>1739.23</v>
      </c>
      <c r="Q43" s="24">
        <v>1768.28</v>
      </c>
      <c r="R43" s="26">
        <v>1770.05</v>
      </c>
      <c r="S43" s="26">
        <v>9.1999999999999993</v>
      </c>
      <c r="T43" s="26">
        <v>127.07</v>
      </c>
      <c r="U43" s="24"/>
      <c r="V43" s="24"/>
      <c r="W43" s="24"/>
      <c r="X43" s="69"/>
      <c r="Y43" s="69"/>
      <c r="Z43" s="68"/>
    </row>
    <row r="44" spans="1:28" ht="12.75" customHeight="1" x14ac:dyDescent="0.25">
      <c r="A44" s="39" t="s">
        <v>37</v>
      </c>
      <c r="N44" s="70">
        <v>2892.02</v>
      </c>
      <c r="O44" s="44">
        <v>2892.02</v>
      </c>
      <c r="P44" s="46">
        <v>2892.02</v>
      </c>
      <c r="Q44" s="46">
        <v>2892.02</v>
      </c>
      <c r="R44" s="47">
        <v>2892.02</v>
      </c>
      <c r="S44" s="47">
        <v>2892.02</v>
      </c>
      <c r="T44" s="47">
        <v>2892.02</v>
      </c>
      <c r="U44" s="46"/>
      <c r="V44" s="46"/>
      <c r="W44" s="46"/>
      <c r="X44" s="71"/>
      <c r="Y44" s="71"/>
      <c r="Z44" s="70"/>
      <c r="AB44" s="72"/>
    </row>
    <row r="45" spans="1:28" ht="12.75" customHeight="1" x14ac:dyDescent="0.3">
      <c r="B45" s="56">
        <v>37622</v>
      </c>
      <c r="C45" s="55">
        <v>37288</v>
      </c>
      <c r="D45" s="55">
        <v>37316</v>
      </c>
      <c r="E45" s="55">
        <v>37347</v>
      </c>
      <c r="F45" s="55">
        <v>38106</v>
      </c>
      <c r="G45" s="55">
        <v>38135</v>
      </c>
      <c r="H45" s="55">
        <v>38167</v>
      </c>
      <c r="I45" s="55">
        <v>37466</v>
      </c>
      <c r="J45" s="55">
        <v>38229</v>
      </c>
      <c r="K45" s="55">
        <v>38259</v>
      </c>
      <c r="L45" s="55">
        <v>38294</v>
      </c>
      <c r="M45" s="57">
        <v>38320</v>
      </c>
      <c r="N45" s="9"/>
      <c r="O45" s="9"/>
      <c r="P45" s="9"/>
      <c r="Q45" s="9"/>
      <c r="R45" s="9"/>
      <c r="S45" s="9"/>
      <c r="T45" s="9"/>
      <c r="U45" s="9"/>
      <c r="V45" s="62"/>
      <c r="W45" s="9"/>
      <c r="X45" s="9"/>
      <c r="Y45" s="9"/>
      <c r="AA45" s="9"/>
      <c r="AB45" s="72"/>
    </row>
    <row r="46" spans="1:28" ht="12.75" hidden="1" customHeight="1" x14ac:dyDescent="0.25">
      <c r="B46" s="28">
        <v>7065</v>
      </c>
      <c r="C46" s="29">
        <v>7533</v>
      </c>
      <c r="D46" s="29">
        <v>7871</v>
      </c>
      <c r="E46" s="29">
        <v>8287</v>
      </c>
      <c r="F46" s="29">
        <v>8678</v>
      </c>
      <c r="G46" s="29">
        <v>9077</v>
      </c>
      <c r="H46" s="29">
        <v>9454</v>
      </c>
      <c r="I46" s="29">
        <v>9790</v>
      </c>
      <c r="J46" s="29">
        <v>10161</v>
      </c>
      <c r="K46" s="29">
        <v>10571</v>
      </c>
      <c r="L46" s="29">
        <v>11010</v>
      </c>
      <c r="M46" s="29">
        <v>11387</v>
      </c>
      <c r="AB46" s="73">
        <v>1699.73</v>
      </c>
    </row>
    <row r="47" spans="1:28" ht="12.75" customHeight="1" x14ac:dyDescent="0.3">
      <c r="A47" s="1" t="s">
        <v>38</v>
      </c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28" ht="12.75" customHeight="1" x14ac:dyDescent="0.3">
      <c r="A48" s="63" t="s">
        <v>39</v>
      </c>
      <c r="B48" s="28">
        <v>5571</v>
      </c>
      <c r="C48" s="29">
        <v>5865</v>
      </c>
      <c r="D48" s="29">
        <v>6095</v>
      </c>
      <c r="E48" s="29">
        <v>6375</v>
      </c>
      <c r="F48" s="29">
        <v>6606</v>
      </c>
      <c r="G48" s="29">
        <v>6866</v>
      </c>
      <c r="H48" s="29">
        <v>7091</v>
      </c>
      <c r="I48" s="29">
        <v>7297</v>
      </c>
      <c r="J48" s="29">
        <v>7533</v>
      </c>
      <c r="K48" s="29">
        <v>7780</v>
      </c>
      <c r="L48" s="29">
        <v>8083</v>
      </c>
      <c r="M48" s="29">
        <v>8206</v>
      </c>
    </row>
    <row r="49" spans="1:26" ht="12.75" customHeight="1" x14ac:dyDescent="0.3">
      <c r="A49" s="74" t="s">
        <v>33</v>
      </c>
      <c r="B49" s="28">
        <v>18534</v>
      </c>
      <c r="C49" s="29">
        <v>19329</v>
      </c>
      <c r="D49" s="29">
        <v>19916</v>
      </c>
      <c r="E49" s="29">
        <v>20680</v>
      </c>
      <c r="F49" s="29">
        <v>21354</v>
      </c>
      <c r="G49" s="29">
        <v>22036</v>
      </c>
      <c r="H49" s="29">
        <v>22701</v>
      </c>
      <c r="I49" s="29">
        <v>23283</v>
      </c>
      <c r="J49" s="29">
        <v>23938</v>
      </c>
      <c r="K49" s="29">
        <v>24638</v>
      </c>
      <c r="L49" s="29">
        <v>25485</v>
      </c>
      <c r="M49" s="30">
        <v>26212</v>
      </c>
      <c r="N49" s="6">
        <v>45289</v>
      </c>
      <c r="O49" s="75">
        <v>38381</v>
      </c>
      <c r="P49" s="76">
        <v>42429</v>
      </c>
      <c r="Q49" s="76">
        <v>38440</v>
      </c>
      <c r="R49" s="7">
        <v>38471</v>
      </c>
      <c r="S49" s="7">
        <v>38501</v>
      </c>
      <c r="T49" s="7">
        <v>38532</v>
      </c>
      <c r="U49" s="7">
        <v>38562</v>
      </c>
      <c r="V49" s="7">
        <v>38593</v>
      </c>
      <c r="W49" s="7">
        <v>38624</v>
      </c>
      <c r="X49" s="7">
        <v>38654</v>
      </c>
      <c r="Y49" s="8">
        <v>38685</v>
      </c>
      <c r="Z49" s="6">
        <v>45655</v>
      </c>
    </row>
    <row r="50" spans="1:26" ht="12.75" hidden="1" customHeight="1" x14ac:dyDescent="0.25">
      <c r="A50" s="77" t="s">
        <v>40</v>
      </c>
      <c r="B50" s="60">
        <v>1234</v>
      </c>
      <c r="C50" s="59">
        <v>1278</v>
      </c>
      <c r="D50" s="59">
        <v>1308</v>
      </c>
      <c r="E50" s="59">
        <v>1387</v>
      </c>
      <c r="F50" s="59">
        <v>1447</v>
      </c>
      <c r="G50" s="59">
        <v>1492</v>
      </c>
      <c r="H50" s="59">
        <v>1525</v>
      </c>
      <c r="I50" s="59">
        <v>1554</v>
      </c>
      <c r="J50" s="59">
        <v>1592</v>
      </c>
      <c r="K50" s="59">
        <v>1635</v>
      </c>
      <c r="L50" s="59">
        <v>1740</v>
      </c>
      <c r="M50" s="61">
        <v>1876</v>
      </c>
      <c r="N50" s="78"/>
      <c r="O50" s="79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78"/>
    </row>
    <row r="51" spans="1:26" ht="12.75" customHeight="1" x14ac:dyDescent="0.25">
      <c r="A51" s="19" t="s">
        <v>41</v>
      </c>
      <c r="B51" s="81">
        <f t="shared" ref="B51:M51" si="0">+SUM(B46:B50)</f>
        <v>32404</v>
      </c>
      <c r="C51" s="82">
        <f t="shared" si="0"/>
        <v>34005</v>
      </c>
      <c r="D51" s="82">
        <f t="shared" si="0"/>
        <v>35190</v>
      </c>
      <c r="E51" s="82">
        <f t="shared" si="0"/>
        <v>36729</v>
      </c>
      <c r="F51" s="82">
        <f t="shared" si="0"/>
        <v>38085</v>
      </c>
      <c r="G51" s="82">
        <f t="shared" si="0"/>
        <v>39471</v>
      </c>
      <c r="H51" s="82">
        <f t="shared" si="0"/>
        <v>40771</v>
      </c>
      <c r="I51" s="83">
        <f t="shared" si="0"/>
        <v>41924</v>
      </c>
      <c r="J51" s="83">
        <f t="shared" si="0"/>
        <v>43224</v>
      </c>
      <c r="K51" s="83">
        <f t="shared" si="0"/>
        <v>44624</v>
      </c>
      <c r="L51" s="83">
        <f t="shared" si="0"/>
        <v>46318</v>
      </c>
      <c r="M51" s="84">
        <f t="shared" si="0"/>
        <v>47681</v>
      </c>
      <c r="N51" s="66">
        <v>0</v>
      </c>
      <c r="O51" s="85">
        <v>0</v>
      </c>
      <c r="P51" s="86">
        <v>0</v>
      </c>
      <c r="Q51" s="86">
        <v>0</v>
      </c>
      <c r="R51" s="87">
        <v>0</v>
      </c>
      <c r="S51" s="87">
        <v>0</v>
      </c>
      <c r="T51" s="88">
        <v>0</v>
      </c>
      <c r="U51" s="67"/>
      <c r="V51" s="67"/>
      <c r="W51" s="67"/>
      <c r="X51" s="67"/>
      <c r="Y51" s="67"/>
      <c r="Z51" s="66"/>
    </row>
    <row r="52" spans="1:26" ht="12.75" customHeight="1" x14ac:dyDescent="0.25">
      <c r="A52" s="19" t="s">
        <v>42</v>
      </c>
      <c r="B52" s="89">
        <v>294.14</v>
      </c>
      <c r="C52" s="90">
        <v>284.89999999999998</v>
      </c>
      <c r="D52" s="90">
        <v>295.95999999999998</v>
      </c>
      <c r="E52" s="90">
        <v>269.12</v>
      </c>
      <c r="F52" s="90">
        <v>295.32</v>
      </c>
      <c r="G52" s="90">
        <v>275.36</v>
      </c>
      <c r="H52" s="90">
        <v>267.54000000000002</v>
      </c>
      <c r="I52" s="90">
        <v>235.87</v>
      </c>
      <c r="J52" s="90">
        <v>235.47</v>
      </c>
      <c r="K52" s="90">
        <v>295.39</v>
      </c>
      <c r="L52" s="90">
        <v>313.58</v>
      </c>
      <c r="M52" s="91">
        <v>389.91</v>
      </c>
      <c r="N52" s="68">
        <v>36885</v>
      </c>
      <c r="O52" s="92">
        <v>36923</v>
      </c>
      <c r="P52" s="93">
        <v>36926</v>
      </c>
      <c r="Q52" s="93">
        <v>36929</v>
      </c>
      <c r="R52" s="94">
        <v>36929</v>
      </c>
      <c r="S52" s="94">
        <v>36930</v>
      </c>
      <c r="T52" s="95">
        <v>36934</v>
      </c>
      <c r="U52" s="69"/>
      <c r="V52" s="69"/>
      <c r="W52" s="69"/>
      <c r="X52" s="69"/>
      <c r="Y52" s="69"/>
      <c r="Z52" s="68"/>
    </row>
    <row r="53" spans="1:26" ht="12.75" customHeight="1" x14ac:dyDescent="0.25">
      <c r="A53" s="19" t="s">
        <v>43</v>
      </c>
      <c r="B53" s="96">
        <v>37977</v>
      </c>
      <c r="C53" s="96">
        <v>38007</v>
      </c>
      <c r="D53" s="96">
        <v>38037</v>
      </c>
      <c r="E53" s="96">
        <v>38068</v>
      </c>
      <c r="F53" s="96">
        <v>38099</v>
      </c>
      <c r="G53" s="96">
        <v>38128</v>
      </c>
      <c r="H53" s="96">
        <v>38161</v>
      </c>
      <c r="I53" s="96">
        <v>38191</v>
      </c>
      <c r="J53" s="96">
        <v>38222</v>
      </c>
      <c r="K53" s="96">
        <v>38252</v>
      </c>
      <c r="L53" s="96">
        <v>38282</v>
      </c>
      <c r="M53" s="96">
        <v>38314</v>
      </c>
      <c r="N53" s="68">
        <v>72618</v>
      </c>
      <c r="O53" s="97">
        <v>72690</v>
      </c>
      <c r="P53" s="69">
        <v>72740</v>
      </c>
      <c r="Q53" s="98">
        <v>72847</v>
      </c>
      <c r="R53" s="99">
        <v>72869</v>
      </c>
      <c r="S53" s="95">
        <v>72942</v>
      </c>
      <c r="T53" s="95">
        <v>73278</v>
      </c>
      <c r="U53" s="69"/>
      <c r="V53" s="69"/>
      <c r="W53" s="69"/>
      <c r="X53" s="69"/>
      <c r="Y53" s="69"/>
      <c r="Z53" s="68"/>
    </row>
    <row r="54" spans="1:26" ht="12.75" customHeight="1" x14ac:dyDescent="0.25">
      <c r="A54" s="19" t="s">
        <v>44</v>
      </c>
      <c r="C54" s="48"/>
      <c r="D54" s="48"/>
      <c r="E54" s="48"/>
      <c r="F54" s="100"/>
      <c r="G54" s="100"/>
      <c r="N54" s="68">
        <v>36495</v>
      </c>
      <c r="O54" s="97">
        <v>36497</v>
      </c>
      <c r="P54" s="69">
        <v>36508</v>
      </c>
      <c r="Q54" s="69">
        <v>36525</v>
      </c>
      <c r="R54" s="95">
        <v>36546</v>
      </c>
      <c r="S54" s="95">
        <v>36566</v>
      </c>
      <c r="T54" s="95">
        <v>36616</v>
      </c>
      <c r="U54" s="69"/>
      <c r="V54" s="69"/>
      <c r="W54" s="69"/>
      <c r="X54" s="69"/>
      <c r="Y54" s="69"/>
      <c r="Z54" s="68"/>
    </row>
    <row r="55" spans="1:26" ht="12.75" hidden="1" customHeight="1" x14ac:dyDescent="0.25">
      <c r="A55" s="19" t="s">
        <v>45</v>
      </c>
      <c r="D55" s="48"/>
      <c r="F55" s="101"/>
      <c r="G55" s="101"/>
      <c r="N55" s="68"/>
      <c r="O55" s="102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8"/>
    </row>
    <row r="56" spans="1:26" ht="12.75" hidden="1" customHeight="1" x14ac:dyDescent="0.25">
      <c r="A56" s="19" t="s">
        <v>46</v>
      </c>
      <c r="N56" s="103"/>
      <c r="O56" s="104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3"/>
    </row>
    <row r="57" spans="1:26" ht="12.75" customHeight="1" x14ac:dyDescent="0.25">
      <c r="A57" s="19" t="s">
        <v>47</v>
      </c>
      <c r="C57" s="48"/>
      <c r="D57" s="48"/>
      <c r="E57" s="48"/>
      <c r="F57" s="100"/>
      <c r="G57" s="100"/>
      <c r="N57" s="68">
        <v>307197</v>
      </c>
      <c r="O57" s="97">
        <v>309553</v>
      </c>
      <c r="P57" s="69">
        <v>310836</v>
      </c>
      <c r="Q57" s="69">
        <v>311841</v>
      </c>
      <c r="R57" s="95">
        <v>313491</v>
      </c>
      <c r="S57" s="95">
        <v>314988</v>
      </c>
      <c r="T57" s="95">
        <v>316356</v>
      </c>
      <c r="U57" s="69"/>
      <c r="V57" s="69"/>
      <c r="W57" s="69"/>
      <c r="X57" s="69"/>
      <c r="Y57" s="69"/>
      <c r="Z57" s="68"/>
    </row>
    <row r="58" spans="1:26" ht="12.75" customHeight="1" x14ac:dyDescent="0.25">
      <c r="A58" s="19" t="s">
        <v>48</v>
      </c>
      <c r="N58" s="68">
        <v>0</v>
      </c>
      <c r="O58" s="97">
        <v>0</v>
      </c>
      <c r="P58" s="69">
        <v>0</v>
      </c>
      <c r="Q58" s="69">
        <v>0</v>
      </c>
      <c r="R58" s="95">
        <v>0</v>
      </c>
      <c r="S58" s="95">
        <v>0</v>
      </c>
      <c r="T58" s="95">
        <v>0</v>
      </c>
      <c r="U58" s="69"/>
      <c r="V58" s="69"/>
      <c r="W58" s="69"/>
      <c r="X58" s="69"/>
      <c r="Y58" s="69"/>
      <c r="Z58" s="68"/>
    </row>
    <row r="59" spans="1:26" ht="12.75" customHeight="1" x14ac:dyDescent="0.25">
      <c r="A59" s="106" t="s">
        <v>49</v>
      </c>
      <c r="N59" s="68">
        <v>329298</v>
      </c>
      <c r="O59" s="107">
        <v>338180</v>
      </c>
      <c r="P59" s="69">
        <v>343982</v>
      </c>
      <c r="Q59" s="69">
        <v>349644</v>
      </c>
      <c r="R59" s="95">
        <v>354887</v>
      </c>
      <c r="S59" s="95">
        <v>362345</v>
      </c>
      <c r="T59" s="95">
        <v>367277</v>
      </c>
      <c r="U59" s="69"/>
      <c r="V59" s="80"/>
      <c r="W59" s="69"/>
      <c r="X59" s="69"/>
      <c r="Y59" s="80"/>
      <c r="Z59" s="68"/>
    </row>
    <row r="60" spans="1:26" ht="12.75" customHeight="1" x14ac:dyDescent="0.25">
      <c r="A60" s="106" t="s">
        <v>50</v>
      </c>
      <c r="N60" s="68">
        <v>632593</v>
      </c>
      <c r="O60" s="107">
        <v>633176</v>
      </c>
      <c r="P60" s="69">
        <v>633545</v>
      </c>
      <c r="Q60" s="69">
        <v>634604</v>
      </c>
      <c r="R60" s="95">
        <v>634768</v>
      </c>
      <c r="S60" s="95">
        <v>635442</v>
      </c>
      <c r="T60" s="95">
        <v>638763</v>
      </c>
      <c r="U60" s="69"/>
      <c r="V60" s="69"/>
      <c r="W60" s="69"/>
      <c r="X60" s="69"/>
      <c r="Y60" s="69"/>
      <c r="Z60" s="68"/>
    </row>
    <row r="61" spans="1:26" ht="12.75" customHeight="1" x14ac:dyDescent="0.25">
      <c r="A61" s="39" t="s">
        <v>51</v>
      </c>
      <c r="C61" s="48"/>
      <c r="D61" s="48"/>
      <c r="E61" s="48"/>
      <c r="F61" s="100"/>
      <c r="G61" s="100"/>
      <c r="N61" s="70">
        <v>240652</v>
      </c>
      <c r="O61" s="108">
        <v>240652</v>
      </c>
      <c r="P61" s="71">
        <v>240652</v>
      </c>
      <c r="Q61" s="71">
        <v>240652</v>
      </c>
      <c r="R61" s="109">
        <v>240652</v>
      </c>
      <c r="S61" s="109">
        <v>240652</v>
      </c>
      <c r="T61" s="109">
        <v>240652</v>
      </c>
      <c r="U61" s="71"/>
      <c r="V61" s="71"/>
      <c r="W61" s="71"/>
      <c r="X61" s="71"/>
      <c r="Y61" s="71"/>
      <c r="Z61" s="70"/>
    </row>
    <row r="62" spans="1:26" ht="12.75" customHeight="1" x14ac:dyDescent="0.25">
      <c r="R62" s="48"/>
      <c r="U62" s="72"/>
      <c r="W62" s="48"/>
      <c r="Z62" s="72"/>
    </row>
    <row r="63" spans="1:26" ht="12.75" customHeight="1" x14ac:dyDescent="0.25">
      <c r="U63" s="72"/>
      <c r="Z63" s="110"/>
    </row>
    <row r="64" spans="1:26" ht="12.75" customHeight="1" x14ac:dyDescent="0.25">
      <c r="Q64" s="48"/>
      <c r="Y64" s="48"/>
    </row>
    <row r="65" spans="1:17" ht="12.75" customHeight="1" x14ac:dyDescent="0.25">
      <c r="A65" s="48" t="s">
        <v>52</v>
      </c>
      <c r="Q65" s="48"/>
    </row>
    <row r="66" spans="1:17" ht="12.75" customHeight="1" x14ac:dyDescent="0.25"/>
    <row r="67" spans="1:17" ht="12.75" customHeight="1" x14ac:dyDescent="0.25"/>
    <row r="68" spans="1:17" ht="12.75" customHeight="1" x14ac:dyDescent="0.25"/>
    <row r="69" spans="1:17" ht="12.75" customHeight="1" x14ac:dyDescent="0.25"/>
    <row r="70" spans="1:17" ht="12.75" customHeight="1" x14ac:dyDescent="0.25"/>
    <row r="71" spans="1:17" ht="12.75" customHeight="1" x14ac:dyDescent="0.25"/>
    <row r="72" spans="1:17" ht="12.75" customHeight="1" x14ac:dyDescent="0.25"/>
    <row r="73" spans="1:17" ht="12.75" customHeight="1" x14ac:dyDescent="0.25"/>
    <row r="74" spans="1:17" ht="12.75" customHeight="1" x14ac:dyDescent="0.25"/>
    <row r="75" spans="1:17" ht="12.75" customHeight="1" x14ac:dyDescent="0.25"/>
    <row r="76" spans="1:17" ht="12.75" customHeight="1" x14ac:dyDescent="0.25"/>
    <row r="77" spans="1:17" ht="12.75" customHeight="1" x14ac:dyDescent="0.25"/>
    <row r="78" spans="1:17" ht="12.75" customHeight="1" x14ac:dyDescent="0.25"/>
    <row r="79" spans="1:17" ht="12.75" customHeight="1" x14ac:dyDescent="0.25"/>
    <row r="80" spans="1:17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rintOptions horizontalCentered="1"/>
  <pageMargins left="0" right="0" top="0.98425196850393704" bottom="0.98425196850393704" header="0" footer="0"/>
  <pageSetup paperSize="9" orientation="landscape"/>
  <headerFooter>
    <oddHeader>&amp;CDADOS LEITURA DA ÁGUA 2023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36.90625" customWidth="1"/>
    <col min="2" max="2" width="15.453125" hidden="1" customWidth="1"/>
    <col min="3" max="4" width="16.08984375" hidden="1" customWidth="1"/>
    <col min="5" max="9" width="16.453125" hidden="1" customWidth="1"/>
    <col min="10" max="10" width="17.6328125" hidden="1" customWidth="1"/>
    <col min="11" max="11" width="15.453125" hidden="1" customWidth="1"/>
    <col min="12" max="12" width="14.90625" hidden="1" customWidth="1"/>
    <col min="13" max="13" width="15.6328125" hidden="1" customWidth="1"/>
    <col min="14" max="14" width="9.6328125" customWidth="1"/>
    <col min="15" max="24" width="10.6328125" customWidth="1"/>
    <col min="25" max="25" width="12" customWidth="1"/>
    <col min="26" max="26" width="8.453125" customWidth="1"/>
  </cols>
  <sheetData>
    <row r="1" spans="1:26" ht="12.75" customHeight="1" x14ac:dyDescent="0.25">
      <c r="A1" s="469" t="s">
        <v>233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0"/>
      <c r="V1" s="450"/>
      <c r="W1" s="450"/>
      <c r="X1" s="450"/>
      <c r="Y1" s="451"/>
    </row>
    <row r="2" spans="1:26" ht="12.75" customHeight="1" x14ac:dyDescent="0.3">
      <c r="A2" s="2"/>
      <c r="B2" s="3">
        <v>37622</v>
      </c>
      <c r="C2" s="4">
        <v>37288</v>
      </c>
      <c r="D2" s="4">
        <v>37316</v>
      </c>
      <c r="E2" s="4">
        <v>37347</v>
      </c>
      <c r="F2" s="4">
        <v>38106</v>
      </c>
      <c r="G2" s="4">
        <v>38135</v>
      </c>
      <c r="H2" s="4">
        <v>38167</v>
      </c>
      <c r="I2" s="4">
        <v>37466</v>
      </c>
      <c r="J2" s="4">
        <v>38229</v>
      </c>
      <c r="K2" s="4">
        <v>38259</v>
      </c>
      <c r="L2" s="4">
        <v>37563</v>
      </c>
      <c r="M2" s="4">
        <v>37589</v>
      </c>
      <c r="N2" s="4">
        <v>38381</v>
      </c>
      <c r="O2" s="4">
        <v>38411</v>
      </c>
      <c r="P2" s="4">
        <v>38440</v>
      </c>
      <c r="Q2" s="4">
        <v>38471</v>
      </c>
      <c r="R2" s="4">
        <v>38501</v>
      </c>
      <c r="S2" s="4">
        <v>38532</v>
      </c>
      <c r="T2" s="4">
        <v>38562</v>
      </c>
      <c r="U2" s="4">
        <v>38593</v>
      </c>
      <c r="V2" s="4">
        <v>38624</v>
      </c>
      <c r="W2" s="4">
        <v>38654</v>
      </c>
      <c r="X2" s="5">
        <v>38685</v>
      </c>
      <c r="Y2" s="6">
        <v>40541</v>
      </c>
      <c r="Z2" s="9"/>
    </row>
    <row r="3" spans="1:26" ht="22.5" customHeight="1" x14ac:dyDescent="0.25">
      <c r="A3" s="396" t="s">
        <v>1</v>
      </c>
      <c r="B3" s="12">
        <v>7230</v>
      </c>
      <c r="C3" s="12">
        <v>7433.1</v>
      </c>
      <c r="D3" s="12">
        <v>7552.8</v>
      </c>
      <c r="E3" s="12">
        <v>7769.7</v>
      </c>
      <c r="F3" s="12">
        <v>7921</v>
      </c>
      <c r="G3" s="12">
        <v>8050.6</v>
      </c>
      <c r="H3" s="12">
        <v>8180.9</v>
      </c>
      <c r="I3" s="12">
        <v>8297.5</v>
      </c>
      <c r="J3" s="12">
        <v>8431.9</v>
      </c>
      <c r="K3" s="12">
        <v>8574.2000000000007</v>
      </c>
      <c r="L3" s="12">
        <v>8723.2999999999993</v>
      </c>
      <c r="M3" s="12">
        <v>8837.2000000000007</v>
      </c>
      <c r="N3" s="18">
        <v>6835.9</v>
      </c>
      <c r="O3" s="18">
        <v>6940.8</v>
      </c>
      <c r="P3" s="18">
        <v>7057.1</v>
      </c>
      <c r="Q3" s="18">
        <v>7177.7</v>
      </c>
      <c r="R3" s="18">
        <v>7301.8</v>
      </c>
      <c r="S3" s="18">
        <v>7405.3</v>
      </c>
      <c r="T3" s="18">
        <v>7508.9</v>
      </c>
      <c r="U3" s="18">
        <v>7660</v>
      </c>
      <c r="V3" s="18">
        <v>7761.07</v>
      </c>
      <c r="W3" s="18">
        <v>7889.7</v>
      </c>
      <c r="X3" s="397">
        <v>8018.9</v>
      </c>
      <c r="Y3" s="398">
        <v>8173.8</v>
      </c>
    </row>
    <row r="4" spans="1:26" ht="22.5" customHeight="1" x14ac:dyDescent="0.25">
      <c r="A4" s="399" t="s">
        <v>234</v>
      </c>
      <c r="B4" s="21">
        <v>759.34</v>
      </c>
      <c r="C4" s="21">
        <v>836.95</v>
      </c>
      <c r="D4" s="21">
        <v>866.98</v>
      </c>
      <c r="E4" s="21">
        <v>930.13</v>
      </c>
      <c r="F4" s="21">
        <v>946.82</v>
      </c>
      <c r="G4" s="21">
        <v>959.66</v>
      </c>
      <c r="H4" s="21">
        <v>977.92</v>
      </c>
      <c r="I4" s="21">
        <v>1009.44</v>
      </c>
      <c r="J4" s="21">
        <v>1021.74</v>
      </c>
      <c r="K4" s="21">
        <v>1096.8499999999999</v>
      </c>
      <c r="L4" s="21">
        <v>1110.49</v>
      </c>
      <c r="M4" s="21">
        <v>1127.83</v>
      </c>
      <c r="N4" s="24">
        <v>3391.89</v>
      </c>
      <c r="O4" s="24">
        <v>3436.71</v>
      </c>
      <c r="P4" s="24">
        <v>3498.03</v>
      </c>
      <c r="Q4" s="24">
        <v>3552.12</v>
      </c>
      <c r="R4" s="24">
        <v>3645.45</v>
      </c>
      <c r="S4" s="24">
        <v>3685.63</v>
      </c>
      <c r="T4" s="24">
        <v>3703.11</v>
      </c>
      <c r="U4" s="24">
        <v>3731.12</v>
      </c>
      <c r="V4" s="24">
        <v>3831.85</v>
      </c>
      <c r="W4" s="24">
        <v>3861.42</v>
      </c>
      <c r="X4" s="400">
        <v>3874.38</v>
      </c>
      <c r="Y4" s="401">
        <v>3892.15</v>
      </c>
    </row>
    <row r="5" spans="1:26" ht="22.5" customHeight="1" x14ac:dyDescent="0.25">
      <c r="A5" s="399" t="s">
        <v>235</v>
      </c>
      <c r="B5" s="21">
        <v>1354.98</v>
      </c>
      <c r="C5" s="21">
        <v>1382.27</v>
      </c>
      <c r="D5" s="21">
        <v>1404.47</v>
      </c>
      <c r="E5" s="21">
        <v>1448.72</v>
      </c>
      <c r="F5" s="21">
        <v>1503.07</v>
      </c>
      <c r="G5" s="21">
        <v>1548.23</v>
      </c>
      <c r="H5" s="21">
        <v>1620</v>
      </c>
      <c r="I5" s="21">
        <v>1702.33</v>
      </c>
      <c r="J5" s="21">
        <v>1769.68</v>
      </c>
      <c r="K5" s="21">
        <v>1858.39</v>
      </c>
      <c r="L5" s="21">
        <v>1918.82</v>
      </c>
      <c r="M5" s="21">
        <v>2000.65</v>
      </c>
      <c r="N5" s="24">
        <v>4452.25</v>
      </c>
      <c r="O5" s="24">
        <v>4471.74</v>
      </c>
      <c r="P5" s="24">
        <v>4495.79</v>
      </c>
      <c r="Q5" s="24">
        <v>4536.5200000000004</v>
      </c>
      <c r="R5" s="24">
        <v>4584.79</v>
      </c>
      <c r="S5" s="24">
        <v>4605.6899999999996</v>
      </c>
      <c r="T5" s="24">
        <v>4660.55</v>
      </c>
      <c r="U5" s="24">
        <v>4691.96</v>
      </c>
      <c r="V5" s="24">
        <v>4721.9799999999996</v>
      </c>
      <c r="W5" s="24">
        <v>4757.75</v>
      </c>
      <c r="X5" s="400">
        <v>4782.8999999999996</v>
      </c>
      <c r="Y5" s="401">
        <v>4811.8500000000004</v>
      </c>
    </row>
    <row r="6" spans="1:26" ht="22.5" customHeight="1" x14ac:dyDescent="0.25">
      <c r="A6" s="399" t="s">
        <v>236</v>
      </c>
      <c r="B6" s="21">
        <v>508.69</v>
      </c>
      <c r="C6" s="21">
        <v>527.1</v>
      </c>
      <c r="D6" s="21">
        <v>550.66</v>
      </c>
      <c r="E6" s="21">
        <v>597.78</v>
      </c>
      <c r="F6" s="21">
        <v>622.20000000000005</v>
      </c>
      <c r="G6" s="21">
        <v>648.19000000000005</v>
      </c>
      <c r="H6" s="21">
        <v>672.71</v>
      </c>
      <c r="I6" s="21">
        <v>699.09</v>
      </c>
      <c r="J6" s="21">
        <v>720.38</v>
      </c>
      <c r="K6" s="21">
        <v>738.56</v>
      </c>
      <c r="L6" s="21">
        <v>760.08</v>
      </c>
      <c r="M6" s="21">
        <v>760.08</v>
      </c>
      <c r="N6" s="24">
        <v>3140.61</v>
      </c>
      <c r="O6" s="24">
        <v>3187.08</v>
      </c>
      <c r="P6" s="24">
        <v>3234.3</v>
      </c>
      <c r="Q6" s="24">
        <v>3274.2</v>
      </c>
      <c r="R6" s="24">
        <v>3337.38</v>
      </c>
      <c r="S6" s="24">
        <v>3404.08</v>
      </c>
      <c r="T6" s="24">
        <v>3527.35</v>
      </c>
      <c r="U6" s="24">
        <v>3575.13</v>
      </c>
      <c r="V6" s="24">
        <v>3630.21</v>
      </c>
      <c r="W6" s="24">
        <v>3698.85</v>
      </c>
      <c r="X6" s="400">
        <v>3744.09</v>
      </c>
      <c r="Y6" s="401">
        <v>3807.57</v>
      </c>
    </row>
    <row r="7" spans="1:26" ht="22.5" customHeight="1" x14ac:dyDescent="0.25">
      <c r="A7" s="399" t="s">
        <v>237</v>
      </c>
      <c r="B7" s="21">
        <v>1146.05</v>
      </c>
      <c r="C7" s="21">
        <v>1205.1099999999999</v>
      </c>
      <c r="D7" s="21">
        <v>1247.68</v>
      </c>
      <c r="E7" s="21">
        <v>1303.6099999999999</v>
      </c>
      <c r="F7" s="21">
        <v>1355.07</v>
      </c>
      <c r="G7" s="21">
        <v>1404.93</v>
      </c>
      <c r="H7" s="21">
        <v>1451.26</v>
      </c>
      <c r="I7" s="21">
        <v>1504.02</v>
      </c>
      <c r="J7" s="21">
        <v>1553.4</v>
      </c>
      <c r="K7" s="21">
        <v>1607.84</v>
      </c>
      <c r="L7" s="21">
        <v>1661.58</v>
      </c>
      <c r="M7" s="21">
        <v>1705.81</v>
      </c>
      <c r="N7" s="24">
        <v>662.41</v>
      </c>
      <c r="O7" s="24">
        <v>670.1</v>
      </c>
      <c r="P7" s="24">
        <v>679.99</v>
      </c>
      <c r="Q7" s="24">
        <v>686.12</v>
      </c>
      <c r="R7" s="24">
        <v>691.77</v>
      </c>
      <c r="S7" s="24">
        <v>698.17</v>
      </c>
      <c r="T7" s="24">
        <v>705.24</v>
      </c>
      <c r="U7" s="24">
        <v>713.58</v>
      </c>
      <c r="V7" s="24">
        <v>720.69</v>
      </c>
      <c r="W7" s="24">
        <v>726.07</v>
      </c>
      <c r="X7" s="400">
        <v>732.13</v>
      </c>
      <c r="Y7" s="401">
        <v>746.08</v>
      </c>
    </row>
    <row r="8" spans="1:26" ht="22.5" customHeight="1" x14ac:dyDescent="0.25">
      <c r="A8" s="399" t="s">
        <v>238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4">
        <v>2863.34</v>
      </c>
      <c r="O8" s="24">
        <v>2863.34</v>
      </c>
      <c r="P8" s="24">
        <v>2863.34</v>
      </c>
      <c r="Q8" s="24">
        <v>2863.34</v>
      </c>
      <c r="R8" s="24">
        <v>2863.34</v>
      </c>
      <c r="S8" s="29">
        <v>2863.34</v>
      </c>
      <c r="T8" s="24">
        <v>2863.34</v>
      </c>
      <c r="U8" s="24">
        <v>2863.34</v>
      </c>
      <c r="V8" s="24">
        <v>2863.34</v>
      </c>
      <c r="W8" s="24">
        <v>2863.34</v>
      </c>
      <c r="X8" s="400">
        <v>2863.34</v>
      </c>
      <c r="Y8" s="401">
        <v>2863.34</v>
      </c>
    </row>
    <row r="9" spans="1:26" ht="22.5" customHeight="1" x14ac:dyDescent="0.25">
      <c r="A9" s="399" t="s">
        <v>239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4">
        <v>18.96</v>
      </c>
      <c r="O9" s="24">
        <v>19.61</v>
      </c>
      <c r="P9" s="24">
        <v>20.32</v>
      </c>
      <c r="Q9" s="24">
        <v>21.6</v>
      </c>
      <c r="R9" s="24">
        <v>21.8</v>
      </c>
      <c r="S9" s="29">
        <v>22.45</v>
      </c>
      <c r="T9" s="24">
        <v>23.23</v>
      </c>
      <c r="U9" s="24">
        <v>23.79</v>
      </c>
      <c r="V9" s="24">
        <v>24.72</v>
      </c>
      <c r="W9" s="24">
        <v>25.51</v>
      </c>
      <c r="X9" s="400">
        <v>25.81</v>
      </c>
      <c r="Y9" s="401">
        <v>26.46</v>
      </c>
    </row>
    <row r="10" spans="1:26" ht="22.5" customHeight="1" x14ac:dyDescent="0.25">
      <c r="A10" s="399" t="s">
        <v>240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4">
        <v>54.8</v>
      </c>
      <c r="O10" s="24">
        <v>64.95</v>
      </c>
      <c r="P10" s="24">
        <v>72.45</v>
      </c>
      <c r="Q10" s="24">
        <v>80.599999999999994</v>
      </c>
      <c r="R10" s="24">
        <v>85.76</v>
      </c>
      <c r="S10" s="29">
        <v>86.76</v>
      </c>
      <c r="T10" s="24">
        <v>87.33</v>
      </c>
      <c r="U10" s="24">
        <v>87.57</v>
      </c>
      <c r="V10" s="24">
        <v>88.41</v>
      </c>
      <c r="W10" s="24">
        <v>88.46</v>
      </c>
      <c r="X10" s="400">
        <v>88.82</v>
      </c>
      <c r="Y10" s="401">
        <v>93.87</v>
      </c>
    </row>
    <row r="11" spans="1:26" ht="22.5" customHeight="1" x14ac:dyDescent="0.25">
      <c r="A11" s="399" t="s">
        <v>241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4">
        <v>390.16</v>
      </c>
      <c r="O11" s="24">
        <v>390.66</v>
      </c>
      <c r="P11" s="24">
        <v>398.72</v>
      </c>
      <c r="Q11" s="24">
        <v>405.55</v>
      </c>
      <c r="R11" s="24">
        <v>408.55</v>
      </c>
      <c r="S11" s="29">
        <v>411.21</v>
      </c>
      <c r="T11" s="24">
        <v>412.84</v>
      </c>
      <c r="U11" s="24">
        <v>415.59</v>
      </c>
      <c r="V11" s="24">
        <v>418.31</v>
      </c>
      <c r="W11" s="24">
        <v>420.51</v>
      </c>
      <c r="X11" s="400">
        <v>423.97</v>
      </c>
      <c r="Y11" s="401" t="s">
        <v>242</v>
      </c>
    </row>
    <row r="12" spans="1:26" ht="22.5" customHeight="1" x14ac:dyDescent="0.25">
      <c r="A12" s="399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4">
        <v>8.24</v>
      </c>
      <c r="O12" s="24">
        <v>8.49</v>
      </c>
      <c r="P12" s="24">
        <v>8.6</v>
      </c>
      <c r="Q12" s="24">
        <v>8.7100000000000009</v>
      </c>
      <c r="R12" s="24">
        <v>8.75</v>
      </c>
      <c r="S12" s="29">
        <v>8.82</v>
      </c>
      <c r="T12" s="24">
        <v>8.84</v>
      </c>
      <c r="U12" s="24">
        <v>8.94</v>
      </c>
      <c r="V12" s="24">
        <v>9.0500000000000007</v>
      </c>
      <c r="W12" s="24">
        <v>9.08</v>
      </c>
      <c r="X12" s="400">
        <v>9.18</v>
      </c>
      <c r="Y12" s="401">
        <v>9.2200000000000006</v>
      </c>
    </row>
    <row r="13" spans="1:26" ht="22.5" customHeight="1" x14ac:dyDescent="0.25">
      <c r="A13" s="399" t="s">
        <v>243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4">
        <v>5.97</v>
      </c>
      <c r="O13" s="24">
        <v>6.29</v>
      </c>
      <c r="P13" s="24">
        <v>6.78</v>
      </c>
      <c r="Q13" s="24">
        <v>7.43</v>
      </c>
      <c r="R13" s="24">
        <v>7.95</v>
      </c>
      <c r="S13" s="29">
        <v>8.8000000000000007</v>
      </c>
      <c r="T13" s="24">
        <v>9.7799999999999994</v>
      </c>
      <c r="U13" s="24">
        <v>11.09</v>
      </c>
      <c r="V13" s="24">
        <v>11.88</v>
      </c>
      <c r="W13" s="24">
        <v>14.21</v>
      </c>
      <c r="X13" s="400">
        <v>14.29</v>
      </c>
      <c r="Y13" s="401">
        <v>15.46</v>
      </c>
    </row>
    <row r="14" spans="1:26" ht="22.5" customHeight="1" x14ac:dyDescent="0.25">
      <c r="A14" s="399" t="s">
        <v>244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4">
        <v>767.8</v>
      </c>
      <c r="O14" s="24">
        <v>782.6</v>
      </c>
      <c r="P14" s="24">
        <v>798.81</v>
      </c>
      <c r="Q14" s="24">
        <v>817.18</v>
      </c>
      <c r="R14" s="24">
        <v>834.33</v>
      </c>
      <c r="S14" s="29">
        <v>854.5</v>
      </c>
      <c r="T14" s="24">
        <v>877.5</v>
      </c>
      <c r="U14" s="24">
        <v>898.02</v>
      </c>
      <c r="V14" s="24">
        <v>913.54</v>
      </c>
      <c r="W14" s="24">
        <v>934.35</v>
      </c>
      <c r="X14" s="400">
        <v>958.76</v>
      </c>
      <c r="Y14" s="401">
        <v>978.15</v>
      </c>
    </row>
    <row r="15" spans="1:26" ht="22.5" customHeight="1" x14ac:dyDescent="0.25">
      <c r="A15" s="399" t="s">
        <v>245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>
        <v>628.45000000000005</v>
      </c>
      <c r="O15" s="24">
        <v>628.46</v>
      </c>
      <c r="P15" s="24">
        <v>628.80999999999995</v>
      </c>
      <c r="Q15" s="24">
        <v>628.80999999999995</v>
      </c>
      <c r="R15" s="24">
        <v>628.92999999999995</v>
      </c>
      <c r="S15" s="29">
        <v>628.99</v>
      </c>
      <c r="T15" s="24">
        <v>628.99</v>
      </c>
      <c r="U15" s="24">
        <v>628.24</v>
      </c>
      <c r="V15" s="24">
        <v>631.11</v>
      </c>
      <c r="W15" s="24">
        <v>631.41999999999996</v>
      </c>
      <c r="X15" s="400">
        <v>631.41999999999996</v>
      </c>
      <c r="Y15" s="401">
        <v>631.41999999999996</v>
      </c>
    </row>
    <row r="16" spans="1:26" ht="22.5" customHeight="1" x14ac:dyDescent="0.25">
      <c r="A16" s="399" t="s">
        <v>246</v>
      </c>
      <c r="B16" s="21">
        <v>899.74</v>
      </c>
      <c r="C16" s="21">
        <v>906.86</v>
      </c>
      <c r="D16" s="21">
        <v>918.95</v>
      </c>
      <c r="E16" s="21">
        <v>925.36</v>
      </c>
      <c r="F16" s="21">
        <v>945.68</v>
      </c>
      <c r="G16" s="21">
        <v>950.9</v>
      </c>
      <c r="H16" s="21">
        <v>964.62</v>
      </c>
      <c r="I16" s="21">
        <v>971.84</v>
      </c>
      <c r="J16" s="21">
        <v>982.5</v>
      </c>
      <c r="K16" s="21">
        <v>1016.27</v>
      </c>
      <c r="L16" s="21">
        <v>1025.05</v>
      </c>
      <c r="M16" s="21">
        <v>1029.24</v>
      </c>
      <c r="N16" s="24">
        <v>1688.84</v>
      </c>
      <c r="O16" s="24">
        <v>1798.78</v>
      </c>
      <c r="P16" s="24">
        <v>1800.5</v>
      </c>
      <c r="Q16" s="24">
        <v>1813.85</v>
      </c>
      <c r="R16" s="24">
        <v>1840.49</v>
      </c>
      <c r="S16" s="24">
        <v>1867.46</v>
      </c>
      <c r="T16" s="24">
        <v>1880.83</v>
      </c>
      <c r="U16" s="24">
        <v>1932.39</v>
      </c>
      <c r="V16" s="24">
        <v>2015.12</v>
      </c>
      <c r="W16" s="24">
        <v>2042.36</v>
      </c>
      <c r="X16" s="400">
        <v>2086.5</v>
      </c>
      <c r="Y16" s="401">
        <v>2140.13</v>
      </c>
    </row>
    <row r="17" spans="1:26" ht="22.5" customHeight="1" x14ac:dyDescent="0.25">
      <c r="A17" s="399" t="s">
        <v>22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400">
        <v>0</v>
      </c>
      <c r="Y17" s="401">
        <v>0</v>
      </c>
    </row>
    <row r="18" spans="1:26" ht="22.5" customHeight="1" x14ac:dyDescent="0.25">
      <c r="A18" s="399" t="s">
        <v>23</v>
      </c>
      <c r="B18" s="21">
        <v>284.10000000000002</v>
      </c>
      <c r="C18" s="21">
        <v>310.7</v>
      </c>
      <c r="D18" s="21">
        <v>331.78</v>
      </c>
      <c r="E18" s="21">
        <v>396.61</v>
      </c>
      <c r="F18" s="21">
        <v>455.99</v>
      </c>
      <c r="G18" s="21">
        <v>484.52</v>
      </c>
      <c r="H18" s="21">
        <v>510.93</v>
      </c>
      <c r="I18" s="21">
        <v>546.51</v>
      </c>
      <c r="J18" s="21">
        <v>584.65</v>
      </c>
      <c r="K18" s="21">
        <v>638.62</v>
      </c>
      <c r="L18" s="21">
        <v>680.75</v>
      </c>
      <c r="M18" s="21">
        <v>711.15</v>
      </c>
      <c r="N18" s="24">
        <v>2272.39</v>
      </c>
      <c r="O18" s="24">
        <v>2281.2199999999998</v>
      </c>
      <c r="P18" s="24">
        <v>2298.73</v>
      </c>
      <c r="Q18" s="24">
        <v>2331.58</v>
      </c>
      <c r="R18" s="24">
        <v>2350.2399999999998</v>
      </c>
      <c r="S18" s="24">
        <v>2366.25</v>
      </c>
      <c r="T18" s="24">
        <v>2376.92</v>
      </c>
      <c r="U18" s="24">
        <v>2394.08</v>
      </c>
      <c r="V18" s="24">
        <v>2415.2399999999998</v>
      </c>
      <c r="W18" s="24">
        <v>2432.56</v>
      </c>
      <c r="X18" s="400">
        <v>2462.33</v>
      </c>
      <c r="Y18" s="401">
        <v>2494.75</v>
      </c>
    </row>
    <row r="19" spans="1:26" ht="22.5" customHeight="1" x14ac:dyDescent="0.25">
      <c r="A19" s="399" t="s">
        <v>247</v>
      </c>
      <c r="B19" s="21">
        <v>126.4</v>
      </c>
      <c r="C19" s="21">
        <v>138.53</v>
      </c>
      <c r="D19" s="21">
        <v>147.53</v>
      </c>
      <c r="E19" s="21">
        <v>158.77000000000001</v>
      </c>
      <c r="F19" s="21">
        <v>163.9</v>
      </c>
      <c r="G19" s="21">
        <v>168.27</v>
      </c>
      <c r="H19" s="21">
        <v>177.02</v>
      </c>
      <c r="I19" s="21">
        <v>188.16</v>
      </c>
      <c r="J19" s="21">
        <v>205.76</v>
      </c>
      <c r="K19" s="21">
        <v>229.61</v>
      </c>
      <c r="L19" s="21">
        <v>248.02</v>
      </c>
      <c r="M19" s="21">
        <v>262.52</v>
      </c>
      <c r="N19" s="24">
        <v>1091.77</v>
      </c>
      <c r="O19" s="24">
        <v>1125.8599999999999</v>
      </c>
      <c r="P19" s="24">
        <v>1132.3</v>
      </c>
      <c r="Q19" s="24">
        <v>1139.68</v>
      </c>
      <c r="R19" s="24">
        <v>1149.07</v>
      </c>
      <c r="S19" s="24">
        <v>1160.75</v>
      </c>
      <c r="T19" s="24">
        <v>1166.0899999999999</v>
      </c>
      <c r="U19" s="24">
        <v>1172.17</v>
      </c>
      <c r="V19" s="24">
        <v>1188.0999999999999</v>
      </c>
      <c r="W19" s="24">
        <v>1192.81</v>
      </c>
      <c r="X19" s="400">
        <v>1198.25</v>
      </c>
      <c r="Y19" s="401">
        <v>1206.72</v>
      </c>
    </row>
    <row r="20" spans="1:26" ht="22.5" customHeight="1" x14ac:dyDescent="0.25">
      <c r="A20" s="399" t="s">
        <v>248</v>
      </c>
      <c r="B20" s="21">
        <v>8.83</v>
      </c>
      <c r="C20" s="33">
        <v>8.98</v>
      </c>
      <c r="D20" s="33">
        <v>9.26</v>
      </c>
      <c r="E20" s="33">
        <v>9.85</v>
      </c>
      <c r="F20" s="33">
        <v>13.92</v>
      </c>
      <c r="G20" s="33">
        <v>24.76</v>
      </c>
      <c r="H20" s="33">
        <v>35.5</v>
      </c>
      <c r="I20" s="33">
        <v>36.74</v>
      </c>
      <c r="J20" s="33">
        <v>44.88</v>
      </c>
      <c r="K20" s="33">
        <v>57.57</v>
      </c>
      <c r="L20" s="21">
        <v>64.52</v>
      </c>
      <c r="M20" s="21">
        <v>66.94</v>
      </c>
      <c r="N20" s="24">
        <v>451.32</v>
      </c>
      <c r="O20" s="24">
        <v>452.65</v>
      </c>
      <c r="P20" s="24">
        <v>454.86</v>
      </c>
      <c r="Q20" s="32">
        <v>455.55</v>
      </c>
      <c r="R20" s="24">
        <v>456.45</v>
      </c>
      <c r="S20" s="24">
        <v>457.42</v>
      </c>
      <c r="T20" s="24">
        <v>458.72</v>
      </c>
      <c r="U20" s="24">
        <v>458.84</v>
      </c>
      <c r="V20" s="24">
        <v>460.7</v>
      </c>
      <c r="W20" s="24">
        <v>477.68</v>
      </c>
      <c r="X20" s="400">
        <v>467.5</v>
      </c>
      <c r="Y20" s="401">
        <v>468.76</v>
      </c>
    </row>
    <row r="21" spans="1:26" ht="22.5" customHeight="1" x14ac:dyDescent="0.25">
      <c r="A21" s="399" t="s">
        <v>26</v>
      </c>
      <c r="B21" s="21">
        <v>94.22</v>
      </c>
      <c r="C21" s="21">
        <v>101.26</v>
      </c>
      <c r="D21" s="21">
        <v>107.65</v>
      </c>
      <c r="E21" s="21">
        <v>113.38</v>
      </c>
      <c r="F21" s="21">
        <v>119.26</v>
      </c>
      <c r="G21" s="21">
        <v>124.22</v>
      </c>
      <c r="H21" s="21">
        <v>130.05000000000001</v>
      </c>
      <c r="I21" s="21">
        <v>133.35</v>
      </c>
      <c r="J21" s="21">
        <v>137.03</v>
      </c>
      <c r="K21" s="21">
        <v>141.87</v>
      </c>
      <c r="L21" s="21">
        <v>145.16999999999999</v>
      </c>
      <c r="M21" s="21">
        <v>146.28</v>
      </c>
      <c r="N21" s="24">
        <v>590.15</v>
      </c>
      <c r="O21" s="24">
        <v>591.35</v>
      </c>
      <c r="P21" s="24">
        <v>594.35</v>
      </c>
      <c r="Q21" s="24">
        <v>597.12</v>
      </c>
      <c r="R21" s="24">
        <v>598.53</v>
      </c>
      <c r="S21" s="24">
        <v>599.63</v>
      </c>
      <c r="T21" s="24">
        <v>600.97</v>
      </c>
      <c r="U21" s="24">
        <v>605</v>
      </c>
      <c r="V21" s="24">
        <v>610.59</v>
      </c>
      <c r="W21" s="24">
        <v>610.9</v>
      </c>
      <c r="X21" s="400">
        <v>620.91</v>
      </c>
      <c r="Y21" s="401">
        <v>622.73</v>
      </c>
    </row>
    <row r="22" spans="1:26" ht="22.5" customHeight="1" x14ac:dyDescent="0.25">
      <c r="A22" s="402" t="s">
        <v>249</v>
      </c>
      <c r="B22" s="403"/>
      <c r="C22" s="403"/>
      <c r="D22" s="403"/>
      <c r="E22" s="403"/>
      <c r="F22" s="403"/>
      <c r="G22" s="403"/>
      <c r="H22" s="403"/>
      <c r="I22" s="403"/>
      <c r="J22" s="403"/>
      <c r="K22" s="403"/>
      <c r="L22" s="403"/>
      <c r="M22" s="403"/>
      <c r="N22" s="46">
        <v>1318.82</v>
      </c>
      <c r="O22" s="46">
        <v>1711.94</v>
      </c>
      <c r="P22" s="46">
        <v>1960.12</v>
      </c>
      <c r="Q22" s="46">
        <v>2179.4</v>
      </c>
      <c r="R22" s="46">
        <v>2597.75</v>
      </c>
      <c r="S22" s="46">
        <v>2930.53</v>
      </c>
      <c r="T22" s="46">
        <v>331.53</v>
      </c>
      <c r="U22" s="46">
        <v>3674.45</v>
      </c>
      <c r="V22" s="46">
        <v>4061.57</v>
      </c>
      <c r="W22" s="46">
        <v>4307.04</v>
      </c>
      <c r="X22" s="404">
        <v>4646.8</v>
      </c>
      <c r="Y22" s="405">
        <v>4987.3100000000004</v>
      </c>
    </row>
    <row r="23" spans="1:26" ht="12.75" customHeight="1" x14ac:dyDescent="0.3">
      <c r="A23" s="1"/>
      <c r="N23" s="46"/>
    </row>
    <row r="24" spans="1:26" ht="12.75" customHeight="1" x14ac:dyDescent="0.3">
      <c r="A24" s="406"/>
      <c r="B24" s="56">
        <v>37622</v>
      </c>
      <c r="C24" s="55">
        <v>37288</v>
      </c>
      <c r="D24" s="55">
        <v>37316</v>
      </c>
      <c r="E24" s="55">
        <v>37347</v>
      </c>
      <c r="F24" s="55">
        <v>38106</v>
      </c>
      <c r="G24" s="55">
        <v>38135</v>
      </c>
      <c r="H24" s="55">
        <v>38167</v>
      </c>
      <c r="I24" s="55">
        <v>37466</v>
      </c>
      <c r="J24" s="55">
        <v>38229</v>
      </c>
      <c r="K24" s="55">
        <v>38259</v>
      </c>
      <c r="L24" s="55">
        <v>38294</v>
      </c>
      <c r="M24" s="57">
        <v>38320</v>
      </c>
      <c r="N24" s="55">
        <v>38381</v>
      </c>
      <c r="O24" s="55">
        <v>38411</v>
      </c>
      <c r="P24" s="55">
        <v>38440</v>
      </c>
      <c r="Q24" s="55">
        <v>38471</v>
      </c>
      <c r="R24" s="55">
        <v>38501</v>
      </c>
      <c r="S24" s="55">
        <v>38532</v>
      </c>
      <c r="T24" s="55">
        <v>38562</v>
      </c>
      <c r="U24" s="55">
        <v>38593</v>
      </c>
      <c r="V24" s="55">
        <v>38624</v>
      </c>
      <c r="W24" s="55">
        <v>38654</v>
      </c>
      <c r="X24" s="55">
        <v>38685</v>
      </c>
      <c r="Y24" s="54">
        <v>40541</v>
      </c>
    </row>
    <row r="25" spans="1:26" ht="22.5" customHeight="1" x14ac:dyDescent="0.25">
      <c r="A25" s="39" t="s">
        <v>250</v>
      </c>
      <c r="B25" s="60">
        <v>5356.19</v>
      </c>
      <c r="C25" s="59">
        <v>5773.03</v>
      </c>
      <c r="D25" s="59">
        <v>5923.09</v>
      </c>
      <c r="E25" s="59">
        <v>6201.61</v>
      </c>
      <c r="F25" s="59">
        <v>6404.69</v>
      </c>
      <c r="G25" s="59">
        <v>6551.44</v>
      </c>
      <c r="H25" s="59">
        <v>6725.99</v>
      </c>
      <c r="I25" s="59">
        <v>6911.17</v>
      </c>
      <c r="J25" s="59">
        <v>7096.66</v>
      </c>
      <c r="K25" s="59">
        <v>7403.01</v>
      </c>
      <c r="L25" s="59">
        <v>7607.14</v>
      </c>
      <c r="M25" s="61">
        <v>7781.23</v>
      </c>
      <c r="N25" s="407">
        <v>18079.95</v>
      </c>
      <c r="O25" s="46">
        <v>18335.759999999998</v>
      </c>
      <c r="P25" s="46">
        <v>18495.939999999999</v>
      </c>
      <c r="Q25" s="46">
        <v>18669.84</v>
      </c>
      <c r="R25" s="46">
        <v>18927.88</v>
      </c>
      <c r="S25" s="46">
        <v>19136.25</v>
      </c>
      <c r="T25" s="46">
        <v>19388.310000000001</v>
      </c>
      <c r="U25" s="46">
        <v>19604.52</v>
      </c>
      <c r="V25" s="46">
        <v>19897.89</v>
      </c>
      <c r="W25" s="46">
        <v>20086.88</v>
      </c>
      <c r="X25" s="46">
        <v>20299.03</v>
      </c>
      <c r="Y25" s="43">
        <v>20547.79</v>
      </c>
    </row>
    <row r="26" spans="1:26" ht="12.75" customHeight="1" x14ac:dyDescent="0.3">
      <c r="A26" s="1"/>
    </row>
    <row r="27" spans="1:26" ht="12.75" customHeight="1" x14ac:dyDescent="0.3">
      <c r="A27" s="10" t="s">
        <v>251</v>
      </c>
      <c r="B27" s="56">
        <v>37622</v>
      </c>
      <c r="C27" s="55">
        <v>37288</v>
      </c>
      <c r="D27" s="55">
        <v>37316</v>
      </c>
      <c r="E27" s="55">
        <v>37347</v>
      </c>
      <c r="F27" s="55">
        <v>38106</v>
      </c>
      <c r="G27" s="55">
        <v>38135</v>
      </c>
      <c r="H27" s="55">
        <v>38167</v>
      </c>
      <c r="I27" s="55">
        <v>37466</v>
      </c>
      <c r="J27" s="55">
        <v>38229</v>
      </c>
      <c r="K27" s="55">
        <v>38259</v>
      </c>
      <c r="L27" s="55">
        <v>38294</v>
      </c>
      <c r="M27" s="57">
        <v>38320</v>
      </c>
      <c r="N27" s="408">
        <v>38381</v>
      </c>
      <c r="O27" s="408">
        <v>38411</v>
      </c>
      <c r="P27" s="408">
        <v>38440</v>
      </c>
      <c r="Q27" s="408">
        <v>38471</v>
      </c>
      <c r="R27" s="408">
        <v>38501</v>
      </c>
      <c r="S27" s="408">
        <v>38532</v>
      </c>
      <c r="T27" s="408">
        <v>38562</v>
      </c>
      <c r="U27" s="408">
        <v>38593</v>
      </c>
      <c r="V27" s="408">
        <v>38624</v>
      </c>
      <c r="W27" s="408">
        <v>38654</v>
      </c>
      <c r="X27" s="408">
        <v>38685</v>
      </c>
      <c r="Y27" s="409">
        <v>40541</v>
      </c>
      <c r="Z27" s="9"/>
    </row>
    <row r="28" spans="1:26" ht="12.75" hidden="1" customHeight="1" x14ac:dyDescent="0.25">
      <c r="A28" s="19" t="s">
        <v>40</v>
      </c>
      <c r="B28" s="28">
        <v>7065</v>
      </c>
      <c r="C28" s="29">
        <v>7533</v>
      </c>
      <c r="D28" s="29">
        <v>7871</v>
      </c>
      <c r="E28" s="29">
        <v>8287</v>
      </c>
      <c r="F28" s="29">
        <v>8678</v>
      </c>
      <c r="G28" s="29">
        <v>9077</v>
      </c>
      <c r="H28" s="29">
        <v>9454</v>
      </c>
      <c r="I28" s="29">
        <v>9790</v>
      </c>
      <c r="J28" s="29">
        <v>10161</v>
      </c>
      <c r="K28" s="29">
        <v>10571</v>
      </c>
      <c r="L28" s="29">
        <v>11010</v>
      </c>
      <c r="M28" s="29">
        <v>11387</v>
      </c>
      <c r="N28" s="410" t="s">
        <v>86</v>
      </c>
      <c r="O28" s="410" t="s">
        <v>86</v>
      </c>
      <c r="P28" s="410" t="s">
        <v>86</v>
      </c>
      <c r="Q28" s="410" t="s">
        <v>86</v>
      </c>
      <c r="R28" s="410"/>
      <c r="S28" s="410"/>
      <c r="T28" s="410"/>
      <c r="U28" s="410"/>
      <c r="V28" s="410"/>
      <c r="W28" s="410"/>
      <c r="X28" s="410"/>
      <c r="Y28" s="411"/>
    </row>
    <row r="29" spans="1:26" ht="22.5" customHeight="1" x14ac:dyDescent="0.25">
      <c r="A29" s="19" t="s">
        <v>175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412">
        <v>8259</v>
      </c>
      <c r="O29" s="412">
        <v>8259</v>
      </c>
      <c r="P29" s="412">
        <v>8259</v>
      </c>
      <c r="Q29" s="412">
        <v>8259</v>
      </c>
      <c r="R29" s="410">
        <v>8259</v>
      </c>
      <c r="S29" s="410">
        <v>8259</v>
      </c>
      <c r="T29" s="410">
        <v>8259</v>
      </c>
      <c r="U29" s="410">
        <v>8259</v>
      </c>
      <c r="V29" s="410">
        <v>8259</v>
      </c>
      <c r="W29" s="410">
        <v>8259</v>
      </c>
      <c r="X29" s="410">
        <v>8259</v>
      </c>
      <c r="Y29" s="411">
        <v>8259</v>
      </c>
    </row>
    <row r="30" spans="1:26" ht="22.5" customHeight="1" x14ac:dyDescent="0.25">
      <c r="A30" s="19" t="s">
        <v>109</v>
      </c>
      <c r="B30" s="28">
        <v>5571</v>
      </c>
      <c r="C30" s="29">
        <v>5865</v>
      </c>
      <c r="D30" s="29">
        <v>6095</v>
      </c>
      <c r="E30" s="29">
        <v>6375</v>
      </c>
      <c r="F30" s="29">
        <v>6606</v>
      </c>
      <c r="G30" s="29">
        <v>6866</v>
      </c>
      <c r="H30" s="29">
        <v>7091</v>
      </c>
      <c r="I30" s="29">
        <v>7297</v>
      </c>
      <c r="J30" s="29">
        <v>7533</v>
      </c>
      <c r="K30" s="29">
        <v>7780</v>
      </c>
      <c r="L30" s="29">
        <v>8083</v>
      </c>
      <c r="M30" s="29">
        <v>8206</v>
      </c>
      <c r="N30" s="29">
        <v>27874</v>
      </c>
      <c r="O30" s="24">
        <v>28076</v>
      </c>
      <c r="P30" s="24">
        <v>28267</v>
      </c>
      <c r="Q30" s="24">
        <v>28503</v>
      </c>
      <c r="R30" s="69">
        <v>28755</v>
      </c>
      <c r="S30" s="69">
        <v>29009</v>
      </c>
      <c r="T30" s="69">
        <v>29212</v>
      </c>
      <c r="U30" s="69">
        <v>29392</v>
      </c>
      <c r="V30" s="69">
        <v>29580</v>
      </c>
      <c r="W30" s="69">
        <v>29771</v>
      </c>
      <c r="X30" s="69">
        <v>29939</v>
      </c>
      <c r="Y30" s="68">
        <v>30095</v>
      </c>
    </row>
    <row r="31" spans="1:26" ht="22.5" customHeight="1" x14ac:dyDescent="0.25">
      <c r="A31" s="19" t="s">
        <v>252</v>
      </c>
      <c r="B31" s="28">
        <v>18534</v>
      </c>
      <c r="C31" s="29">
        <v>19329</v>
      </c>
      <c r="D31" s="29">
        <v>19916</v>
      </c>
      <c r="E31" s="29">
        <v>20680</v>
      </c>
      <c r="F31" s="29">
        <v>21354</v>
      </c>
      <c r="G31" s="29">
        <v>22036</v>
      </c>
      <c r="H31" s="29">
        <v>22701</v>
      </c>
      <c r="I31" s="29">
        <v>23283</v>
      </c>
      <c r="J31" s="29">
        <v>23938</v>
      </c>
      <c r="K31" s="29">
        <v>24638</v>
      </c>
      <c r="L31" s="29">
        <v>25485</v>
      </c>
      <c r="M31" s="29">
        <v>26212</v>
      </c>
      <c r="N31" s="29">
        <v>61321</v>
      </c>
      <c r="O31" s="24">
        <v>61811</v>
      </c>
      <c r="P31" s="24">
        <v>62319</v>
      </c>
      <c r="Q31" s="24">
        <v>62852</v>
      </c>
      <c r="R31" s="69">
        <v>63379</v>
      </c>
      <c r="S31" s="69">
        <v>63871</v>
      </c>
      <c r="T31" s="69">
        <v>64341</v>
      </c>
      <c r="U31" s="69">
        <v>64752</v>
      </c>
      <c r="V31" s="69">
        <v>65193</v>
      </c>
      <c r="W31" s="69">
        <v>65645</v>
      </c>
      <c r="X31" s="69">
        <v>66099</v>
      </c>
      <c r="Y31" s="68">
        <v>66576</v>
      </c>
    </row>
    <row r="32" spans="1:26" ht="22.5" customHeight="1" x14ac:dyDescent="0.25">
      <c r="A32" s="39" t="s">
        <v>253</v>
      </c>
      <c r="B32" s="60">
        <v>1234</v>
      </c>
      <c r="C32" s="59">
        <v>1278</v>
      </c>
      <c r="D32" s="59">
        <v>1308</v>
      </c>
      <c r="E32" s="59">
        <v>1387</v>
      </c>
      <c r="F32" s="59">
        <v>1447</v>
      </c>
      <c r="G32" s="59">
        <v>1492</v>
      </c>
      <c r="H32" s="59">
        <v>1525</v>
      </c>
      <c r="I32" s="59">
        <v>1554</v>
      </c>
      <c r="J32" s="59">
        <v>1592</v>
      </c>
      <c r="K32" s="59">
        <v>1635</v>
      </c>
      <c r="L32" s="59">
        <v>1740</v>
      </c>
      <c r="M32" s="59">
        <v>1876</v>
      </c>
      <c r="N32" s="59">
        <v>16133</v>
      </c>
      <c r="O32" s="46">
        <v>16310</v>
      </c>
      <c r="P32" s="46">
        <v>16519</v>
      </c>
      <c r="Q32" s="46">
        <v>16670</v>
      </c>
      <c r="R32" s="71">
        <v>16830</v>
      </c>
      <c r="S32" s="71">
        <v>16989</v>
      </c>
      <c r="T32" s="71">
        <v>17178</v>
      </c>
      <c r="U32" s="71">
        <v>17332</v>
      </c>
      <c r="V32" s="71">
        <v>17496</v>
      </c>
      <c r="W32" s="71">
        <v>17664</v>
      </c>
      <c r="X32" s="71">
        <v>17837</v>
      </c>
      <c r="Y32" s="70">
        <v>18030</v>
      </c>
    </row>
    <row r="33" spans="1:25" ht="12.75" hidden="1" customHeight="1" x14ac:dyDescent="0.25">
      <c r="A33" s="413" t="s">
        <v>45</v>
      </c>
      <c r="B33" s="81">
        <f t="shared" ref="B33:M33" si="0">+SUM(B28:B32)</f>
        <v>32404</v>
      </c>
      <c r="C33" s="82">
        <f t="shared" si="0"/>
        <v>34005</v>
      </c>
      <c r="D33" s="82">
        <f t="shared" si="0"/>
        <v>35190</v>
      </c>
      <c r="E33" s="82">
        <f t="shared" si="0"/>
        <v>36729</v>
      </c>
      <c r="F33" s="82">
        <f t="shared" si="0"/>
        <v>38085</v>
      </c>
      <c r="G33" s="82">
        <f t="shared" si="0"/>
        <v>39471</v>
      </c>
      <c r="H33" s="82">
        <f t="shared" si="0"/>
        <v>40771</v>
      </c>
      <c r="I33" s="83">
        <f t="shared" si="0"/>
        <v>41924</v>
      </c>
      <c r="J33" s="83">
        <f t="shared" si="0"/>
        <v>43224</v>
      </c>
      <c r="K33" s="83">
        <f t="shared" si="0"/>
        <v>44624</v>
      </c>
      <c r="L33" s="83">
        <f t="shared" si="0"/>
        <v>46318</v>
      </c>
      <c r="M33" s="83">
        <f t="shared" si="0"/>
        <v>47681</v>
      </c>
      <c r="N33" s="83"/>
      <c r="O33" s="82"/>
      <c r="P33" s="82"/>
      <c r="Q33" s="80"/>
      <c r="R33" s="80"/>
      <c r="S33" s="80"/>
      <c r="T33" s="80"/>
      <c r="U33" s="80"/>
      <c r="V33" s="80"/>
      <c r="W33" s="80"/>
      <c r="X33" s="80"/>
      <c r="Y33" s="78"/>
    </row>
    <row r="34" spans="1:25" ht="12.75" hidden="1" customHeight="1" x14ac:dyDescent="0.25">
      <c r="A34" s="194" t="s">
        <v>46</v>
      </c>
      <c r="B34" s="89">
        <v>294.14</v>
      </c>
      <c r="C34" s="90">
        <v>284.89999999999998</v>
      </c>
      <c r="D34" s="90">
        <v>295.95999999999998</v>
      </c>
      <c r="E34" s="90">
        <v>269.12</v>
      </c>
      <c r="F34" s="90">
        <v>295.32</v>
      </c>
      <c r="G34" s="90">
        <v>275.36</v>
      </c>
      <c r="H34" s="90">
        <v>267.54000000000002</v>
      </c>
      <c r="I34" s="90">
        <v>235.87</v>
      </c>
      <c r="J34" s="90">
        <v>235.47</v>
      </c>
      <c r="K34" s="90">
        <v>295.39</v>
      </c>
      <c r="L34" s="90">
        <v>313.58</v>
      </c>
      <c r="M34" s="90">
        <v>389.91</v>
      </c>
      <c r="N34" s="90">
        <v>216.69</v>
      </c>
      <c r="O34" s="90">
        <v>168.67</v>
      </c>
      <c r="P34" s="90"/>
      <c r="Q34" s="414">
        <v>158.66999999999999</v>
      </c>
      <c r="R34" s="414">
        <v>228.26</v>
      </c>
      <c r="S34" s="414">
        <v>150.16999999999999</v>
      </c>
      <c r="T34" s="414">
        <v>214.69</v>
      </c>
      <c r="U34" s="414"/>
      <c r="V34" s="414"/>
      <c r="W34" s="414"/>
      <c r="X34" s="414"/>
      <c r="Y34" s="415"/>
    </row>
    <row r="35" spans="1:25" ht="12.75" hidden="1" customHeight="1" x14ac:dyDescent="0.25">
      <c r="B35" s="96">
        <v>37977</v>
      </c>
      <c r="C35" s="96">
        <v>38007</v>
      </c>
      <c r="D35" s="96">
        <v>38037</v>
      </c>
      <c r="E35" s="96">
        <v>38068</v>
      </c>
      <c r="F35" s="96">
        <v>38099</v>
      </c>
      <c r="G35" s="96">
        <v>38128</v>
      </c>
      <c r="H35" s="96">
        <v>38161</v>
      </c>
      <c r="I35" s="96">
        <v>38191</v>
      </c>
      <c r="J35" s="96">
        <v>38222</v>
      </c>
      <c r="K35" s="96">
        <v>38252</v>
      </c>
      <c r="L35" s="96">
        <v>38282</v>
      </c>
      <c r="M35" s="96">
        <v>38314</v>
      </c>
      <c r="N35" s="96">
        <v>38740</v>
      </c>
      <c r="O35" s="96">
        <v>38769</v>
      </c>
      <c r="P35" s="96"/>
      <c r="Q35" s="416">
        <v>38831</v>
      </c>
      <c r="R35" s="416">
        <v>38860</v>
      </c>
      <c r="S35" s="416">
        <v>38890</v>
      </c>
      <c r="T35" s="416">
        <v>38922</v>
      </c>
      <c r="U35" s="416"/>
      <c r="V35" s="416"/>
      <c r="W35" s="416"/>
      <c r="X35" s="416"/>
      <c r="Y35" s="416"/>
    </row>
    <row r="36" spans="1:25" ht="12.75" customHeight="1" x14ac:dyDescent="0.25">
      <c r="C36" s="48"/>
      <c r="D36" s="48"/>
      <c r="E36" s="48"/>
      <c r="F36" s="100"/>
      <c r="G36" s="100"/>
      <c r="Q36" s="48"/>
      <c r="T36" s="72"/>
      <c r="V36" s="48"/>
      <c r="Y36" s="100"/>
    </row>
    <row r="37" spans="1:25" ht="12.75" customHeight="1" x14ac:dyDescent="0.25">
      <c r="D37" s="48"/>
      <c r="F37" s="101"/>
      <c r="G37" s="101"/>
      <c r="T37" s="72"/>
      <c r="Y37" s="101"/>
    </row>
    <row r="38" spans="1:25" ht="12.75" customHeight="1" x14ac:dyDescent="0.25"/>
    <row r="39" spans="1:25" ht="12.75" customHeight="1" x14ac:dyDescent="0.25"/>
    <row r="40" spans="1:25" ht="12.75" customHeight="1" x14ac:dyDescent="0.25"/>
    <row r="41" spans="1:25" ht="12.75" customHeight="1" x14ac:dyDescent="0.25"/>
    <row r="42" spans="1:25" ht="12.75" customHeight="1" x14ac:dyDescent="0.25"/>
    <row r="43" spans="1:25" ht="12.75" customHeight="1" x14ac:dyDescent="0.25"/>
    <row r="44" spans="1:25" ht="12.75" customHeight="1" x14ac:dyDescent="0.25"/>
    <row r="45" spans="1:25" ht="12.75" customHeight="1" x14ac:dyDescent="0.25"/>
    <row r="46" spans="1:25" ht="12.75" customHeight="1" x14ac:dyDescent="0.25"/>
    <row r="47" spans="1:25" ht="12.75" customHeight="1" x14ac:dyDescent="0.25"/>
    <row r="48" spans="1:2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Y1"/>
  </mergeCells>
  <printOptions horizontalCentered="1"/>
  <pageMargins left="0" right="0" top="0.39370078740157483" bottom="0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34.6328125" customWidth="1"/>
    <col min="2" max="2" width="10" customWidth="1"/>
    <col min="3" max="4" width="11" customWidth="1"/>
    <col min="5" max="10" width="10.6328125" customWidth="1"/>
    <col min="11" max="11" width="11" customWidth="1"/>
    <col min="12" max="12" width="11.453125" customWidth="1"/>
    <col min="13" max="14" width="11" customWidth="1"/>
    <col min="15" max="26" width="8.453125" customWidth="1"/>
  </cols>
  <sheetData>
    <row r="1" spans="1:26" ht="14.25" customHeight="1" x14ac:dyDescent="0.3">
      <c r="A1" s="417" t="s">
        <v>0</v>
      </c>
      <c r="B1" s="418">
        <v>45655</v>
      </c>
      <c r="C1" s="419">
        <v>45320</v>
      </c>
      <c r="D1" s="419">
        <v>45350</v>
      </c>
      <c r="E1" s="419">
        <v>45380</v>
      </c>
      <c r="F1" s="418">
        <v>45411</v>
      </c>
      <c r="G1" s="418">
        <v>45441</v>
      </c>
      <c r="H1" s="418">
        <v>45472</v>
      </c>
      <c r="I1" s="420">
        <v>45502</v>
      </c>
      <c r="J1" s="418">
        <v>45533</v>
      </c>
      <c r="K1" s="418">
        <v>45564</v>
      </c>
      <c r="L1" s="418">
        <v>45594</v>
      </c>
      <c r="M1" s="418">
        <v>45625</v>
      </c>
      <c r="N1" s="421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4" t="s">
        <v>1</v>
      </c>
      <c r="B2" s="422">
        <f>+'DADOS 2024 I'!N3</f>
        <v>25141.599999999999</v>
      </c>
      <c r="C2" s="423">
        <f>+'DADOS 2024 I'!O3</f>
        <v>25247.4</v>
      </c>
      <c r="D2" s="423">
        <f>+'DADOS 2024 I'!P3</f>
        <v>25314.9</v>
      </c>
      <c r="E2" s="422">
        <f>+'DADOS 2024 I'!Q3</f>
        <v>25389.7</v>
      </c>
      <c r="F2" s="423">
        <f>+'DADOS 2024 I'!R3</f>
        <v>25443.5</v>
      </c>
      <c r="G2" s="422">
        <f>+'DADOS 2024 I'!S3</f>
        <v>25518.5</v>
      </c>
      <c r="H2" s="422">
        <f>+'DADOS 2024 I'!T3</f>
        <v>25587.1</v>
      </c>
      <c r="I2" s="424">
        <f>+'DADOS 2024 I'!U3</f>
        <v>0</v>
      </c>
      <c r="J2" s="422">
        <f>+'DADOS 2024 I'!V3</f>
        <v>0</v>
      </c>
      <c r="K2" s="422">
        <f>+'DADOS 2024 I'!W3</f>
        <v>0</v>
      </c>
      <c r="L2" s="422">
        <f>+'DADOS 2024 I'!X3</f>
        <v>0</v>
      </c>
      <c r="M2" s="422">
        <f>+'DADOS 2024 I'!Y3</f>
        <v>0</v>
      </c>
      <c r="N2" s="425">
        <f>+'DADOS 2024 I'!Z3</f>
        <v>0</v>
      </c>
    </row>
    <row r="3" spans="1:26" ht="12.75" customHeight="1" x14ac:dyDescent="0.25">
      <c r="D3" s="49"/>
      <c r="F3" s="81"/>
    </row>
    <row r="4" spans="1:26" ht="14.25" customHeight="1" x14ac:dyDescent="0.3">
      <c r="A4" s="426" t="s">
        <v>254</v>
      </c>
      <c r="B4" s="427"/>
      <c r="C4" s="428" t="s">
        <v>56</v>
      </c>
      <c r="D4" s="428" t="s">
        <v>57</v>
      </c>
      <c r="E4" s="429" t="s">
        <v>58</v>
      </c>
      <c r="F4" s="429" t="s">
        <v>59</v>
      </c>
      <c r="G4" s="428" t="s">
        <v>60</v>
      </c>
      <c r="H4" s="429" t="s">
        <v>61</v>
      </c>
      <c r="I4" s="430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4" t="s">
        <v>1</v>
      </c>
      <c r="B5" s="432"/>
      <c r="C5" s="433">
        <f>+'CUSTO ÁGUA 2024 I'!B25</f>
        <v>1212.47</v>
      </c>
      <c r="D5" s="433">
        <f>+'CUSTO ÁGUA 2024 I'!C25</f>
        <v>773.55</v>
      </c>
      <c r="E5" s="433">
        <f>+'CUSTO ÁGUA 2024 I'!D25</f>
        <v>857.21</v>
      </c>
      <c r="F5" s="433">
        <f>+'CUSTO ÁGUA 2024 I'!E25</f>
        <v>616.54999999999995</v>
      </c>
      <c r="G5" s="433">
        <f>+'CUSTO ÁGUA 2024 I'!F25</f>
        <v>859.5</v>
      </c>
      <c r="H5" s="433">
        <f>+'CUSTO ÁGUA 2024 I'!G25</f>
        <v>786.16</v>
      </c>
      <c r="I5" s="433">
        <f>+'CUSTO ÁGUA 2024 I'!H25</f>
        <v>0</v>
      </c>
      <c r="J5" s="433">
        <f>+'CUSTO ÁGUA 2024 I'!I25</f>
        <v>0</v>
      </c>
      <c r="K5" s="433">
        <f>+'CUSTO ÁGUA 2024 I'!J25</f>
        <v>0</v>
      </c>
      <c r="L5" s="433">
        <f>+'CUSTO ÁGUA 2024 I'!K25</f>
        <v>0</v>
      </c>
      <c r="M5" s="433">
        <f>+'CUSTO ÁGUA 2024 I'!L25</f>
        <v>0</v>
      </c>
      <c r="N5" s="433">
        <f>+'CUSTO ÁGUA 2024 I'!M25</f>
        <v>0</v>
      </c>
    </row>
    <row r="6" spans="1:26" ht="12.75" customHeight="1" x14ac:dyDescent="0.25"/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headerFooter>
    <oddHeader>&amp;CABAIXO DE ZERO</oddHead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28.6328125" customWidth="1"/>
    <col min="2" max="2" width="8.6328125" customWidth="1"/>
    <col min="3" max="14" width="10" customWidth="1"/>
    <col min="15" max="26" width="7.453125" customWidth="1"/>
  </cols>
  <sheetData>
    <row r="1" spans="1:26" ht="14.25" customHeight="1" x14ac:dyDescent="0.3">
      <c r="A1" s="417" t="s">
        <v>0</v>
      </c>
      <c r="B1" s="418">
        <v>45655</v>
      </c>
      <c r="C1" s="419">
        <v>45320</v>
      </c>
      <c r="D1" s="419">
        <v>45350</v>
      </c>
      <c r="E1" s="419">
        <v>45380</v>
      </c>
      <c r="F1" s="418">
        <v>45411</v>
      </c>
      <c r="G1" s="418">
        <v>45441</v>
      </c>
      <c r="H1" s="418">
        <v>45472</v>
      </c>
      <c r="I1" s="420">
        <v>45502</v>
      </c>
      <c r="J1" s="418">
        <v>45533</v>
      </c>
      <c r="K1" s="418">
        <v>45564</v>
      </c>
      <c r="L1" s="418">
        <v>45594</v>
      </c>
      <c r="M1" s="418">
        <v>45625</v>
      </c>
      <c r="N1" s="421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">
        <v>2</v>
      </c>
      <c r="B2" s="434">
        <f>+'DADOS 2024 I'!N4</f>
        <v>10289.209999999999</v>
      </c>
      <c r="C2" s="425">
        <f>+'DADOS 2024 I'!O4</f>
        <v>10327.120000000001</v>
      </c>
      <c r="D2" s="425">
        <f>+'DADOS 2024 I'!P4</f>
        <v>10364.16</v>
      </c>
      <c r="E2" s="425">
        <f>+'DADOS 2024 I'!Q4</f>
        <v>10408.98</v>
      </c>
      <c r="F2" s="425">
        <f>+'DADOS 2024 I'!R4</f>
        <v>10452.049999999999</v>
      </c>
      <c r="G2" s="425">
        <f>+'DADOS 2024 I'!S4</f>
        <v>10495.76</v>
      </c>
      <c r="H2" s="425">
        <f>+'DADOS 2024 I'!T4</f>
        <v>10543.63</v>
      </c>
      <c r="I2" s="425">
        <f>+'DADOS 2024 I'!U4</f>
        <v>0</v>
      </c>
      <c r="J2" s="425">
        <f>+'DADOS 2024 I'!V4</f>
        <v>0</v>
      </c>
      <c r="K2" s="425">
        <f>+'DADOS 2024 I'!W4</f>
        <v>0</v>
      </c>
      <c r="L2" s="425">
        <f>+'DADOS 2024 I'!X4</f>
        <v>0</v>
      </c>
      <c r="M2" s="425">
        <f>+'DADOS 2024 I'!Y4</f>
        <v>0</v>
      </c>
      <c r="N2" s="425">
        <f>+'DADOS 2024 I'!Z4</f>
        <v>0</v>
      </c>
    </row>
    <row r="3" spans="1:26" ht="12.75" customHeight="1" x14ac:dyDescent="0.25"/>
    <row r="4" spans="1:26" ht="14.25" customHeight="1" x14ac:dyDescent="0.3">
      <c r="A4" s="426" t="s">
        <v>254</v>
      </c>
      <c r="B4" s="435"/>
      <c r="C4" s="428" t="s">
        <v>56</v>
      </c>
      <c r="D4" s="429" t="s">
        <v>57</v>
      </c>
      <c r="E4" s="429" t="s">
        <v>58</v>
      </c>
      <c r="F4" s="429" t="s">
        <v>59</v>
      </c>
      <c r="G4" s="429" t="s">
        <v>60</v>
      </c>
      <c r="H4" s="429" t="s">
        <v>61</v>
      </c>
      <c r="I4" s="429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" t="s">
        <v>2</v>
      </c>
      <c r="B5" s="436"/>
      <c r="C5" s="437">
        <f>+'CUSTO ÁGUA 2024 I'!B27</f>
        <v>370</v>
      </c>
      <c r="D5" s="437">
        <f>+'CUSTO ÁGUA 2024 I'!C27</f>
        <v>361.51</v>
      </c>
      <c r="E5" s="437">
        <f>+'CUSTO ÁGUA 2024 I'!D27</f>
        <v>437.44</v>
      </c>
      <c r="F5" s="437">
        <f>+'CUSTO ÁGUA 2024 I'!E27</f>
        <v>420.36320000000001</v>
      </c>
      <c r="G5" s="437">
        <f>+'CUSTO ÁGUA 2024 I'!F27</f>
        <v>426.61</v>
      </c>
      <c r="H5" s="437">
        <f>+'CUSTO ÁGUA 2024 I'!G27</f>
        <v>467.21</v>
      </c>
      <c r="I5" s="437">
        <f>+'CUSTO ÁGUA 2024 I'!H27</f>
        <v>0</v>
      </c>
      <c r="J5" s="437">
        <f>+'CUSTO ÁGUA 2024 I'!I27</f>
        <v>0</v>
      </c>
      <c r="K5" s="437">
        <f>+'CUSTO ÁGUA 2024 I'!J27</f>
        <v>0</v>
      </c>
      <c r="L5" s="437">
        <f>+'CUSTO ÁGUA 2024 I'!K27</f>
        <v>0</v>
      </c>
      <c r="M5" s="437">
        <f>+'CUSTO ÁGUA 2024 I'!L27</f>
        <v>0</v>
      </c>
      <c r="N5" s="437">
        <f>+'CUSTO ÁGUA 2024 I'!M27</f>
        <v>0</v>
      </c>
    </row>
    <row r="6" spans="1:26" ht="12.75" customHeight="1" x14ac:dyDescent="0.25"/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headerFooter>
    <oddHeader>&amp;CMASP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35.453125" customWidth="1"/>
    <col min="2" max="2" width="8" customWidth="1"/>
    <col min="3" max="13" width="8.453125" customWidth="1"/>
    <col min="14" max="14" width="9.453125" customWidth="1"/>
    <col min="15" max="26" width="7.90625" customWidth="1"/>
  </cols>
  <sheetData>
    <row r="1" spans="1:26" ht="14.25" customHeight="1" x14ac:dyDescent="0.3">
      <c r="A1" s="417" t="s">
        <v>0</v>
      </c>
      <c r="B1" s="438">
        <v>45289</v>
      </c>
      <c r="C1" s="439">
        <v>44955</v>
      </c>
      <c r="D1" s="439">
        <v>44985</v>
      </c>
      <c r="E1" s="439">
        <v>45014</v>
      </c>
      <c r="F1" s="438">
        <v>45045</v>
      </c>
      <c r="G1" s="438">
        <v>45075</v>
      </c>
      <c r="H1" s="438">
        <v>45106</v>
      </c>
      <c r="I1" s="440">
        <v>45136</v>
      </c>
      <c r="J1" s="438">
        <v>45167</v>
      </c>
      <c r="K1" s="438">
        <v>45198</v>
      </c>
      <c r="L1" s="438">
        <v>45228</v>
      </c>
      <c r="M1" s="438">
        <v>45259</v>
      </c>
      <c r="N1" s="421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">
        <v>3</v>
      </c>
      <c r="B2" s="434">
        <f>+'DADOS 2024 I'!N5</f>
        <v>9442.32</v>
      </c>
      <c r="C2" s="425">
        <f>+'DADOS 2024 I'!O5</f>
        <v>9442.32</v>
      </c>
      <c r="D2" s="425">
        <f>+'DADOS 2024 I'!P5</f>
        <v>9442.33</v>
      </c>
      <c r="E2" s="425">
        <f>+'DADOS 2024 I'!Q5</f>
        <v>9442.33</v>
      </c>
      <c r="F2" s="425">
        <f>+'DADOS 2024 I'!R5</f>
        <v>9442.33</v>
      </c>
      <c r="G2" s="425">
        <f>+'DADOS 2024 I'!S5</f>
        <v>9442.33</v>
      </c>
      <c r="H2" s="425">
        <f>+'DADOS 2024 I'!T5</f>
        <v>9442.33</v>
      </c>
      <c r="I2" s="425">
        <f>+'DADOS 2024 I'!U5</f>
        <v>0</v>
      </c>
      <c r="J2" s="425">
        <f>+'DADOS 2024 I'!V5</f>
        <v>0</v>
      </c>
      <c r="K2" s="425">
        <f>+'DADOS 2024 I'!W5</f>
        <v>0</v>
      </c>
      <c r="L2" s="425">
        <f>+'DADOS 2024 I'!X5</f>
        <v>0</v>
      </c>
      <c r="M2" s="425">
        <f>+'DADOS 2024 I'!Y5</f>
        <v>0</v>
      </c>
      <c r="N2" s="425">
        <f>+'DADOS 2024 I'!Z5</f>
        <v>0</v>
      </c>
    </row>
    <row r="3" spans="1:26" ht="12.75" customHeight="1" x14ac:dyDescent="0.25"/>
    <row r="4" spans="1:26" ht="14.25" customHeight="1" x14ac:dyDescent="0.3">
      <c r="A4" s="426" t="s">
        <v>254</v>
      </c>
      <c r="B4" s="435"/>
      <c r="C4" s="428" t="s">
        <v>56</v>
      </c>
      <c r="D4" s="429" t="s">
        <v>57</v>
      </c>
      <c r="E4" s="429" t="s">
        <v>58</v>
      </c>
      <c r="F4" s="429" t="s">
        <v>59</v>
      </c>
      <c r="G4" s="429" t="s">
        <v>60</v>
      </c>
      <c r="H4" s="429" t="s">
        <v>61</v>
      </c>
      <c r="I4" s="429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" t="s">
        <v>3</v>
      </c>
      <c r="B5" s="436"/>
      <c r="C5" s="437">
        <f>+'CUSTO ÁGUA 2024 I'!B29</f>
        <v>51.04</v>
      </c>
      <c r="D5" s="437">
        <f>+'CUSTO ÁGUA 2024 I'!C29</f>
        <v>51.04</v>
      </c>
      <c r="E5" s="437">
        <f>+'CUSTO ÁGUA 2024 I'!D29</f>
        <v>51.04</v>
      </c>
      <c r="F5" s="437">
        <f>+'CUSTO ÁGUA 2024 I'!E29</f>
        <v>51.04</v>
      </c>
      <c r="G5" s="437">
        <f>+'CUSTO ÁGUA 2024 I'!F29</f>
        <v>51.04</v>
      </c>
      <c r="H5" s="437">
        <f>+'CUSTO ÁGUA 2024 I'!G29</f>
        <v>51.04</v>
      </c>
      <c r="I5" s="437">
        <f>+'CUSTO ÁGUA 2024 I'!H29</f>
        <v>0</v>
      </c>
      <c r="J5" s="437">
        <f>+'CUSTO ÁGUA 2024 I'!I29</f>
        <v>0</v>
      </c>
      <c r="K5" s="437">
        <f>+'CUSTO ÁGUA 2024 I'!J29</f>
        <v>0</v>
      </c>
      <c r="L5" s="437">
        <f>+'CUSTO ÁGUA 2024 I'!K29</f>
        <v>0</v>
      </c>
      <c r="M5" s="437">
        <f>+'CUSTO ÁGUA 2024 I'!L29</f>
        <v>0</v>
      </c>
      <c r="N5" s="437">
        <f>+'CUSTO ÁGUA 2024 I'!M29</f>
        <v>0</v>
      </c>
    </row>
    <row r="6" spans="1:26" ht="12.75" customHeight="1" x14ac:dyDescent="0.25"/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spans="1:1" ht="12.75" customHeight="1" x14ac:dyDescent="0.25"/>
    <row r="18" spans="1:1" ht="12.75" customHeight="1" x14ac:dyDescent="0.25"/>
    <row r="19" spans="1:1" ht="12.75" customHeight="1" x14ac:dyDescent="0.25"/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>
      <c r="A31" s="48"/>
    </row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headerFooter>
    <oddHeader>&amp;CGALPÃO 03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47.453125" customWidth="1"/>
    <col min="2" max="2" width="8.6328125" customWidth="1"/>
    <col min="3" max="10" width="11.453125" customWidth="1"/>
    <col min="11" max="11" width="10" customWidth="1"/>
    <col min="12" max="14" width="11.453125" customWidth="1"/>
    <col min="15" max="26" width="8.453125" customWidth="1"/>
  </cols>
  <sheetData>
    <row r="1" spans="1:26" ht="14.25" customHeight="1" x14ac:dyDescent="0.3">
      <c r="A1" s="417" t="s">
        <v>0</v>
      </c>
      <c r="B1" s="418">
        <v>45655</v>
      </c>
      <c r="C1" s="419">
        <v>45320</v>
      </c>
      <c r="D1" s="419">
        <v>45350</v>
      </c>
      <c r="E1" s="419">
        <v>45380</v>
      </c>
      <c r="F1" s="418">
        <v>45411</v>
      </c>
      <c r="G1" s="418">
        <v>45441</v>
      </c>
      <c r="H1" s="418">
        <v>45472</v>
      </c>
      <c r="I1" s="420">
        <v>45502</v>
      </c>
      <c r="J1" s="418">
        <v>45533</v>
      </c>
      <c r="K1" s="418">
        <v>45564</v>
      </c>
      <c r="L1" s="418">
        <v>45594</v>
      </c>
      <c r="M1" s="418">
        <v>45625</v>
      </c>
      <c r="N1" s="421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">
        <v>255</v>
      </c>
      <c r="B2" s="434">
        <f>+'DADOS 2024 I'!N6</f>
        <v>10284.81</v>
      </c>
      <c r="C2" s="425">
        <f>+'DADOS 2024 I'!O6</f>
        <v>10327.17</v>
      </c>
      <c r="D2" s="425">
        <f>+'DADOS 2024 I'!P6</f>
        <v>10374.33</v>
      </c>
      <c r="E2" s="425">
        <f>+'DADOS 2024 I'!Q6</f>
        <v>10415.94</v>
      </c>
      <c r="F2" s="425">
        <f>+'DADOS 2024 I'!R6</f>
        <v>10473.540000000001</v>
      </c>
      <c r="G2" s="425">
        <f>+'DADOS 2024 I'!S6</f>
        <v>10528.49</v>
      </c>
      <c r="H2" s="425">
        <f>+'DADOS 2024 I'!T6</f>
        <v>10571.48</v>
      </c>
      <c r="I2" s="425">
        <f>+'DADOS 2024 I'!U6</f>
        <v>0</v>
      </c>
      <c r="J2" s="425">
        <f>+'DADOS 2024 I'!V6</f>
        <v>0</v>
      </c>
      <c r="K2" s="425">
        <f>+'DADOS 2024 I'!W6</f>
        <v>0</v>
      </c>
      <c r="L2" s="425">
        <f>+'DADOS 2024 I'!X6</f>
        <v>0</v>
      </c>
      <c r="M2" s="425">
        <f>+'DADOS 2024 I'!Y6</f>
        <v>0</v>
      </c>
      <c r="N2" s="425">
        <f>+'DADOS 2024 I'!Z6</f>
        <v>0</v>
      </c>
    </row>
    <row r="3" spans="1:26" ht="12.75" customHeight="1" x14ac:dyDescent="0.25">
      <c r="A3" s="19" t="str">
        <f>+'DADOS 2024 I'!A19</f>
        <v>Galpão 10 - Metal Printing  A13L080158</v>
      </c>
      <c r="B3" s="434">
        <f>+'DADOS 2024 I'!N19</f>
        <v>1407.75</v>
      </c>
      <c r="C3" s="434">
        <f>+'DADOS 2024 I'!O19</f>
        <v>1432.4</v>
      </c>
      <c r="D3" s="434">
        <f>+'DADOS 2024 I'!P19</f>
        <v>1459.14</v>
      </c>
      <c r="E3" s="434">
        <f>+'DADOS 2024 I'!Q19</f>
        <v>1476.36</v>
      </c>
      <c r="F3" s="434">
        <f>+'DADOS 2024 I'!R19</f>
        <v>1497.26</v>
      </c>
      <c r="G3" s="434">
        <f>+'DADOS 2024 I'!S19</f>
        <v>1517.41</v>
      </c>
      <c r="H3" s="434">
        <f>+'DADOS 2024 I'!T19</f>
        <v>1542.71</v>
      </c>
      <c r="I3" s="434">
        <f>+'DADOS 2024 I'!U19</f>
        <v>0</v>
      </c>
      <c r="J3" s="434">
        <f>+'DADOS 2024 I'!V19</f>
        <v>0</v>
      </c>
      <c r="K3" s="434">
        <f>+'DADOS 2024 I'!W19</f>
        <v>0</v>
      </c>
      <c r="L3" s="434">
        <f>+'DADOS 2024 I'!X19</f>
        <v>0</v>
      </c>
      <c r="M3" s="434">
        <f>+'DADOS 2024 I'!Y19</f>
        <v>0</v>
      </c>
      <c r="N3" s="434">
        <f>+'DADOS 2024 I'!Z19</f>
        <v>0</v>
      </c>
    </row>
    <row r="4" spans="1:26" ht="12.75" customHeight="1" x14ac:dyDescent="0.25">
      <c r="A4" s="19" t="str">
        <f>+'DADOS 2024 I'!A20</f>
        <v>Galpão 11 - Metal Printing - R. de Incêndio A13L080153</v>
      </c>
      <c r="B4" s="434">
        <f>+'DADOS 2024 I'!N20</f>
        <v>124.6</v>
      </c>
      <c r="C4" s="434">
        <f>+'DADOS 2024 I'!O20</f>
        <v>124.94</v>
      </c>
      <c r="D4" s="434">
        <f>+'DADOS 2024 I'!P20</f>
        <v>124.99</v>
      </c>
      <c r="E4" s="434">
        <f>+'DADOS 2024 I'!Q20</f>
        <v>125.1</v>
      </c>
      <c r="F4" s="434">
        <f>+'DADOS 2024 I'!R20</f>
        <v>125.31</v>
      </c>
      <c r="G4" s="434">
        <f>+'DADOS 2024 I'!S20</f>
        <v>127.03</v>
      </c>
      <c r="H4" s="434">
        <f>+'DADOS 2024 I'!T20</f>
        <v>130.24</v>
      </c>
      <c r="I4" s="434">
        <f>+'DADOS 2024 I'!U20</f>
        <v>0</v>
      </c>
      <c r="J4" s="434">
        <f>+'DADOS 2024 I'!V20</f>
        <v>0</v>
      </c>
      <c r="K4" s="434">
        <f>+'DADOS 2024 I'!W20</f>
        <v>0</v>
      </c>
      <c r="L4" s="434">
        <f>+'DADOS 2024 I'!X20</f>
        <v>0</v>
      </c>
      <c r="M4" s="434">
        <f>+'DADOS 2024 I'!Y20</f>
        <v>0</v>
      </c>
      <c r="N4" s="434">
        <f>+'DADOS 2024 I'!Z20</f>
        <v>0</v>
      </c>
    </row>
    <row r="5" spans="1:26" ht="12.75" customHeight="1" x14ac:dyDescent="0.25"/>
    <row r="6" spans="1:26" ht="14.25" customHeight="1" x14ac:dyDescent="0.3">
      <c r="A6" s="426" t="s">
        <v>254</v>
      </c>
      <c r="B6" s="435"/>
      <c r="C6" s="428" t="s">
        <v>56</v>
      </c>
      <c r="D6" s="429" t="s">
        <v>57</v>
      </c>
      <c r="E6" s="429" t="s">
        <v>58</v>
      </c>
      <c r="F6" s="429" t="s">
        <v>59</v>
      </c>
      <c r="G6" s="429" t="s">
        <v>60</v>
      </c>
      <c r="H6" s="429" t="s">
        <v>61</v>
      </c>
      <c r="I6" s="429" t="s">
        <v>62</v>
      </c>
      <c r="J6" s="429" t="s">
        <v>63</v>
      </c>
      <c r="K6" s="429" t="s">
        <v>64</v>
      </c>
      <c r="L6" s="429" t="s">
        <v>65</v>
      </c>
      <c r="M6" s="429" t="s">
        <v>66</v>
      </c>
      <c r="N6" s="431" t="s">
        <v>67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5">
      <c r="A7" s="19" t="s">
        <v>255</v>
      </c>
      <c r="B7" s="436"/>
      <c r="C7" s="437">
        <f>+'CUSTO ÁGUA 2024 I'!B31</f>
        <v>413.43</v>
      </c>
      <c r="D7" s="437">
        <f>+'CUSTO ÁGUA 2024 I'!C31</f>
        <v>460.28</v>
      </c>
      <c r="E7" s="437">
        <f>+'CUSTO ÁGUA 2024 I'!D31</f>
        <v>406.11</v>
      </c>
      <c r="F7" s="437">
        <f>+'CUSTO ÁGUA 2024 I'!E31</f>
        <v>660.1</v>
      </c>
      <c r="G7" s="437">
        <f>+'CUSTO ÁGUA 2024 I'!F31</f>
        <v>629.73</v>
      </c>
      <c r="H7" s="437">
        <f>+'CUSTO ÁGUA 2024 I'!G31</f>
        <v>419.58</v>
      </c>
      <c r="I7" s="437">
        <f>+'CUSTO ÁGUA 2024 I'!H31</f>
        <v>0</v>
      </c>
      <c r="J7" s="437">
        <f>+'CUSTO ÁGUA 2024 I'!I31</f>
        <v>0</v>
      </c>
      <c r="K7" s="437">
        <f>+'CUSTO ÁGUA 2024 I'!J31</f>
        <v>0</v>
      </c>
      <c r="L7" s="437">
        <f>+'CUSTO ÁGUA 2024 I'!K31</f>
        <v>0</v>
      </c>
      <c r="M7" s="437">
        <f>+'CUSTO ÁGUA 2024 I'!L31</f>
        <v>0</v>
      </c>
      <c r="N7" s="437">
        <f>+'CUSTO ÁGUA 2024 I'!M31</f>
        <v>0</v>
      </c>
    </row>
    <row r="8" spans="1:26" ht="12.75" customHeight="1" x14ac:dyDescent="0.25">
      <c r="A8" s="19" t="str">
        <f t="shared" ref="A8:A9" si="0">+A3</f>
        <v>Galpão 10 - Metal Printing  A13L080158</v>
      </c>
      <c r="B8" s="436"/>
      <c r="C8" s="437">
        <f>+'CUSTO ÁGUA 2024 I'!B48</f>
        <v>240.58</v>
      </c>
      <c r="D8" s="437">
        <f>+'CUSTO ÁGUA 2024 I'!C48</f>
        <v>260.98</v>
      </c>
      <c r="E8" s="437">
        <f>+'CUSTO ÁGUA 2024 I'!D48</f>
        <v>104.18099999999998</v>
      </c>
      <c r="F8" s="437">
        <f>+'CUSTO ÁGUA 2024 I'!E48</f>
        <v>126.45</v>
      </c>
      <c r="G8" s="437">
        <f>+'CUSTO ÁGUA 2024 I'!F48</f>
        <v>121.91</v>
      </c>
      <c r="H8" s="437">
        <f>+'CUSTO ÁGUA 2024 I'!G48</f>
        <v>246.93</v>
      </c>
      <c r="I8" s="437">
        <f>+'CUSTO ÁGUA 2024 I'!H48</f>
        <v>0</v>
      </c>
      <c r="J8" s="437">
        <f>+'CUSTO ÁGUA 2024 I'!I48</f>
        <v>0</v>
      </c>
      <c r="K8" s="437">
        <f>+'CUSTO ÁGUA 2024 I'!J48</f>
        <v>0</v>
      </c>
      <c r="L8" s="437">
        <f>+'CUSTO ÁGUA 2024 I'!K48</f>
        <v>0</v>
      </c>
      <c r="M8" s="437">
        <f>+'CUSTO ÁGUA 2024 I'!L48</f>
        <v>0</v>
      </c>
      <c r="N8" s="437">
        <f>+'CUSTO ÁGUA 2024 I'!M48</f>
        <v>0</v>
      </c>
    </row>
    <row r="9" spans="1:26" ht="12.75" customHeight="1" x14ac:dyDescent="0.25">
      <c r="A9" s="19" t="str">
        <f t="shared" si="0"/>
        <v>Galpão 11 - Metal Printing - R. de Incêndio A13L080153</v>
      </c>
      <c r="B9" s="436"/>
      <c r="C9" s="437">
        <f>+'CUSTO ÁGUA 2024 I'!B49</f>
        <v>51.04</v>
      </c>
      <c r="D9" s="437">
        <f>+'CUSTO ÁGUA 2024 I'!C49</f>
        <v>51.04</v>
      </c>
      <c r="E9" s="437">
        <f>+'CUSTO ÁGUA 2024 I'!D49</f>
        <v>51.04</v>
      </c>
      <c r="F9" s="437">
        <f>+'CUSTO ÁGUA 2024 I'!E49</f>
        <v>51.04</v>
      </c>
      <c r="G9" s="437">
        <f>+'CUSTO ÁGUA 2024 I'!F49</f>
        <v>51.04</v>
      </c>
      <c r="H9" s="437">
        <f>+'CUSTO ÁGUA 2024 I'!G49</f>
        <v>51.04</v>
      </c>
      <c r="I9" s="437">
        <f>+'CUSTO ÁGUA 2024 I'!H49</f>
        <v>0</v>
      </c>
      <c r="J9" s="437">
        <f>+'CUSTO ÁGUA 2024 I'!I49</f>
        <v>0</v>
      </c>
      <c r="K9" s="437">
        <f>+'CUSTO ÁGUA 2024 I'!J49</f>
        <v>0</v>
      </c>
      <c r="L9" s="437">
        <f>+'CUSTO ÁGUA 2024 I'!K49</f>
        <v>0</v>
      </c>
      <c r="M9" s="437">
        <f>+'CUSTO ÁGUA 2024 I'!L49</f>
        <v>0</v>
      </c>
      <c r="N9" s="437">
        <f>+'CUSTO ÁGUA 2024 I'!M49</f>
        <v>0</v>
      </c>
    </row>
    <row r="10" spans="1:26" ht="12.75" customHeight="1" x14ac:dyDescent="0.3">
      <c r="A10" s="166" t="s">
        <v>172</v>
      </c>
      <c r="B10" s="441"/>
      <c r="C10" s="442">
        <f t="shared" ref="C10:N10" si="1">+SUM(C7:C9)</f>
        <v>705.05</v>
      </c>
      <c r="D10" s="442">
        <f t="shared" si="1"/>
        <v>772.3</v>
      </c>
      <c r="E10" s="442">
        <f t="shared" si="1"/>
        <v>561.33100000000002</v>
      </c>
      <c r="F10" s="442">
        <f t="shared" si="1"/>
        <v>837.59</v>
      </c>
      <c r="G10" s="442">
        <f t="shared" si="1"/>
        <v>802.68</v>
      </c>
      <c r="H10" s="442">
        <f t="shared" si="1"/>
        <v>717.55</v>
      </c>
      <c r="I10" s="442">
        <f t="shared" si="1"/>
        <v>0</v>
      </c>
      <c r="J10" s="442">
        <f t="shared" si="1"/>
        <v>0</v>
      </c>
      <c r="K10" s="442">
        <f t="shared" si="1"/>
        <v>0</v>
      </c>
      <c r="L10" s="442">
        <f t="shared" si="1"/>
        <v>0</v>
      </c>
      <c r="M10" s="442">
        <f t="shared" si="1"/>
        <v>0</v>
      </c>
      <c r="N10" s="442">
        <f t="shared" si="1"/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headerFooter>
    <oddHeader>&amp;CMETAL PRINTING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30.6328125" customWidth="1"/>
    <col min="2" max="2" width="8.453125" customWidth="1"/>
    <col min="3" max="4" width="9.453125" customWidth="1"/>
    <col min="5" max="26" width="8.453125" customWidth="1"/>
  </cols>
  <sheetData>
    <row r="1" spans="1:26" ht="14.25" customHeight="1" x14ac:dyDescent="0.3">
      <c r="A1" s="443" t="s">
        <v>0</v>
      </c>
      <c r="B1" s="444">
        <v>45289</v>
      </c>
      <c r="C1" s="444">
        <v>44955</v>
      </c>
      <c r="D1" s="444">
        <v>44985</v>
      </c>
      <c r="E1" s="444">
        <v>45014</v>
      </c>
      <c r="F1" s="444">
        <v>45045</v>
      </c>
      <c r="G1" s="444">
        <v>45075</v>
      </c>
      <c r="H1" s="444">
        <v>45106</v>
      </c>
      <c r="I1" s="445">
        <v>45136</v>
      </c>
      <c r="J1" s="444">
        <v>45167</v>
      </c>
      <c r="K1" s="444">
        <v>45198</v>
      </c>
      <c r="L1" s="444">
        <v>45228</v>
      </c>
      <c r="M1" s="444">
        <v>45259</v>
      </c>
      <c r="N1" s="444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29" t="str">
        <f>'DADOS 2024 I'!A10</f>
        <v>Galpão 6 - Piso Térreo - A06L081233</v>
      </c>
      <c r="B2" s="29">
        <f>'DADOS 2024 I'!N10</f>
        <v>385.2</v>
      </c>
      <c r="C2" s="29">
        <f>'DADOS 2024 I'!O10</f>
        <v>385.21</v>
      </c>
      <c r="D2" s="29">
        <f>'DADOS 2024 I'!P10</f>
        <v>385.21</v>
      </c>
      <c r="E2" s="29">
        <f>'DADOS 2024 I'!Q10</f>
        <v>385.22</v>
      </c>
      <c r="F2" s="29">
        <f>'DADOS 2024 I'!R10</f>
        <v>385.23</v>
      </c>
      <c r="G2" s="29">
        <f>'DADOS 2024 I'!S10</f>
        <v>385.23</v>
      </c>
      <c r="H2" s="29">
        <f>'DADOS 2024 I'!T10</f>
        <v>385.23</v>
      </c>
      <c r="I2" s="29">
        <f>'DADOS 2024 I'!U10</f>
        <v>0</v>
      </c>
      <c r="J2" s="29">
        <f>'DADOS 2024 I'!V10</f>
        <v>0</v>
      </c>
      <c r="K2" s="29">
        <f>'DADOS 2024 I'!W10</f>
        <v>0</v>
      </c>
      <c r="L2" s="29">
        <f>'DADOS 2024 I'!X10</f>
        <v>0</v>
      </c>
      <c r="M2" s="29">
        <f>'DADOS 2024 I'!Y10</f>
        <v>0</v>
      </c>
      <c r="N2" s="29">
        <f>'DADOS 2024 I'!Z10</f>
        <v>0</v>
      </c>
    </row>
    <row r="3" spans="1:26" ht="12.75" customHeight="1" x14ac:dyDescent="0.25"/>
    <row r="4" spans="1:26" ht="14.25" customHeight="1" x14ac:dyDescent="0.3">
      <c r="A4" s="443" t="s">
        <v>254</v>
      </c>
      <c r="B4" s="446"/>
      <c r="C4" s="447" t="s">
        <v>56</v>
      </c>
      <c r="D4" s="447" t="s">
        <v>57</v>
      </c>
      <c r="E4" s="447" t="s">
        <v>58</v>
      </c>
      <c r="F4" s="447" t="s">
        <v>59</v>
      </c>
      <c r="G4" s="447" t="s">
        <v>60</v>
      </c>
      <c r="H4" s="447" t="s">
        <v>61</v>
      </c>
      <c r="I4" s="447" t="s">
        <v>62</v>
      </c>
      <c r="J4" s="447" t="s">
        <v>63</v>
      </c>
      <c r="K4" s="447" t="s">
        <v>64</v>
      </c>
      <c r="L4" s="447" t="s">
        <v>65</v>
      </c>
      <c r="M4" s="447" t="s">
        <v>66</v>
      </c>
      <c r="N4" s="447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29" t="str">
        <f>A2</f>
        <v>Galpão 6 - Piso Térreo - A06L081233</v>
      </c>
      <c r="B5" s="29"/>
      <c r="C5" s="207">
        <f>'CUSTO ÁGUA 2024 I'!B39</f>
        <v>51.04</v>
      </c>
      <c r="D5" s="207">
        <f>'CUSTO ÁGUA 2024 I'!C39</f>
        <v>51.04</v>
      </c>
      <c r="E5" s="207">
        <f>'CUSTO ÁGUA 2024 I'!D39</f>
        <v>51.04</v>
      </c>
      <c r="F5" s="207">
        <f>'CUSTO ÁGUA 2024 I'!E39</f>
        <v>51.04</v>
      </c>
      <c r="G5" s="207">
        <f>'CUSTO ÁGUA 2024 I'!F39</f>
        <v>51.04</v>
      </c>
      <c r="H5" s="207">
        <f>'CUSTO ÁGUA 2024 I'!G39</f>
        <v>51.04</v>
      </c>
      <c r="I5" s="207">
        <f>'CUSTO ÁGUA 2024 I'!H39</f>
        <v>0</v>
      </c>
      <c r="J5" s="207">
        <f>'CUSTO ÁGUA 2024 I'!I39</f>
        <v>0</v>
      </c>
      <c r="K5" s="207">
        <f>'CUSTO ÁGUA 2024 I'!J39</f>
        <v>0</v>
      </c>
      <c r="L5" s="207">
        <f>'CUSTO ÁGUA 2024 I'!K39</f>
        <v>0</v>
      </c>
      <c r="M5" s="207">
        <f>'CUSTO ÁGUA 2024 I'!L39</f>
        <v>0</v>
      </c>
      <c r="N5" s="207">
        <f>'CUSTO ÁGUA 2024 I'!M39</f>
        <v>0</v>
      </c>
    </row>
    <row r="6" spans="1:26" ht="12.75" customHeight="1" x14ac:dyDescent="0.25"/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37.6328125" customWidth="1"/>
    <col min="2" max="3" width="12" customWidth="1"/>
    <col min="4" max="4" width="12.453125" customWidth="1"/>
    <col min="5" max="6" width="12" customWidth="1"/>
    <col min="7" max="7" width="11.90625" customWidth="1"/>
    <col min="8" max="8" width="12" customWidth="1"/>
    <col min="9" max="9" width="11.90625" customWidth="1"/>
    <col min="10" max="12" width="12" customWidth="1"/>
    <col min="13" max="13" width="11.453125" customWidth="1"/>
    <col min="14" max="14" width="12" customWidth="1"/>
    <col min="15" max="26" width="8.453125" customWidth="1"/>
  </cols>
  <sheetData>
    <row r="1" spans="1:26" ht="14.25" customHeight="1" x14ac:dyDescent="0.3">
      <c r="A1" s="417" t="s">
        <v>0</v>
      </c>
      <c r="B1" s="444">
        <v>45289</v>
      </c>
      <c r="C1" s="444">
        <v>44955</v>
      </c>
      <c r="D1" s="444">
        <v>44985</v>
      </c>
      <c r="E1" s="444">
        <v>45014</v>
      </c>
      <c r="F1" s="444">
        <v>45045</v>
      </c>
      <c r="G1" s="444">
        <v>45075</v>
      </c>
      <c r="H1" s="444">
        <v>45106</v>
      </c>
      <c r="I1" s="445">
        <v>45136</v>
      </c>
      <c r="J1" s="444">
        <v>45167</v>
      </c>
      <c r="K1" s="444">
        <v>45198</v>
      </c>
      <c r="L1" s="444">
        <v>45228</v>
      </c>
      <c r="M1" s="444">
        <v>45259</v>
      </c>
      <c r="N1" s="444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">
        <v>256</v>
      </c>
      <c r="B2" s="434">
        <f>+'DADOS 2024 I'!N12</f>
        <v>4138.9399999999996</v>
      </c>
      <c r="C2" s="434">
        <f>+'DADOS 2024 I'!O12</f>
        <v>4138.99</v>
      </c>
      <c r="D2" s="434">
        <f>+'DADOS 2024 I'!P12</f>
        <v>4139</v>
      </c>
      <c r="E2" s="434">
        <f>+'DADOS 2024 I'!Q12</f>
        <v>4139.13</v>
      </c>
      <c r="F2" s="434">
        <f>+'DADOS 2024 I'!R12</f>
        <v>4139.1400000000003</v>
      </c>
      <c r="G2" s="434">
        <f>+'DADOS 2024 I'!S12</f>
        <v>4139.2299999999996</v>
      </c>
      <c r="H2" s="434">
        <f>+'DADOS 2024 I'!T12</f>
        <v>4139.25</v>
      </c>
      <c r="I2" s="434">
        <f>+'DADOS 2024 I'!U12</f>
        <v>0</v>
      </c>
      <c r="J2" s="434">
        <f>+'DADOS 2024 I'!V12</f>
        <v>0</v>
      </c>
      <c r="K2" s="434">
        <f>+'DADOS 2024 I'!W12</f>
        <v>0</v>
      </c>
      <c r="L2" s="434">
        <f>+'DADOS 2024 I'!X12</f>
        <v>0</v>
      </c>
      <c r="M2" s="434">
        <f>+'DADOS 2024 I'!Y12</f>
        <v>0</v>
      </c>
      <c r="N2" s="434">
        <f>+'DADOS 2024 I'!Z12</f>
        <v>0</v>
      </c>
    </row>
    <row r="3" spans="1:26" ht="12.75" customHeight="1" x14ac:dyDescent="0.25"/>
    <row r="4" spans="1:26" ht="14.25" customHeight="1" x14ac:dyDescent="0.3">
      <c r="A4" s="426" t="s">
        <v>254</v>
      </c>
      <c r="B4" s="435"/>
      <c r="C4" s="428" t="s">
        <v>56</v>
      </c>
      <c r="D4" s="429" t="s">
        <v>57</v>
      </c>
      <c r="E4" s="429" t="s">
        <v>58</v>
      </c>
      <c r="F4" s="429" t="s">
        <v>59</v>
      </c>
      <c r="G4" s="429" t="s">
        <v>60</v>
      </c>
      <c r="H4" s="429" t="s">
        <v>61</v>
      </c>
      <c r="I4" s="429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" t="s">
        <v>256</v>
      </c>
      <c r="B5" s="436"/>
      <c r="C5" s="437">
        <f>+'CUSTO ÁGUA 2024 I'!B41</f>
        <v>51.04</v>
      </c>
      <c r="D5" s="437">
        <f>+'CUSTO ÁGUA 2024 I'!C41</f>
        <v>51.04</v>
      </c>
      <c r="E5" s="437">
        <f>+'CUSTO ÁGUA 2024 I'!D41</f>
        <v>51.04</v>
      </c>
      <c r="F5" s="437">
        <f>+'CUSTO ÁGUA 2024 I'!E41</f>
        <v>51.04</v>
      </c>
      <c r="G5" s="437">
        <f>+'CUSTO ÁGUA 2024 I'!F41</f>
        <v>51.04</v>
      </c>
      <c r="H5" s="437">
        <f>+'CUSTO ÁGUA 2024 I'!G41</f>
        <v>51.04</v>
      </c>
      <c r="I5" s="437">
        <f>+'CUSTO ÁGUA 2024 I'!H41</f>
        <v>0</v>
      </c>
      <c r="J5" s="437">
        <f>+'CUSTO ÁGUA 2024 I'!I41</f>
        <v>0</v>
      </c>
      <c r="K5" s="437">
        <f>+'CUSTO ÁGUA 2024 I'!J41</f>
        <v>0</v>
      </c>
      <c r="L5" s="437">
        <f>+'CUSTO ÁGUA 2024 I'!K41</f>
        <v>0</v>
      </c>
      <c r="M5" s="437">
        <f>+'CUSTO ÁGUA 2024 I'!L41</f>
        <v>0</v>
      </c>
      <c r="N5" s="437">
        <f>+'CUSTO ÁGUA 2024 I'!M41</f>
        <v>0</v>
      </c>
    </row>
    <row r="6" spans="1:26" ht="12.75" customHeight="1" x14ac:dyDescent="0.25">
      <c r="A6" s="48"/>
      <c r="B6" s="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</row>
    <row r="7" spans="1:26" ht="12.75" customHeight="1" x14ac:dyDescent="0.25">
      <c r="A7" s="48"/>
      <c r="B7" s="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</row>
    <row r="8" spans="1:26" ht="12.75" customHeight="1" x14ac:dyDescent="0.25">
      <c r="A8" s="48"/>
      <c r="B8" s="48"/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</row>
    <row r="9" spans="1:26" ht="12.75" customHeight="1" x14ac:dyDescent="0.25">
      <c r="A9" s="48"/>
      <c r="B9" s="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</row>
    <row r="10" spans="1:26" ht="12.75" customHeight="1" x14ac:dyDescent="0.25">
      <c r="A10" s="48"/>
      <c r="B10" s="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</row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headerFooter>
    <oddHeader>&amp;CGALPÃO - 06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37.6328125" customWidth="1"/>
    <col min="2" max="2" width="10.08984375" customWidth="1"/>
    <col min="3" max="3" width="11" customWidth="1"/>
    <col min="4" max="4" width="12.453125" customWidth="1"/>
    <col min="5" max="14" width="11" customWidth="1"/>
    <col min="15" max="26" width="8.453125" customWidth="1"/>
  </cols>
  <sheetData>
    <row r="1" spans="1:26" ht="14.25" customHeight="1" x14ac:dyDescent="0.3">
      <c r="A1" s="417" t="s">
        <v>0</v>
      </c>
      <c r="B1" s="444">
        <v>45289</v>
      </c>
      <c r="C1" s="444">
        <v>44955</v>
      </c>
      <c r="D1" s="444">
        <v>44985</v>
      </c>
      <c r="E1" s="444">
        <v>45014</v>
      </c>
      <c r="F1" s="444">
        <v>45045</v>
      </c>
      <c r="G1" s="444">
        <v>45075</v>
      </c>
      <c r="H1" s="444">
        <v>45106</v>
      </c>
      <c r="I1" s="445">
        <v>45136</v>
      </c>
      <c r="J1" s="444">
        <v>45167</v>
      </c>
      <c r="K1" s="444">
        <v>45198</v>
      </c>
      <c r="L1" s="444">
        <v>45228</v>
      </c>
      <c r="M1" s="444">
        <v>45259</v>
      </c>
      <c r="N1" s="444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tr">
        <f>'DADOS 2024 I'!A14</f>
        <v>Galpão 7 - Piso Inferior - A09S372865</v>
      </c>
      <c r="B2" s="434">
        <f>'DADOS 2024 I'!N14</f>
        <v>3102.31</v>
      </c>
      <c r="C2" s="434">
        <f>'DADOS 2024 I'!O14</f>
        <v>3102.31</v>
      </c>
      <c r="D2" s="434">
        <f>'DADOS 2024 I'!P14</f>
        <v>3104.46</v>
      </c>
      <c r="E2" s="434">
        <f>'DADOS 2024 I'!Q14</f>
        <v>3104.48</v>
      </c>
      <c r="F2" s="434">
        <f>'DADOS 2024 I'!R14</f>
        <v>3106.7</v>
      </c>
      <c r="G2" s="434">
        <f>'DADOS 2024 I'!S14</f>
        <v>3107.35</v>
      </c>
      <c r="H2" s="434">
        <f>'DADOS 2024 I'!T14</f>
        <v>3108.54</v>
      </c>
      <c r="I2" s="434">
        <f>'DADOS 2024 I'!U14</f>
        <v>0</v>
      </c>
      <c r="J2" s="434">
        <f>'DADOS 2024 I'!V14</f>
        <v>0</v>
      </c>
      <c r="K2" s="434">
        <f>'DADOS 2024 I'!W14</f>
        <v>0</v>
      </c>
      <c r="L2" s="434">
        <f>'DADOS 2024 I'!X14</f>
        <v>0</v>
      </c>
      <c r="M2" s="434">
        <f>'DADOS 2024 I'!Y14</f>
        <v>0</v>
      </c>
      <c r="N2" s="434">
        <f>'DADOS 2024 I'!Z14</f>
        <v>0</v>
      </c>
    </row>
    <row r="3" spans="1:26" ht="12.75" customHeight="1" x14ac:dyDescent="0.25"/>
    <row r="4" spans="1:26" ht="14.25" customHeight="1" x14ac:dyDescent="0.3">
      <c r="A4" s="426" t="s">
        <v>254</v>
      </c>
      <c r="B4" s="435"/>
      <c r="C4" s="428" t="s">
        <v>56</v>
      </c>
      <c r="D4" s="429" t="s">
        <v>57</v>
      </c>
      <c r="E4" s="429" t="s">
        <v>58</v>
      </c>
      <c r="F4" s="429" t="s">
        <v>59</v>
      </c>
      <c r="G4" s="429" t="s">
        <v>60</v>
      </c>
      <c r="H4" s="429" t="s">
        <v>61</v>
      </c>
      <c r="I4" s="429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" t="str">
        <f>A2</f>
        <v>Galpão 7 - Piso Inferior - A09S372865</v>
      </c>
      <c r="B5" s="436"/>
      <c r="C5" s="437">
        <f>'CUSTO ÁGUA 2024 I'!B43</f>
        <v>51.04</v>
      </c>
      <c r="D5" s="437">
        <f>'CUSTO ÁGUA 2024 I'!C43</f>
        <v>51.04</v>
      </c>
      <c r="E5" s="437">
        <f>'CUSTO ÁGUA 2024 I'!D43</f>
        <v>51.04</v>
      </c>
      <c r="F5" s="437">
        <f>'CUSTO ÁGUA 2024 I'!E43</f>
        <v>51.04</v>
      </c>
      <c r="G5" s="437">
        <f>'CUSTO ÁGUA 2024 I'!F43</f>
        <v>51.04</v>
      </c>
      <c r="H5" s="437">
        <f>'CUSTO ÁGUA 2024 I'!G43</f>
        <v>51.04</v>
      </c>
      <c r="I5" s="437">
        <f>'CUSTO ÁGUA 2024 I'!H43</f>
        <v>0</v>
      </c>
      <c r="J5" s="437">
        <f>'CUSTO ÁGUA 2024 I'!I43</f>
        <v>0</v>
      </c>
      <c r="K5" s="437">
        <f>'CUSTO ÁGUA 2024 I'!J43</f>
        <v>0</v>
      </c>
      <c r="L5" s="437">
        <f>'CUSTO ÁGUA 2024 I'!K43</f>
        <v>0</v>
      </c>
      <c r="M5" s="437">
        <f>'CUSTO ÁGUA 2024 I'!L43</f>
        <v>0</v>
      </c>
      <c r="N5" s="437">
        <f>'CUSTO ÁGUA 2024 I'!M43</f>
        <v>0</v>
      </c>
    </row>
    <row r="6" spans="1:26" ht="12.75" customHeight="1" x14ac:dyDescent="0.25">
      <c r="A6" s="48"/>
      <c r="B6" s="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</row>
    <row r="7" spans="1:26" ht="12.75" customHeight="1" x14ac:dyDescent="0.25">
      <c r="A7" s="48"/>
      <c r="B7" s="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</row>
    <row r="8" spans="1:26" ht="12.75" customHeight="1" x14ac:dyDescent="0.25">
      <c r="A8" s="48"/>
      <c r="B8" s="48"/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</row>
    <row r="9" spans="1:26" ht="12.75" customHeight="1" x14ac:dyDescent="0.25">
      <c r="A9" s="48"/>
      <c r="B9" s="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</row>
    <row r="10" spans="1:26" ht="12.75" customHeight="1" x14ac:dyDescent="0.25">
      <c r="A10" s="48"/>
      <c r="B10" s="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</row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headerFooter>
    <oddHeader>&amp;CGALPÃO - 7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37.6328125" customWidth="1"/>
    <col min="2" max="2" width="10.08984375" customWidth="1"/>
    <col min="3" max="3" width="11" customWidth="1"/>
    <col min="4" max="4" width="12.453125" customWidth="1"/>
    <col min="5" max="14" width="11" customWidth="1"/>
    <col min="15" max="26" width="8.453125" customWidth="1"/>
  </cols>
  <sheetData>
    <row r="1" spans="1:26" ht="14.25" customHeight="1" x14ac:dyDescent="0.3">
      <c r="A1" s="417" t="s">
        <v>0</v>
      </c>
      <c r="B1" s="444">
        <v>45289</v>
      </c>
      <c r="C1" s="444">
        <v>44955</v>
      </c>
      <c r="D1" s="444">
        <v>44985</v>
      </c>
      <c r="E1" s="444">
        <v>45014</v>
      </c>
      <c r="F1" s="444">
        <v>45045</v>
      </c>
      <c r="G1" s="444">
        <v>45075</v>
      </c>
      <c r="H1" s="444">
        <v>45106</v>
      </c>
      <c r="I1" s="445">
        <v>45136</v>
      </c>
      <c r="J1" s="444">
        <v>45167</v>
      </c>
      <c r="K1" s="444">
        <v>45198</v>
      </c>
      <c r="L1" s="444">
        <v>45228</v>
      </c>
      <c r="M1" s="444">
        <v>45259</v>
      </c>
      <c r="N1" s="444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tr">
        <f>'DADOS 2024 I'!A15</f>
        <v>Galpão 7 - Piso Superior - A09S372869</v>
      </c>
      <c r="B2" s="434">
        <f>'DADOS 2024 I'!N15</f>
        <v>33.85</v>
      </c>
      <c r="C2" s="434">
        <f>'DADOS 2024 I'!O15</f>
        <v>33.85</v>
      </c>
      <c r="D2" s="434">
        <f>'DADOS 2024 I'!P15</f>
        <v>34.270000000000003</v>
      </c>
      <c r="E2" s="434">
        <f>'DADOS 2024 I'!Q15</f>
        <v>34.409999999999997</v>
      </c>
      <c r="F2" s="434">
        <f>'DADOS 2024 I'!R15</f>
        <v>34.409999999999997</v>
      </c>
      <c r="G2" s="434">
        <f>'DADOS 2024 I'!S15</f>
        <v>34.51</v>
      </c>
      <c r="H2" s="434">
        <f>'DADOS 2024 I'!T15</f>
        <v>34.51</v>
      </c>
      <c r="I2" s="434">
        <f>'DADOS 2024 I'!U15</f>
        <v>0</v>
      </c>
      <c r="J2" s="434">
        <f>'DADOS 2024 I'!V15</f>
        <v>0</v>
      </c>
      <c r="K2" s="434">
        <f>'DADOS 2024 I'!W15</f>
        <v>0</v>
      </c>
      <c r="L2" s="434">
        <f>'DADOS 2024 I'!X15</f>
        <v>0</v>
      </c>
      <c r="M2" s="434">
        <f>'DADOS 2024 I'!Y15</f>
        <v>0</v>
      </c>
      <c r="N2" s="434">
        <f>'DADOS 2024 I'!Z15</f>
        <v>0</v>
      </c>
    </row>
    <row r="3" spans="1:26" ht="12.75" customHeight="1" x14ac:dyDescent="0.25"/>
    <row r="4" spans="1:26" ht="14.25" customHeight="1" x14ac:dyDescent="0.3">
      <c r="A4" s="426" t="s">
        <v>254</v>
      </c>
      <c r="B4" s="435"/>
      <c r="C4" s="428" t="s">
        <v>56</v>
      </c>
      <c r="D4" s="429" t="s">
        <v>57</v>
      </c>
      <c r="E4" s="429" t="s">
        <v>58</v>
      </c>
      <c r="F4" s="429" t="s">
        <v>59</v>
      </c>
      <c r="G4" s="429" t="s">
        <v>60</v>
      </c>
      <c r="H4" s="429" t="s">
        <v>61</v>
      </c>
      <c r="I4" s="429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" t="str">
        <f>A2</f>
        <v>Galpão 7 - Piso Superior - A09S372869</v>
      </c>
      <c r="B5" s="436"/>
      <c r="C5" s="437">
        <f>'CUSTO ÁGUA 2024 I'!B44</f>
        <v>51.04</v>
      </c>
      <c r="D5" s="437">
        <f>'CUSTO ÁGUA 2024 I'!C44</f>
        <v>51.04</v>
      </c>
      <c r="E5" s="437">
        <f>'CUSTO ÁGUA 2024 I'!D44</f>
        <v>51.04</v>
      </c>
      <c r="F5" s="437">
        <f>'CUSTO ÁGUA 2024 I'!E44</f>
        <v>51.04</v>
      </c>
      <c r="G5" s="437">
        <f>'CUSTO ÁGUA 2024 I'!F44</f>
        <v>51.04</v>
      </c>
      <c r="H5" s="437">
        <f>'CUSTO ÁGUA 2024 I'!G44</f>
        <v>51.04</v>
      </c>
      <c r="I5" s="437">
        <f>'CUSTO ÁGUA 2024 I'!H44</f>
        <v>0</v>
      </c>
      <c r="J5" s="437">
        <f>'CUSTO ÁGUA 2024 I'!I44</f>
        <v>0</v>
      </c>
      <c r="K5" s="437">
        <f>'CUSTO ÁGUA 2024 I'!J44</f>
        <v>0</v>
      </c>
      <c r="L5" s="437">
        <f>'CUSTO ÁGUA 2024 I'!K44</f>
        <v>0</v>
      </c>
      <c r="M5" s="437">
        <f>'CUSTO ÁGUA 2024 I'!L44</f>
        <v>0</v>
      </c>
      <c r="N5" s="437">
        <f>'CUSTO ÁGUA 2024 I'!M44</f>
        <v>0</v>
      </c>
    </row>
    <row r="6" spans="1:26" ht="12.75" customHeight="1" x14ac:dyDescent="0.25">
      <c r="A6" s="48"/>
      <c r="B6" s="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</row>
    <row r="7" spans="1:26" ht="12.75" customHeight="1" x14ac:dyDescent="0.25">
      <c r="A7" s="48"/>
      <c r="B7" s="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</row>
    <row r="8" spans="1:26" ht="12.75" customHeight="1" x14ac:dyDescent="0.25">
      <c r="A8" s="48"/>
      <c r="B8" s="48"/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</row>
    <row r="9" spans="1:26" ht="12.75" customHeight="1" x14ac:dyDescent="0.25">
      <c r="A9" s="48"/>
      <c r="B9" s="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</row>
    <row r="10" spans="1:26" ht="12.75" customHeight="1" x14ac:dyDescent="0.25">
      <c r="A10" s="48"/>
      <c r="B10" s="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</row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40.36328125" customWidth="1"/>
    <col min="2" max="14" width="8.6328125" customWidth="1"/>
    <col min="15" max="26" width="7" customWidth="1"/>
  </cols>
  <sheetData>
    <row r="1" spans="1:26" ht="14.25" customHeight="1" x14ac:dyDescent="0.3">
      <c r="A1" s="417" t="s">
        <v>0</v>
      </c>
      <c r="B1" s="418">
        <v>45655</v>
      </c>
      <c r="C1" s="419">
        <v>45320</v>
      </c>
      <c r="D1" s="419">
        <v>45350</v>
      </c>
      <c r="E1" s="419">
        <v>45380</v>
      </c>
      <c r="F1" s="418">
        <v>45411</v>
      </c>
      <c r="G1" s="418">
        <v>45441</v>
      </c>
      <c r="H1" s="418">
        <v>45472</v>
      </c>
      <c r="I1" s="420">
        <v>45502</v>
      </c>
      <c r="J1" s="418">
        <v>45533</v>
      </c>
      <c r="K1" s="418">
        <v>45564</v>
      </c>
      <c r="L1" s="418">
        <v>45594</v>
      </c>
      <c r="M1" s="418">
        <v>45625</v>
      </c>
      <c r="N1" s="421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">
        <v>257</v>
      </c>
      <c r="B2" s="434">
        <f>+'DADOS 2024 I'!N16</f>
        <v>369.93</v>
      </c>
      <c r="C2" s="434">
        <f>+'DADOS 2024 I'!O16</f>
        <v>373.52</v>
      </c>
      <c r="D2" s="434">
        <f>+'DADOS 2024 I'!P16</f>
        <v>377.1</v>
      </c>
      <c r="E2" s="434">
        <f>+'DADOS 2024 I'!Q16</f>
        <v>381.87</v>
      </c>
      <c r="F2" s="434">
        <f>+'DADOS 2024 I'!R16</f>
        <v>385.85</v>
      </c>
      <c r="G2" s="434">
        <f>+'DADOS 2024 I'!S16</f>
        <v>390.7</v>
      </c>
      <c r="H2" s="434">
        <f>+'DADOS 2024 I'!T16</f>
        <v>394.71</v>
      </c>
      <c r="I2" s="434">
        <f>+'DADOS 2024 I'!U16</f>
        <v>0</v>
      </c>
      <c r="J2" s="434">
        <f>+'DADOS 2024 I'!V16</f>
        <v>0</v>
      </c>
      <c r="K2" s="434">
        <f>+'DADOS 2024 I'!W16</f>
        <v>0</v>
      </c>
      <c r="L2" s="434">
        <f>+'DADOS 2024 I'!X16</f>
        <v>0</v>
      </c>
      <c r="M2" s="434">
        <f>+'DADOS 2024 I'!Y16</f>
        <v>0</v>
      </c>
      <c r="N2" s="434">
        <f>+'DADOS 2024 I'!Z16</f>
        <v>0</v>
      </c>
    </row>
    <row r="3" spans="1:26" ht="12.75" customHeight="1" x14ac:dyDescent="0.25"/>
    <row r="4" spans="1:26" ht="14.25" customHeight="1" x14ac:dyDescent="0.3">
      <c r="A4" s="426" t="s">
        <v>254</v>
      </c>
      <c r="B4" s="435"/>
      <c r="C4" s="428" t="s">
        <v>56</v>
      </c>
      <c r="D4" s="429" t="s">
        <v>57</v>
      </c>
      <c r="E4" s="429" t="s">
        <v>58</v>
      </c>
      <c r="F4" s="429" t="s">
        <v>59</v>
      </c>
      <c r="G4" s="429" t="s">
        <v>60</v>
      </c>
      <c r="H4" s="429" t="s">
        <v>61</v>
      </c>
      <c r="I4" s="429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" t="s">
        <v>258</v>
      </c>
      <c r="B5" s="436"/>
      <c r="C5" s="437">
        <f>+'CUSTO ÁGUA 2024 I'!B45</f>
        <v>51.04</v>
      </c>
      <c r="D5" s="437">
        <f>+'CUSTO ÁGUA 2024 I'!C45</f>
        <v>51.04</v>
      </c>
      <c r="E5" s="437">
        <f>+'CUSTO ÁGUA 2024 I'!D45</f>
        <v>51.04</v>
      </c>
      <c r="F5" s="437">
        <f>+'CUSTO ÁGUA 2024 I'!E45</f>
        <v>51.04</v>
      </c>
      <c r="G5" s="437">
        <f>+'CUSTO ÁGUA 2024 I'!F45</f>
        <v>51.04</v>
      </c>
      <c r="H5" s="437">
        <f>+'CUSTO ÁGUA 2024 I'!G45</f>
        <v>51.04</v>
      </c>
      <c r="I5" s="437">
        <f>+'CUSTO ÁGUA 2024 I'!H45</f>
        <v>0</v>
      </c>
      <c r="J5" s="437">
        <f>+'CUSTO ÁGUA 2024 I'!I45</f>
        <v>0</v>
      </c>
      <c r="K5" s="437">
        <f>+'CUSTO ÁGUA 2024 I'!J45</f>
        <v>0</v>
      </c>
      <c r="L5" s="437">
        <f>+'CUSTO ÁGUA 2024 I'!K45</f>
        <v>0</v>
      </c>
      <c r="M5" s="437">
        <f>+'CUSTO ÁGUA 2024 I'!L45</f>
        <v>0</v>
      </c>
      <c r="N5" s="437">
        <f>+'CUSTO ÁGUA 2024 I'!M45</f>
        <v>0</v>
      </c>
    </row>
    <row r="6" spans="1:26" ht="12.75" customHeight="1" x14ac:dyDescent="0.25"/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spans="9:9" ht="12.75" customHeight="1" x14ac:dyDescent="0.25"/>
    <row r="18" spans="9:9" ht="12.75" customHeight="1" x14ac:dyDescent="0.25"/>
    <row r="19" spans="9:9" ht="12.75" customHeight="1" x14ac:dyDescent="0.25"/>
    <row r="20" spans="9:9" ht="12.75" customHeight="1" x14ac:dyDescent="0.25"/>
    <row r="21" spans="9:9" ht="12.75" customHeight="1" x14ac:dyDescent="0.25"/>
    <row r="22" spans="9:9" ht="12.75" customHeight="1" x14ac:dyDescent="0.25"/>
    <row r="23" spans="9:9" ht="12.75" customHeight="1" x14ac:dyDescent="0.25"/>
    <row r="24" spans="9:9" ht="12.75" customHeight="1" x14ac:dyDescent="0.25"/>
    <row r="25" spans="9:9" ht="12.75" customHeight="1" x14ac:dyDescent="0.25"/>
    <row r="26" spans="9:9" ht="12.75" customHeight="1" x14ac:dyDescent="0.25"/>
    <row r="27" spans="9:9" ht="12.75" customHeight="1" x14ac:dyDescent="0.25">
      <c r="I27" s="48" t="s">
        <v>52</v>
      </c>
    </row>
    <row r="28" spans="9:9" ht="12.75" customHeight="1" x14ac:dyDescent="0.25"/>
    <row r="29" spans="9:9" ht="12.75" customHeight="1" x14ac:dyDescent="0.25"/>
    <row r="30" spans="9:9" ht="12.75" customHeight="1" x14ac:dyDescent="0.25"/>
    <row r="31" spans="9:9" ht="12.75" customHeight="1" x14ac:dyDescent="0.25"/>
    <row r="32" spans="9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headerFooter>
    <oddHeader>&amp;CG8 Piso Inferior - Nek Packing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71"/>
  <sheetViews>
    <sheetView workbookViewId="0"/>
  </sheetViews>
  <sheetFormatPr defaultColWidth="12.6328125" defaultRowHeight="15" customHeight="1" x14ac:dyDescent="0.25"/>
  <cols>
    <col min="1" max="1" width="41.6328125" customWidth="1"/>
    <col min="2" max="4" width="11" customWidth="1"/>
    <col min="5" max="5" width="9.36328125" customWidth="1"/>
    <col min="6" max="6" width="11.453125" customWidth="1"/>
    <col min="7" max="7" width="12.36328125" customWidth="1"/>
    <col min="8" max="8" width="11" customWidth="1"/>
    <col min="9" max="10" width="11.453125" customWidth="1"/>
    <col min="11" max="11" width="11.08984375" customWidth="1"/>
    <col min="12" max="13" width="11.453125" customWidth="1"/>
    <col min="14" max="14" width="10.36328125" customWidth="1"/>
    <col min="15" max="26" width="8.453125" customWidth="1"/>
  </cols>
  <sheetData>
    <row r="1" spans="1:26" ht="12.75" customHeight="1" x14ac:dyDescent="0.25">
      <c r="A1" s="452" t="s">
        <v>53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1"/>
    </row>
    <row r="2" spans="1:26" ht="12.75" customHeight="1" x14ac:dyDescent="0.35">
      <c r="A2" s="449" t="s">
        <v>54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1"/>
    </row>
    <row r="3" spans="1:26" ht="17.25" customHeight="1" x14ac:dyDescent="0.35">
      <c r="A3" s="111" t="s">
        <v>55</v>
      </c>
      <c r="B3" s="112" t="s">
        <v>56</v>
      </c>
      <c r="C3" s="113" t="s">
        <v>57</v>
      </c>
      <c r="D3" s="113" t="s">
        <v>58</v>
      </c>
      <c r="E3" s="113" t="s">
        <v>59</v>
      </c>
      <c r="F3" s="113" t="s">
        <v>60</v>
      </c>
      <c r="G3" s="113" t="s">
        <v>61</v>
      </c>
      <c r="H3" s="113" t="s">
        <v>62</v>
      </c>
      <c r="I3" s="113" t="s">
        <v>63</v>
      </c>
      <c r="J3" s="113" t="s">
        <v>64</v>
      </c>
      <c r="K3" s="113" t="s">
        <v>65</v>
      </c>
      <c r="L3" s="113" t="s">
        <v>66</v>
      </c>
      <c r="M3" s="113" t="s">
        <v>67</v>
      </c>
      <c r="N3" s="114" t="s">
        <v>68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spans="1:26" ht="12.75" customHeight="1" x14ac:dyDescent="0.35">
      <c r="A4" s="116" t="s">
        <v>69</v>
      </c>
      <c r="B4" s="117">
        <f>+'GRÁFICO ÁGUA 2024 I'!B202/1.5</f>
        <v>235.04000000000087</v>
      </c>
      <c r="C4" s="117">
        <f>+'GRÁFICO ÁGUA 2024 I'!C202/1.5</f>
        <v>207.14666666666622</v>
      </c>
      <c r="D4" s="117">
        <f>+'GRÁFICO ÁGUA 2024 I'!D202/1.5</f>
        <v>185.48666666666637</v>
      </c>
      <c r="E4" s="117">
        <f>+'GRÁFICO ÁGUA 2024 I'!E202/1.5</f>
        <v>199.11333333333337</v>
      </c>
      <c r="F4" s="117">
        <f>+'GRÁFICO ÁGUA 2024 I'!F202/1.5</f>
        <v>215.74666666666721</v>
      </c>
      <c r="G4" s="117">
        <f>+'GRÁFICO ÁGUA 2024 I'!G202/1.5</f>
        <v>151.03999999999965</v>
      </c>
      <c r="H4" s="117"/>
      <c r="I4" s="117"/>
      <c r="J4" s="117"/>
      <c r="K4" s="117"/>
      <c r="L4" s="117"/>
      <c r="M4" s="117"/>
      <c r="N4" s="118">
        <f>+SUM(B4:M4)</f>
        <v>1193.5733333333337</v>
      </c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spans="1:26" ht="12.75" customHeight="1" x14ac:dyDescent="0.35">
      <c r="A5" s="120" t="s">
        <v>70</v>
      </c>
      <c r="B5" s="121">
        <f t="shared" ref="B5:M5" si="0">+B4/720</f>
        <v>0.32644444444444565</v>
      </c>
      <c r="C5" s="121">
        <f t="shared" si="0"/>
        <v>0.28770370370370307</v>
      </c>
      <c r="D5" s="121">
        <f t="shared" si="0"/>
        <v>0.25762037037036994</v>
      </c>
      <c r="E5" s="121">
        <f t="shared" si="0"/>
        <v>0.27654629629629635</v>
      </c>
      <c r="F5" s="121">
        <f t="shared" si="0"/>
        <v>0.29964814814814889</v>
      </c>
      <c r="G5" s="121">
        <f t="shared" si="0"/>
        <v>0.20977777777777729</v>
      </c>
      <c r="H5" s="121">
        <f t="shared" si="0"/>
        <v>0</v>
      </c>
      <c r="I5" s="121">
        <f t="shared" si="0"/>
        <v>0</v>
      </c>
      <c r="J5" s="121">
        <f t="shared" si="0"/>
        <v>0</v>
      </c>
      <c r="K5" s="121">
        <f t="shared" si="0"/>
        <v>0</v>
      </c>
      <c r="L5" s="121">
        <f t="shared" si="0"/>
        <v>0</v>
      </c>
      <c r="M5" s="121">
        <f t="shared" si="0"/>
        <v>0</v>
      </c>
      <c r="N5" s="122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</row>
    <row r="6" spans="1:26" ht="12.75" customHeight="1" x14ac:dyDescent="0.25">
      <c r="A6" s="123" t="s">
        <v>71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124"/>
    </row>
    <row r="7" spans="1:26" ht="12.75" customHeight="1" x14ac:dyDescent="0.25">
      <c r="A7" s="123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124"/>
    </row>
    <row r="8" spans="1:26" ht="12.75" customHeight="1" x14ac:dyDescent="0.35">
      <c r="A8" s="449" t="s">
        <v>72</v>
      </c>
      <c r="B8" s="450"/>
      <c r="C8" s="450"/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1"/>
    </row>
    <row r="9" spans="1:26" ht="12.75" customHeight="1" x14ac:dyDescent="0.35">
      <c r="A9" s="10"/>
      <c r="B9" s="112" t="s">
        <v>56</v>
      </c>
      <c r="C9" s="113" t="s">
        <v>57</v>
      </c>
      <c r="D9" s="113" t="s">
        <v>58</v>
      </c>
      <c r="E9" s="113" t="s">
        <v>59</v>
      </c>
      <c r="F9" s="113" t="s">
        <v>60</v>
      </c>
      <c r="G9" s="113" t="s">
        <v>61</v>
      </c>
      <c r="H9" s="113" t="s">
        <v>62</v>
      </c>
      <c r="I9" s="113" t="s">
        <v>63</v>
      </c>
      <c r="J9" s="113" t="s">
        <v>64</v>
      </c>
      <c r="K9" s="113" t="s">
        <v>65</v>
      </c>
      <c r="L9" s="113" t="s">
        <v>66</v>
      </c>
      <c r="M9" s="113" t="s">
        <v>67</v>
      </c>
      <c r="N9" s="114" t="s">
        <v>68</v>
      </c>
    </row>
    <row r="10" spans="1:26" ht="12.75" customHeight="1" x14ac:dyDescent="0.35">
      <c r="A10" s="116" t="s">
        <v>73</v>
      </c>
      <c r="B10" s="125">
        <f>+'DADOS 2024 I'!O42-'DADOS 2024 I'!N42</f>
        <v>242.10000000000582</v>
      </c>
      <c r="C10" s="125">
        <f>+'DADOS 2024 I'!P42-'DADOS 2024 I'!O42</f>
        <v>146.93000000000029</v>
      </c>
      <c r="D10" s="125">
        <f>+'DADOS 2024 I'!Q42-'DADOS 2024 I'!P42</f>
        <v>150.02999999999884</v>
      </c>
      <c r="E10" s="125">
        <f>+'DADOS 2024 I'!R42-'DADOS 2024 I'!Q42</f>
        <v>133.58999999999651</v>
      </c>
      <c r="F10" s="125">
        <f>+'DADOS 2024 I'!S42-'DADOS 2024 I'!R42</f>
        <v>201.70999999999913</v>
      </c>
      <c r="G10" s="125">
        <f>+'DADOS 2024 I'!T42-'DADOS 2024 I'!S42</f>
        <v>144.68000000000029</v>
      </c>
      <c r="H10" s="125"/>
      <c r="I10" s="125"/>
      <c r="J10" s="125"/>
      <c r="K10" s="125"/>
      <c r="L10" s="125"/>
      <c r="M10" s="125"/>
      <c r="N10" s="118">
        <f>SUM(B10:M10)</f>
        <v>1019.0400000000009</v>
      </c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spans="1:26" ht="12.75" customHeight="1" x14ac:dyDescent="0.35">
      <c r="A11" s="120" t="s">
        <v>70</v>
      </c>
      <c r="B11" s="121">
        <f t="shared" ref="B11:M11" si="1">+B10/720</f>
        <v>0.3362500000000081</v>
      </c>
      <c r="C11" s="121">
        <f t="shared" si="1"/>
        <v>0.20406944444444486</v>
      </c>
      <c r="D11" s="121">
        <f t="shared" si="1"/>
        <v>0.20837499999999839</v>
      </c>
      <c r="E11" s="121">
        <f t="shared" si="1"/>
        <v>0.1855416666666618</v>
      </c>
      <c r="F11" s="121">
        <f t="shared" si="1"/>
        <v>0.28015277777777658</v>
      </c>
      <c r="G11" s="121">
        <f t="shared" si="1"/>
        <v>0.20094444444444484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2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spans="1:26" ht="12.75" customHeight="1" x14ac:dyDescent="0.35">
      <c r="A12" s="123" t="s">
        <v>71</v>
      </c>
      <c r="B12" s="48"/>
      <c r="C12" s="48"/>
      <c r="D12" s="126"/>
      <c r="E12" s="48"/>
      <c r="F12" s="48"/>
      <c r="G12" s="48"/>
      <c r="H12" s="48"/>
      <c r="I12" s="48"/>
      <c r="J12" s="48"/>
      <c r="K12" s="48"/>
      <c r="L12" s="48"/>
      <c r="M12" s="48"/>
      <c r="N12" s="124"/>
    </row>
    <row r="13" spans="1:26" ht="12.75" customHeight="1" x14ac:dyDescent="0.25">
      <c r="A13" s="123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124"/>
    </row>
    <row r="14" spans="1:26" ht="12.75" customHeight="1" x14ac:dyDescent="0.35">
      <c r="A14" s="449" t="s">
        <v>74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1"/>
    </row>
    <row r="15" spans="1:26" ht="12.75" customHeight="1" x14ac:dyDescent="0.35">
      <c r="A15" s="10"/>
      <c r="B15" s="112" t="s">
        <v>56</v>
      </c>
      <c r="C15" s="113" t="s">
        <v>57</v>
      </c>
      <c r="D15" s="113" t="s">
        <v>58</v>
      </c>
      <c r="E15" s="127" t="s">
        <v>59</v>
      </c>
      <c r="F15" s="113" t="s">
        <v>60</v>
      </c>
      <c r="G15" s="113" t="s">
        <v>61</v>
      </c>
      <c r="H15" s="113" t="s">
        <v>62</v>
      </c>
      <c r="I15" s="113" t="s">
        <v>63</v>
      </c>
      <c r="J15" s="113" t="s">
        <v>64</v>
      </c>
      <c r="K15" s="113" t="s">
        <v>65</v>
      </c>
      <c r="L15" s="113" t="s">
        <v>66</v>
      </c>
      <c r="M15" s="113" t="s">
        <v>67</v>
      </c>
      <c r="N15" s="114"/>
    </row>
    <row r="16" spans="1:26" ht="12.75" customHeight="1" x14ac:dyDescent="0.35">
      <c r="A16" s="116" t="s">
        <v>75</v>
      </c>
      <c r="B16" s="128">
        <f t="shared" ref="B16:M16" si="2">+B4/B10</f>
        <v>0.97083849648903442</v>
      </c>
      <c r="C16" s="128">
        <f t="shared" si="2"/>
        <v>1.4098323464688343</v>
      </c>
      <c r="D16" s="128">
        <f t="shared" si="2"/>
        <v>1.2363305116754504</v>
      </c>
      <c r="E16" s="128">
        <f t="shared" si="2"/>
        <v>1.4904808244130443</v>
      </c>
      <c r="F16" s="128">
        <f t="shared" si="2"/>
        <v>1.0695883529159096</v>
      </c>
      <c r="G16" s="128">
        <f t="shared" si="2"/>
        <v>1.0439590821122433</v>
      </c>
      <c r="H16" s="128" t="e">
        <f t="shared" si="2"/>
        <v>#DIV/0!</v>
      </c>
      <c r="I16" s="128" t="e">
        <f t="shared" si="2"/>
        <v>#DIV/0!</v>
      </c>
      <c r="J16" s="128" t="e">
        <f t="shared" si="2"/>
        <v>#DIV/0!</v>
      </c>
      <c r="K16" s="128" t="e">
        <f t="shared" si="2"/>
        <v>#DIV/0!</v>
      </c>
      <c r="L16" s="128" t="e">
        <f t="shared" si="2"/>
        <v>#DIV/0!</v>
      </c>
      <c r="M16" s="128" t="e">
        <f t="shared" si="2"/>
        <v>#DIV/0!</v>
      </c>
      <c r="N16" s="12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 spans="1:26" ht="12.75" customHeight="1" x14ac:dyDescent="0.35">
      <c r="A17" s="119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</row>
    <row r="18" spans="1:26" ht="12.75" hidden="1" customHeight="1" x14ac:dyDescent="0.25"/>
    <row r="19" spans="1:26" ht="12.75" hidden="1" customHeight="1" x14ac:dyDescent="0.35">
      <c r="A19" s="453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5"/>
    </row>
    <row r="20" spans="1:26" ht="12.75" hidden="1" customHeight="1" x14ac:dyDescent="0.35">
      <c r="A20" s="131"/>
      <c r="B20" s="456" t="s">
        <v>77</v>
      </c>
      <c r="C20" s="457"/>
      <c r="D20" s="457"/>
      <c r="E20" s="457"/>
      <c r="F20" s="457"/>
      <c r="G20" s="457"/>
      <c r="H20" s="457"/>
      <c r="I20" s="457"/>
      <c r="J20" s="457"/>
      <c r="K20" s="457"/>
      <c r="L20" s="457"/>
      <c r="M20" s="457"/>
      <c r="N20" s="458"/>
    </row>
    <row r="21" spans="1:26" ht="12.75" hidden="1" customHeight="1" x14ac:dyDescent="0.35">
      <c r="A21" s="132" t="s">
        <v>78</v>
      </c>
      <c r="B21" s="133">
        <v>37987</v>
      </c>
      <c r="C21" s="133">
        <v>38018</v>
      </c>
      <c r="D21" s="133">
        <v>38047</v>
      </c>
      <c r="E21" s="133"/>
      <c r="F21" s="133"/>
      <c r="G21" s="133"/>
      <c r="H21" s="133"/>
      <c r="I21" s="133"/>
      <c r="J21" s="133"/>
      <c r="K21" s="133"/>
      <c r="L21" s="133"/>
      <c r="M21" s="133"/>
      <c r="N21" s="134"/>
    </row>
    <row r="22" spans="1:26" ht="12.75" hidden="1" customHeight="1" x14ac:dyDescent="0.35">
      <c r="A22" s="135" t="s">
        <v>79</v>
      </c>
      <c r="B22" s="136">
        <v>1.8</v>
      </c>
      <c r="C22" s="137">
        <v>1.8</v>
      </c>
      <c r="D22" s="137">
        <v>1.895</v>
      </c>
      <c r="E22" s="137"/>
      <c r="F22" s="137"/>
      <c r="G22" s="137"/>
      <c r="H22" s="137"/>
      <c r="I22" s="137"/>
      <c r="J22" s="137"/>
      <c r="K22" s="137"/>
      <c r="L22" s="137"/>
      <c r="M22" s="137"/>
      <c r="N22" s="138"/>
    </row>
    <row r="23" spans="1:26" ht="12.75" hidden="1" customHeight="1" x14ac:dyDescent="0.35">
      <c r="A23" s="139" t="s">
        <v>80</v>
      </c>
      <c r="B23" s="140">
        <f t="shared" ref="B23:D23" si="3">1/(2.057/B22)</f>
        <v>0.87506076810889655</v>
      </c>
      <c r="C23" s="121">
        <f t="shared" si="3"/>
        <v>0.87506076810889655</v>
      </c>
      <c r="D23" s="121">
        <f t="shared" si="3"/>
        <v>0.92124453087019931</v>
      </c>
      <c r="E23" s="121"/>
      <c r="F23" s="121"/>
      <c r="G23" s="121"/>
      <c r="H23" s="121"/>
      <c r="I23" s="121"/>
      <c r="J23" s="121"/>
      <c r="K23" s="121"/>
      <c r="L23" s="121"/>
      <c r="M23" s="141"/>
      <c r="N23" s="142"/>
    </row>
    <row r="24" spans="1:26" ht="12.75" hidden="1" customHeight="1" x14ac:dyDescent="0.25">
      <c r="B24" s="48" t="s">
        <v>81</v>
      </c>
      <c r="C24" s="48" t="s">
        <v>81</v>
      </c>
      <c r="D24" s="48" t="s">
        <v>82</v>
      </c>
    </row>
    <row r="25" spans="1:26" ht="12.75" hidden="1" customHeight="1" x14ac:dyDescent="0.35">
      <c r="A25" s="143"/>
      <c r="B25" s="48" t="s">
        <v>83</v>
      </c>
      <c r="C25" s="48" t="s">
        <v>83</v>
      </c>
      <c r="D25" s="48" t="s">
        <v>83</v>
      </c>
    </row>
    <row r="26" spans="1:26" ht="12.75" customHeight="1" x14ac:dyDescent="0.25">
      <c r="G26" s="144"/>
    </row>
    <row r="27" spans="1:26" ht="12.75" customHeight="1" x14ac:dyDescent="0.25">
      <c r="A27" s="452" t="s">
        <v>84</v>
      </c>
      <c r="B27" s="450"/>
      <c r="C27" s="450"/>
      <c r="D27" s="450"/>
      <c r="E27" s="450"/>
      <c r="F27" s="450"/>
      <c r="G27" s="450"/>
      <c r="H27" s="450"/>
      <c r="I27" s="450"/>
      <c r="J27" s="450"/>
      <c r="K27" s="450"/>
      <c r="L27" s="450"/>
      <c r="M27" s="450"/>
      <c r="N27" s="451"/>
    </row>
    <row r="28" spans="1:26" ht="12.75" customHeight="1" x14ac:dyDescent="0.35">
      <c r="A28" s="449" t="s">
        <v>54</v>
      </c>
      <c r="B28" s="450"/>
      <c r="C28" s="450"/>
      <c r="D28" s="450"/>
      <c r="E28" s="450"/>
      <c r="F28" s="450"/>
      <c r="G28" s="450"/>
      <c r="H28" s="450"/>
      <c r="I28" s="450"/>
      <c r="J28" s="450"/>
      <c r="K28" s="450"/>
      <c r="L28" s="450"/>
      <c r="M28" s="450"/>
      <c r="N28" s="451"/>
    </row>
    <row r="29" spans="1:26" ht="12.75" customHeight="1" x14ac:dyDescent="0.35">
      <c r="A29" s="10" t="s">
        <v>85</v>
      </c>
      <c r="B29" s="112" t="s">
        <v>56</v>
      </c>
      <c r="C29" s="113" t="s">
        <v>57</v>
      </c>
      <c r="D29" s="113" t="s">
        <v>58</v>
      </c>
      <c r="E29" s="113" t="s">
        <v>59</v>
      </c>
      <c r="F29" s="113" t="s">
        <v>60</v>
      </c>
      <c r="G29" s="113" t="s">
        <v>61</v>
      </c>
      <c r="H29" s="113" t="s">
        <v>62</v>
      </c>
      <c r="I29" s="113" t="s">
        <v>63</v>
      </c>
      <c r="J29" s="113" t="s">
        <v>64</v>
      </c>
      <c r="K29" s="113" t="s">
        <v>65</v>
      </c>
      <c r="L29" s="113" t="s">
        <v>66</v>
      </c>
      <c r="M29" s="113" t="s">
        <v>67</v>
      </c>
      <c r="N29" s="114" t="s">
        <v>68</v>
      </c>
    </row>
    <row r="30" spans="1:26" ht="12.75" customHeight="1" x14ac:dyDescent="0.35">
      <c r="A30" s="116" t="s">
        <v>69</v>
      </c>
      <c r="B30" s="117">
        <f>+'GRÁFICO ÁGUA 2024 I'!B203/0.5</f>
        <v>61.679999999999836</v>
      </c>
      <c r="C30" s="117">
        <f>+'GRÁFICO ÁGUA 2024 I'!C203/0.5</f>
        <v>59.099999999999909</v>
      </c>
      <c r="D30" s="117">
        <f>+'GRÁFICO ÁGUA 2024 I'!D203/0.5</f>
        <v>73.980000000000018</v>
      </c>
      <c r="E30" s="117">
        <f>+'GRÁFICO ÁGUA 2024 I'!E203/0.5</f>
        <v>10</v>
      </c>
      <c r="F30" s="117">
        <f>+'GRÁFICO ÁGUA 2024 I'!F203/0.5</f>
        <v>73.559999999999945</v>
      </c>
      <c r="G30" s="117">
        <f>+'GRÁFICO ÁGUA 2024 I'!G203/0.5</f>
        <v>170.11999999999989</v>
      </c>
      <c r="H30" s="117"/>
      <c r="I30" s="117"/>
      <c r="J30" s="117"/>
      <c r="K30" s="117"/>
      <c r="L30" s="117"/>
      <c r="M30" s="117"/>
      <c r="N30" s="118">
        <f>+SUM(B30:M30)</f>
        <v>448.4399999999996</v>
      </c>
    </row>
    <row r="31" spans="1:26" ht="12.75" customHeight="1" x14ac:dyDescent="0.35">
      <c r="A31" s="120" t="s">
        <v>70</v>
      </c>
      <c r="B31" s="121">
        <f t="shared" ref="B31:M31" si="4">+B30/720</f>
        <v>8.5666666666666433E-2</v>
      </c>
      <c r="C31" s="121">
        <f t="shared" si="4"/>
        <v>8.2083333333333203E-2</v>
      </c>
      <c r="D31" s="121">
        <f t="shared" si="4"/>
        <v>0.10275000000000002</v>
      </c>
      <c r="E31" s="121">
        <f t="shared" si="4"/>
        <v>1.3888888888888888E-2</v>
      </c>
      <c r="F31" s="121">
        <f t="shared" si="4"/>
        <v>0.10216666666666659</v>
      </c>
      <c r="G31" s="121">
        <f t="shared" si="4"/>
        <v>0.23627777777777761</v>
      </c>
      <c r="H31" s="121">
        <f t="shared" si="4"/>
        <v>0</v>
      </c>
      <c r="I31" s="121">
        <f t="shared" si="4"/>
        <v>0</v>
      </c>
      <c r="J31" s="121">
        <f t="shared" si="4"/>
        <v>0</v>
      </c>
      <c r="K31" s="121">
        <f t="shared" si="4"/>
        <v>0</v>
      </c>
      <c r="L31" s="121">
        <f t="shared" si="4"/>
        <v>0</v>
      </c>
      <c r="M31" s="121">
        <f t="shared" si="4"/>
        <v>0</v>
      </c>
      <c r="N31" s="122"/>
    </row>
    <row r="32" spans="1:26" ht="12.75" customHeight="1" x14ac:dyDescent="0.25">
      <c r="A32" s="123" t="s">
        <v>71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124"/>
    </row>
    <row r="33" spans="1:14" ht="12.75" customHeight="1" x14ac:dyDescent="0.25">
      <c r="A33" s="123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124"/>
    </row>
    <row r="34" spans="1:14" ht="12.75" customHeight="1" x14ac:dyDescent="0.35">
      <c r="A34" s="449" t="s">
        <v>72</v>
      </c>
      <c r="B34" s="450"/>
      <c r="C34" s="450"/>
      <c r="D34" s="450"/>
      <c r="E34" s="450"/>
      <c r="F34" s="450"/>
      <c r="G34" s="450"/>
      <c r="H34" s="450"/>
      <c r="I34" s="450"/>
      <c r="J34" s="450"/>
      <c r="K34" s="450"/>
      <c r="L34" s="450"/>
      <c r="M34" s="450"/>
      <c r="N34" s="451"/>
    </row>
    <row r="35" spans="1:14" ht="12.75" customHeight="1" x14ac:dyDescent="0.35">
      <c r="A35" s="10"/>
      <c r="B35" s="112" t="s">
        <v>56</v>
      </c>
      <c r="C35" s="113" t="s">
        <v>57</v>
      </c>
      <c r="D35" s="113" t="s">
        <v>58</v>
      </c>
      <c r="E35" s="113" t="s">
        <v>59</v>
      </c>
      <c r="F35" s="113" t="s">
        <v>60</v>
      </c>
      <c r="G35" s="113" t="s">
        <v>61</v>
      </c>
      <c r="H35" s="113" t="s">
        <v>62</v>
      </c>
      <c r="I35" s="113" t="s">
        <v>63</v>
      </c>
      <c r="J35" s="113" t="s">
        <v>64</v>
      </c>
      <c r="K35" s="113" t="s">
        <v>65</v>
      </c>
      <c r="L35" s="113" t="s">
        <v>66</v>
      </c>
      <c r="M35" s="113" t="s">
        <v>67</v>
      </c>
      <c r="N35" s="114" t="s">
        <v>68</v>
      </c>
    </row>
    <row r="36" spans="1:14" ht="12.75" customHeight="1" x14ac:dyDescent="0.35">
      <c r="A36" s="116" t="s">
        <v>73</v>
      </c>
      <c r="B36" s="125">
        <f>+'DADOS 2024 I'!O43-'DADOS 2024 I'!N43</f>
        <v>9.0299999999999727</v>
      </c>
      <c r="C36" s="125">
        <f>+'DADOS 2024 I'!P43-'DADOS 2024 I'!O43</f>
        <v>7.9800000000000182</v>
      </c>
      <c r="D36" s="125">
        <f>+'DADOS 2024 I'!Q43-'DADOS 2024 I'!P43</f>
        <v>29.049999999999955</v>
      </c>
      <c r="E36" s="125">
        <f>+'DADOS 2024 I'!R43-'DADOS 2024 I'!Q43</f>
        <v>1.7699999999999818</v>
      </c>
      <c r="F36" s="145" t="s">
        <v>86</v>
      </c>
      <c r="G36" s="125">
        <f>+'DADOS 2024 I'!T43-'DADOS 2024 I'!S43</f>
        <v>117.86999999999999</v>
      </c>
      <c r="H36" s="125"/>
      <c r="I36" s="125"/>
      <c r="J36" s="125"/>
      <c r="K36" s="125"/>
      <c r="L36" s="125"/>
      <c r="M36" s="125"/>
      <c r="N36" s="118">
        <f>+SUM(B36:M36)</f>
        <v>165.69999999999993</v>
      </c>
    </row>
    <row r="37" spans="1:14" ht="12.75" customHeight="1" x14ac:dyDescent="0.35">
      <c r="A37" s="120" t="s">
        <v>70</v>
      </c>
      <c r="B37" s="121">
        <f>+B36/720</f>
        <v>1.2541666666666628E-2</v>
      </c>
      <c r="C37" s="121">
        <v>0</v>
      </c>
      <c r="D37" s="121">
        <f t="shared" ref="D37:E37" si="5">+D36/720</f>
        <v>4.0347222222222159E-2</v>
      </c>
      <c r="E37" s="121">
        <f t="shared" si="5"/>
        <v>2.4583333333333081E-3</v>
      </c>
      <c r="F37" s="146" t="s">
        <v>87</v>
      </c>
      <c r="G37" s="121">
        <f t="shared" ref="G37:M37" si="6">+G36/720</f>
        <v>0.16370833333333332</v>
      </c>
      <c r="H37" s="121">
        <f t="shared" si="6"/>
        <v>0</v>
      </c>
      <c r="I37" s="121">
        <f t="shared" si="6"/>
        <v>0</v>
      </c>
      <c r="J37" s="121">
        <f t="shared" si="6"/>
        <v>0</v>
      </c>
      <c r="K37" s="121">
        <f t="shared" si="6"/>
        <v>0</v>
      </c>
      <c r="L37" s="121">
        <f t="shared" si="6"/>
        <v>0</v>
      </c>
      <c r="M37" s="121">
        <f t="shared" si="6"/>
        <v>0</v>
      </c>
      <c r="N37" s="122"/>
    </row>
    <row r="38" spans="1:14" ht="12.75" customHeight="1" x14ac:dyDescent="0.25">
      <c r="A38" s="123" t="s">
        <v>71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124"/>
    </row>
    <row r="39" spans="1:14" ht="12.75" customHeight="1" x14ac:dyDescent="0.25">
      <c r="A39" s="123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124"/>
    </row>
    <row r="40" spans="1:14" ht="12.75" customHeight="1" x14ac:dyDescent="0.35">
      <c r="A40" s="449" t="s">
        <v>74</v>
      </c>
      <c r="B40" s="450"/>
      <c r="C40" s="450"/>
      <c r="D40" s="450"/>
      <c r="E40" s="450"/>
      <c r="F40" s="450"/>
      <c r="G40" s="450"/>
      <c r="H40" s="450"/>
      <c r="I40" s="450"/>
      <c r="J40" s="450"/>
      <c r="K40" s="450"/>
      <c r="L40" s="450"/>
      <c r="M40" s="450"/>
      <c r="N40" s="451"/>
    </row>
    <row r="41" spans="1:14" ht="12.75" customHeight="1" x14ac:dyDescent="0.35">
      <c r="A41" s="10"/>
      <c r="B41" s="112" t="s">
        <v>56</v>
      </c>
      <c r="C41" s="113" t="s">
        <v>57</v>
      </c>
      <c r="D41" s="113" t="s">
        <v>58</v>
      </c>
      <c r="E41" s="113" t="s">
        <v>59</v>
      </c>
      <c r="F41" s="113" t="s">
        <v>60</v>
      </c>
      <c r="G41" s="113" t="s">
        <v>61</v>
      </c>
      <c r="H41" s="113" t="s">
        <v>62</v>
      </c>
      <c r="I41" s="113" t="s">
        <v>63</v>
      </c>
      <c r="J41" s="113" t="s">
        <v>64</v>
      </c>
      <c r="K41" s="113" t="s">
        <v>65</v>
      </c>
      <c r="L41" s="113" t="s">
        <v>66</v>
      </c>
      <c r="M41" s="113" t="s">
        <v>67</v>
      </c>
      <c r="N41" s="114"/>
    </row>
    <row r="42" spans="1:14" ht="12.75" customHeight="1" x14ac:dyDescent="0.35">
      <c r="A42" s="116" t="s">
        <v>75</v>
      </c>
      <c r="B42" s="147">
        <f t="shared" ref="B42:M42" si="7">+B30/B36</f>
        <v>6.8305647840531583</v>
      </c>
      <c r="C42" s="147">
        <f t="shared" si="7"/>
        <v>7.4060150375939564</v>
      </c>
      <c r="D42" s="147">
        <f t="shared" si="7"/>
        <v>2.5466437177280596</v>
      </c>
      <c r="E42" s="147">
        <f t="shared" si="7"/>
        <v>5.6497175141243519</v>
      </c>
      <c r="F42" s="147" t="e">
        <f t="shared" si="7"/>
        <v>#VALUE!</v>
      </c>
      <c r="G42" s="147">
        <f t="shared" si="7"/>
        <v>1.4432849749724264</v>
      </c>
      <c r="H42" s="147" t="e">
        <f t="shared" si="7"/>
        <v>#DIV/0!</v>
      </c>
      <c r="I42" s="147" t="e">
        <f t="shared" si="7"/>
        <v>#DIV/0!</v>
      </c>
      <c r="J42" s="147" t="e">
        <f t="shared" si="7"/>
        <v>#DIV/0!</v>
      </c>
      <c r="K42" s="147" t="e">
        <f t="shared" si="7"/>
        <v>#DIV/0!</v>
      </c>
      <c r="L42" s="147" t="e">
        <f t="shared" si="7"/>
        <v>#DIV/0!</v>
      </c>
      <c r="M42" s="147" t="e">
        <f t="shared" si="7"/>
        <v>#DIV/0!</v>
      </c>
      <c r="N42" s="129"/>
    </row>
    <row r="43" spans="1:14" ht="12.75" customHeight="1" x14ac:dyDescent="0.25"/>
    <row r="44" spans="1:14" ht="12.75" customHeight="1" x14ac:dyDescent="0.25"/>
    <row r="45" spans="1:14" ht="12.75" customHeight="1" x14ac:dyDescent="0.25"/>
    <row r="46" spans="1:14" ht="12.75" customHeight="1" x14ac:dyDescent="0.25"/>
    <row r="47" spans="1:14" ht="12.75" customHeight="1" x14ac:dyDescent="0.25"/>
    <row r="48" spans="1:1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10">
    <mergeCell ref="A28:N28"/>
    <mergeCell ref="A34:N34"/>
    <mergeCell ref="A40:N40"/>
    <mergeCell ref="A1:N1"/>
    <mergeCell ref="A2:N2"/>
    <mergeCell ref="A8:N8"/>
    <mergeCell ref="A14:N14"/>
    <mergeCell ref="A19:N19"/>
    <mergeCell ref="B20:N20"/>
    <mergeCell ref="A27:N27"/>
  </mergeCells>
  <pageMargins left="0.78740157480314965" right="0.78740157480314965" top="0.98425196850393704" bottom="0.98425196850393704" header="0" footer="0"/>
  <pageSetup paperSize="9" orientation="landscape"/>
  <headerFooter>
    <oddHeader>&amp;CANÁLISE DO DESEMPENHO DA BOMBA DO POÇO 2023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40.36328125" customWidth="1"/>
    <col min="2" max="2" width="10.08984375" customWidth="1"/>
    <col min="3" max="3" width="11" customWidth="1"/>
    <col min="4" max="7" width="10.36328125" customWidth="1"/>
    <col min="8" max="8" width="11.453125" customWidth="1"/>
    <col min="9" max="11" width="10.36328125" customWidth="1"/>
    <col min="12" max="13" width="10" customWidth="1"/>
    <col min="14" max="14" width="10.08984375" customWidth="1"/>
    <col min="15" max="26" width="8.453125" customWidth="1"/>
  </cols>
  <sheetData>
    <row r="1" spans="1:26" ht="14.25" customHeight="1" x14ac:dyDescent="0.3">
      <c r="A1" s="417" t="s">
        <v>0</v>
      </c>
      <c r="B1" s="438">
        <v>45289</v>
      </c>
      <c r="C1" s="439">
        <v>44955</v>
      </c>
      <c r="D1" s="439">
        <v>44985</v>
      </c>
      <c r="E1" s="439">
        <v>45014</v>
      </c>
      <c r="F1" s="438">
        <v>45045</v>
      </c>
      <c r="G1" s="438">
        <v>45075</v>
      </c>
      <c r="H1" s="438">
        <v>45106</v>
      </c>
      <c r="I1" s="440">
        <v>45136</v>
      </c>
      <c r="J1" s="438">
        <v>45167</v>
      </c>
      <c r="K1" s="438">
        <v>45198</v>
      </c>
      <c r="L1" s="438">
        <v>45228</v>
      </c>
      <c r="M1" s="438">
        <v>45259</v>
      </c>
      <c r="N1" s="421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tr">
        <f>'DADOS 2024 I'!A17</f>
        <v>Galpão 8 - Piso Superior - A79B54592</v>
      </c>
      <c r="B2" s="434">
        <f>'DADOS 2024 I'!N17</f>
        <v>788.8</v>
      </c>
      <c r="C2" s="434">
        <f>'DADOS 2024 I'!O17</f>
        <v>790.1</v>
      </c>
      <c r="D2" s="434">
        <f>'DADOS 2024 I'!P17</f>
        <v>790.1</v>
      </c>
      <c r="E2" s="434">
        <f>'DADOS 2024 I'!Q17</f>
        <v>791.1</v>
      </c>
      <c r="F2" s="434">
        <f>'DADOS 2024 I'!R17</f>
        <v>791.1</v>
      </c>
      <c r="G2" s="434">
        <f>'DADOS 2024 I'!S17</f>
        <v>791.1</v>
      </c>
      <c r="H2" s="434">
        <f>'DADOS 2024 I'!T17</f>
        <v>791.6</v>
      </c>
      <c r="I2" s="434">
        <f>'DADOS 2024 I'!U17</f>
        <v>0</v>
      </c>
      <c r="J2" s="434">
        <f>'DADOS 2024 I'!V17</f>
        <v>0</v>
      </c>
      <c r="K2" s="434">
        <f>'DADOS 2024 I'!W17</f>
        <v>0</v>
      </c>
      <c r="L2" s="434">
        <f>'DADOS 2024 I'!X17</f>
        <v>0</v>
      </c>
      <c r="M2" s="434">
        <f>'DADOS 2024 I'!Y17</f>
        <v>0</v>
      </c>
      <c r="N2" s="434">
        <f>'DADOS 2024 I'!Z17</f>
        <v>0</v>
      </c>
    </row>
    <row r="3" spans="1:26" ht="12.75" customHeight="1" x14ac:dyDescent="0.25"/>
    <row r="4" spans="1:26" ht="14.25" customHeight="1" x14ac:dyDescent="0.3">
      <c r="A4" s="426" t="s">
        <v>254</v>
      </c>
      <c r="B4" s="435"/>
      <c r="C4" s="428" t="s">
        <v>56</v>
      </c>
      <c r="D4" s="429" t="s">
        <v>57</v>
      </c>
      <c r="E4" s="429" t="s">
        <v>58</v>
      </c>
      <c r="F4" s="429" t="s">
        <v>59</v>
      </c>
      <c r="G4" s="429" t="s">
        <v>60</v>
      </c>
      <c r="H4" s="429" t="s">
        <v>61</v>
      </c>
      <c r="I4" s="429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" t="str">
        <f>A2</f>
        <v>Galpão 8 - Piso Superior - A79B54592</v>
      </c>
      <c r="B5" s="436"/>
      <c r="C5" s="437">
        <f>'CUSTO ÁGUA 2024 I'!B46</f>
        <v>51.04</v>
      </c>
      <c r="D5" s="437">
        <f>'CUSTO ÁGUA 2024 I'!C46</f>
        <v>51.04</v>
      </c>
      <c r="E5" s="437">
        <f>'CUSTO ÁGUA 2024 I'!D46</f>
        <v>51.04</v>
      </c>
      <c r="F5" s="437">
        <f>'CUSTO ÁGUA 2024 I'!E46</f>
        <v>51.04</v>
      </c>
      <c r="G5" s="437">
        <f>'CUSTO ÁGUA 2024 I'!F46</f>
        <v>51.04</v>
      </c>
      <c r="H5" s="437">
        <f>'CUSTO ÁGUA 2024 I'!G46</f>
        <v>51.04</v>
      </c>
      <c r="I5" s="437">
        <f>'CUSTO ÁGUA 2024 I'!H46</f>
        <v>0</v>
      </c>
      <c r="J5" s="437">
        <f>'CUSTO ÁGUA 2024 I'!I46</f>
        <v>0</v>
      </c>
      <c r="K5" s="437">
        <f>'CUSTO ÁGUA 2024 I'!J46</f>
        <v>0</v>
      </c>
      <c r="L5" s="437">
        <f>'CUSTO ÁGUA 2024 I'!K46</f>
        <v>0</v>
      </c>
      <c r="M5" s="437">
        <f>'CUSTO ÁGUA 2024 I'!L46</f>
        <v>0</v>
      </c>
      <c r="N5" s="437">
        <f>'CUSTO ÁGUA 2024 I'!M46</f>
        <v>0</v>
      </c>
    </row>
    <row r="6" spans="1:26" ht="12.75" customHeight="1" x14ac:dyDescent="0.25"/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spans="9:9" ht="12.75" customHeight="1" x14ac:dyDescent="0.25"/>
    <row r="18" spans="9:9" ht="12.75" customHeight="1" x14ac:dyDescent="0.25"/>
    <row r="19" spans="9:9" ht="12.75" customHeight="1" x14ac:dyDescent="0.25"/>
    <row r="20" spans="9:9" ht="12.75" customHeight="1" x14ac:dyDescent="0.25"/>
    <row r="21" spans="9:9" ht="12.75" customHeight="1" x14ac:dyDescent="0.25"/>
    <row r="22" spans="9:9" ht="12.75" customHeight="1" x14ac:dyDescent="0.25"/>
    <row r="23" spans="9:9" ht="12.75" customHeight="1" x14ac:dyDescent="0.25"/>
    <row r="24" spans="9:9" ht="12.75" customHeight="1" x14ac:dyDescent="0.25"/>
    <row r="25" spans="9:9" ht="12.75" customHeight="1" x14ac:dyDescent="0.25"/>
    <row r="26" spans="9:9" ht="12.75" customHeight="1" x14ac:dyDescent="0.25"/>
    <row r="27" spans="9:9" ht="12.75" customHeight="1" x14ac:dyDescent="0.25">
      <c r="I27" s="48" t="s">
        <v>52</v>
      </c>
    </row>
    <row r="28" spans="9:9" ht="12.75" customHeight="1" x14ac:dyDescent="0.25"/>
    <row r="29" spans="9:9" ht="12.75" customHeight="1" x14ac:dyDescent="0.25"/>
    <row r="30" spans="9:9" ht="12.75" customHeight="1" x14ac:dyDescent="0.25"/>
    <row r="31" spans="9:9" ht="12.75" customHeight="1" x14ac:dyDescent="0.25"/>
    <row r="32" spans="9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40.36328125" customWidth="1"/>
    <col min="2" max="2" width="10.08984375" customWidth="1"/>
    <col min="3" max="3" width="11" customWidth="1"/>
    <col min="4" max="11" width="10.36328125" customWidth="1"/>
    <col min="12" max="13" width="10" customWidth="1"/>
    <col min="14" max="14" width="10.08984375" customWidth="1"/>
    <col min="15" max="26" width="8.453125" customWidth="1"/>
  </cols>
  <sheetData>
    <row r="1" spans="1:26" ht="14.25" customHeight="1" x14ac:dyDescent="0.3">
      <c r="A1" s="417" t="s">
        <v>0</v>
      </c>
      <c r="B1" s="438">
        <v>45289</v>
      </c>
      <c r="C1" s="439">
        <v>44955</v>
      </c>
      <c r="D1" s="439">
        <v>44985</v>
      </c>
      <c r="E1" s="439">
        <v>45014</v>
      </c>
      <c r="F1" s="438">
        <v>45045</v>
      </c>
      <c r="G1" s="438">
        <v>45075</v>
      </c>
      <c r="H1" s="438">
        <v>45106</v>
      </c>
      <c r="I1" s="440">
        <v>45136</v>
      </c>
      <c r="J1" s="438">
        <v>45167</v>
      </c>
      <c r="K1" s="438">
        <v>45198</v>
      </c>
      <c r="L1" s="438">
        <v>45228</v>
      </c>
      <c r="M1" s="438">
        <v>45259</v>
      </c>
      <c r="N1" s="421">
        <v>45655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 x14ac:dyDescent="0.25">
      <c r="A2" s="19" t="str">
        <f>'DADOS 2024 I'!A18</f>
        <v>Galpão 9 - A21H515626</v>
      </c>
      <c r="B2" s="434">
        <f>'DADOS 2024 I'!N18</f>
        <v>1.68</v>
      </c>
      <c r="C2" s="434">
        <f>'DADOS 2024 I'!O18</f>
        <v>1.68</v>
      </c>
      <c r="D2" s="434">
        <f>'DADOS 2024 I'!P18</f>
        <v>1.68</v>
      </c>
      <c r="E2" s="434">
        <f>'DADOS 2024 I'!Q18</f>
        <v>1.68</v>
      </c>
      <c r="F2" s="434">
        <f>'DADOS 2024 I'!R18</f>
        <v>1.68</v>
      </c>
      <c r="G2" s="434">
        <f>'DADOS 2024 I'!S18</f>
        <v>1.68</v>
      </c>
      <c r="H2" s="434">
        <f>'DADOS 2024 I'!T18</f>
        <v>1.68</v>
      </c>
      <c r="I2" s="434">
        <f>'DADOS 2024 I'!U18</f>
        <v>0</v>
      </c>
      <c r="J2" s="434">
        <f>'DADOS 2024 I'!V18</f>
        <v>0</v>
      </c>
      <c r="K2" s="434">
        <f>'DADOS 2024 I'!W18</f>
        <v>0</v>
      </c>
      <c r="L2" s="434">
        <f>'DADOS 2024 I'!X18</f>
        <v>0</v>
      </c>
      <c r="M2" s="434">
        <f>'DADOS 2024 I'!Y18</f>
        <v>0</v>
      </c>
      <c r="N2" s="434">
        <f>'DADOS 2024 I'!Z18</f>
        <v>0</v>
      </c>
    </row>
    <row r="3" spans="1:26" ht="12.75" customHeight="1" x14ac:dyDescent="0.25"/>
    <row r="4" spans="1:26" ht="14.25" customHeight="1" x14ac:dyDescent="0.3">
      <c r="A4" s="426" t="s">
        <v>254</v>
      </c>
      <c r="B4" s="435"/>
      <c r="C4" s="428" t="s">
        <v>56</v>
      </c>
      <c r="D4" s="429" t="s">
        <v>57</v>
      </c>
      <c r="E4" s="429" t="s">
        <v>58</v>
      </c>
      <c r="F4" s="429" t="s">
        <v>59</v>
      </c>
      <c r="G4" s="429" t="s">
        <v>60</v>
      </c>
      <c r="H4" s="429" t="s">
        <v>61</v>
      </c>
      <c r="I4" s="429" t="s">
        <v>62</v>
      </c>
      <c r="J4" s="429" t="s">
        <v>63</v>
      </c>
      <c r="K4" s="429" t="s">
        <v>64</v>
      </c>
      <c r="L4" s="429" t="s">
        <v>65</v>
      </c>
      <c r="M4" s="429" t="s">
        <v>66</v>
      </c>
      <c r="N4" s="431" t="s">
        <v>67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9" t="str">
        <f>A2</f>
        <v>Galpão 9 - A21H515626</v>
      </c>
      <c r="B5" s="436"/>
      <c r="C5" s="437">
        <f>'CUSTO ÁGUA 2024 I'!B47</f>
        <v>51.04</v>
      </c>
      <c r="D5" s="437">
        <f>'CUSTO ÁGUA 2024 I'!C47</f>
        <v>51.04</v>
      </c>
      <c r="E5" s="437">
        <f>'CUSTO ÁGUA 2024 I'!D47</f>
        <v>51.04</v>
      </c>
      <c r="F5" s="437">
        <f>'CUSTO ÁGUA 2024 I'!E47</f>
        <v>51.04</v>
      </c>
      <c r="G5" s="437">
        <f>'CUSTO ÁGUA 2024 I'!F47</f>
        <v>51.04</v>
      </c>
      <c r="H5" s="437">
        <f>'CUSTO ÁGUA 2024 I'!G47</f>
        <v>51.04</v>
      </c>
      <c r="I5" s="437">
        <f>'CUSTO ÁGUA 2024 I'!H47</f>
        <v>0</v>
      </c>
      <c r="J5" s="437">
        <f>'CUSTO ÁGUA 2024 I'!I47</f>
        <v>0</v>
      </c>
      <c r="K5" s="437">
        <f>'CUSTO ÁGUA 2024 I'!J47</f>
        <v>0</v>
      </c>
      <c r="L5" s="437">
        <f>'CUSTO ÁGUA 2024 I'!K47</f>
        <v>0</v>
      </c>
      <c r="M5" s="437">
        <f>'CUSTO ÁGUA 2024 I'!L47</f>
        <v>0</v>
      </c>
      <c r="N5" s="437">
        <f>'CUSTO ÁGUA 2024 I'!M47</f>
        <v>0</v>
      </c>
    </row>
    <row r="6" spans="1:26" ht="12.75" customHeight="1" x14ac:dyDescent="0.25"/>
    <row r="7" spans="1:26" ht="12.75" customHeight="1" x14ac:dyDescent="0.25"/>
    <row r="8" spans="1:26" ht="12.75" customHeight="1" x14ac:dyDescent="0.25"/>
    <row r="9" spans="1:26" ht="12.75" customHeight="1" x14ac:dyDescent="0.25"/>
    <row r="10" spans="1:26" ht="12.75" customHeight="1" x14ac:dyDescent="0.25"/>
    <row r="11" spans="1:26" ht="12.75" customHeight="1" x14ac:dyDescent="0.25"/>
    <row r="12" spans="1:26" ht="12.75" customHeight="1" x14ac:dyDescent="0.25"/>
    <row r="13" spans="1:26" ht="12.75" customHeight="1" x14ac:dyDescent="0.25"/>
    <row r="14" spans="1:26" ht="12.75" customHeight="1" x14ac:dyDescent="0.25"/>
    <row r="15" spans="1:26" ht="12.75" customHeight="1" x14ac:dyDescent="0.25"/>
    <row r="16" spans="1:26" ht="12.75" customHeight="1" x14ac:dyDescent="0.25"/>
    <row r="17" spans="9:9" ht="12.75" customHeight="1" x14ac:dyDescent="0.25"/>
    <row r="18" spans="9:9" ht="12.75" customHeight="1" x14ac:dyDescent="0.25"/>
    <row r="19" spans="9:9" ht="12.75" customHeight="1" x14ac:dyDescent="0.25"/>
    <row r="20" spans="9:9" ht="12.75" customHeight="1" x14ac:dyDescent="0.25"/>
    <row r="21" spans="9:9" ht="12.75" customHeight="1" x14ac:dyDescent="0.25"/>
    <row r="22" spans="9:9" ht="12.75" customHeight="1" x14ac:dyDescent="0.25"/>
    <row r="23" spans="9:9" ht="12.75" customHeight="1" x14ac:dyDescent="0.25"/>
    <row r="24" spans="9:9" ht="12.75" customHeight="1" x14ac:dyDescent="0.25"/>
    <row r="25" spans="9:9" ht="12.75" customHeight="1" x14ac:dyDescent="0.25"/>
    <row r="26" spans="9:9" ht="12.75" customHeight="1" x14ac:dyDescent="0.25"/>
    <row r="27" spans="9:9" ht="12.75" customHeight="1" x14ac:dyDescent="0.25">
      <c r="I27" s="48" t="s">
        <v>52</v>
      </c>
    </row>
    <row r="28" spans="9:9" ht="12.75" customHeight="1" x14ac:dyDescent="0.25"/>
    <row r="29" spans="9:9" ht="12.75" customHeight="1" x14ac:dyDescent="0.25"/>
    <row r="30" spans="9:9" ht="12.75" customHeight="1" x14ac:dyDescent="0.25"/>
    <row r="31" spans="9:9" ht="12.75" customHeight="1" x14ac:dyDescent="0.25"/>
    <row r="32" spans="9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362204722" right="0.51181102362204722" top="0.78740157480314965" bottom="0.7874015748031496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41.453125" customWidth="1"/>
    <col min="2" max="3" width="12.6328125" customWidth="1"/>
    <col min="4" max="5" width="12.08984375" customWidth="1"/>
    <col min="6" max="6" width="12.36328125" customWidth="1"/>
    <col min="7" max="7" width="12" customWidth="1"/>
    <col min="8" max="8" width="13.36328125" customWidth="1"/>
    <col min="9" max="9" width="11" customWidth="1"/>
    <col min="10" max="13" width="11.453125" customWidth="1"/>
    <col min="14" max="14" width="14.36328125" customWidth="1"/>
    <col min="15" max="15" width="8.453125" customWidth="1"/>
    <col min="16" max="16" width="12.453125" customWidth="1"/>
    <col min="17" max="26" width="8.453125" customWidth="1"/>
  </cols>
  <sheetData>
    <row r="1" spans="12:19" ht="12.75" customHeight="1" x14ac:dyDescent="0.25"/>
    <row r="2" spans="12:19" ht="12.75" customHeight="1" x14ac:dyDescent="0.25"/>
    <row r="3" spans="12:19" ht="12.75" customHeight="1" x14ac:dyDescent="0.25"/>
    <row r="4" spans="12:19" ht="12.75" customHeight="1" x14ac:dyDescent="0.25"/>
    <row r="5" spans="12:19" ht="12.75" customHeight="1" x14ac:dyDescent="0.25"/>
    <row r="6" spans="12:19" ht="12.75" customHeight="1" x14ac:dyDescent="0.25"/>
    <row r="7" spans="12:19" ht="12.75" customHeight="1" x14ac:dyDescent="0.25"/>
    <row r="8" spans="12:19" ht="12.75" customHeight="1" x14ac:dyDescent="0.25"/>
    <row r="9" spans="12:19" ht="12.75" customHeight="1" x14ac:dyDescent="0.25">
      <c r="L9" s="53" t="e">
        <f>'GRÁFICO ÁGUA 2024 I'!L153:L169+'GRÁFICO ÁGUA 2024 I'!M153:M169</f>
        <v>#VALUE!</v>
      </c>
      <c r="S9" s="72"/>
    </row>
    <row r="10" spans="12:19" ht="12.75" customHeight="1" x14ac:dyDescent="0.25">
      <c r="S10" s="72"/>
    </row>
    <row r="11" spans="12:19" ht="12.75" customHeight="1" x14ac:dyDescent="0.25"/>
    <row r="12" spans="12:19" ht="12.75" customHeight="1" x14ac:dyDescent="0.25"/>
    <row r="13" spans="12:19" ht="12.75" customHeight="1" x14ac:dyDescent="0.25"/>
    <row r="14" spans="12:19" ht="12.75" customHeight="1" x14ac:dyDescent="0.25"/>
    <row r="15" spans="12:19" ht="12.75" customHeight="1" x14ac:dyDescent="0.25"/>
    <row r="16" spans="12:1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spans="1:13" ht="12.75" customHeight="1" x14ac:dyDescent="0.25"/>
    <row r="98" spans="1:13" ht="12.75" customHeight="1" x14ac:dyDescent="0.25"/>
    <row r="99" spans="1:13" ht="12.75" customHeight="1" x14ac:dyDescent="0.25"/>
    <row r="100" spans="1:13" ht="12.75" customHeight="1" x14ac:dyDescent="0.25"/>
    <row r="101" spans="1:13" ht="12.75" customHeight="1" x14ac:dyDescent="0.25"/>
    <row r="102" spans="1:13" ht="12.75" customHeight="1" x14ac:dyDescent="0.25"/>
    <row r="103" spans="1:13" ht="12.75" customHeight="1" x14ac:dyDescent="0.25"/>
    <row r="104" spans="1:13" ht="12.75" customHeight="1" x14ac:dyDescent="0.25"/>
    <row r="105" spans="1:13" ht="12.75" customHeight="1" x14ac:dyDescent="0.25"/>
    <row r="106" spans="1:13" ht="12.75" customHeight="1" x14ac:dyDescent="0.25"/>
    <row r="107" spans="1:13" ht="12.75" customHeight="1" x14ac:dyDescent="0.25"/>
    <row r="108" spans="1:13" ht="12.75" customHeight="1" x14ac:dyDescent="0.25"/>
    <row r="109" spans="1:13" ht="12.75" customHeight="1" x14ac:dyDescent="0.25"/>
    <row r="110" spans="1:13" ht="12.75" customHeight="1" x14ac:dyDescent="0.25"/>
    <row r="111" spans="1:13" ht="12.75" customHeight="1" x14ac:dyDescent="0.3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</row>
    <row r="112" spans="1:13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spans="1:26" ht="12.75" customHeight="1" x14ac:dyDescent="0.25"/>
    <row r="146" spans="1:26" ht="12.75" customHeight="1" x14ac:dyDescent="0.25"/>
    <row r="147" spans="1:26" ht="12.75" customHeight="1" x14ac:dyDescent="0.25"/>
    <row r="148" spans="1:26" ht="12.75" customHeight="1" x14ac:dyDescent="0.25"/>
    <row r="149" spans="1:26" ht="12.75" customHeight="1" x14ac:dyDescent="0.25"/>
    <row r="150" spans="1:26" ht="12.75" customHeight="1" x14ac:dyDescent="0.25"/>
    <row r="151" spans="1:26" ht="17.25" customHeight="1" x14ac:dyDescent="0.35">
      <c r="A151" s="459" t="s">
        <v>88</v>
      </c>
      <c r="B151" s="454"/>
      <c r="C151" s="454"/>
      <c r="D151" s="454"/>
      <c r="E151" s="454"/>
      <c r="F151" s="454"/>
      <c r="G151" s="454"/>
      <c r="H151" s="454"/>
      <c r="I151" s="454"/>
      <c r="J151" s="454"/>
      <c r="K151" s="454"/>
      <c r="L151" s="454"/>
      <c r="M151" s="454"/>
      <c r="N151" s="455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 spans="1:26" ht="17.25" customHeight="1" x14ac:dyDescent="0.35">
      <c r="A152" s="149"/>
      <c r="B152" s="150" t="s">
        <v>56</v>
      </c>
      <c r="C152" s="151" t="s">
        <v>57</v>
      </c>
      <c r="D152" s="151" t="s">
        <v>58</v>
      </c>
      <c r="E152" s="151" t="s">
        <v>59</v>
      </c>
      <c r="F152" s="151" t="s">
        <v>60</v>
      </c>
      <c r="G152" s="151" t="s">
        <v>61</v>
      </c>
      <c r="H152" s="151" t="s">
        <v>62</v>
      </c>
      <c r="I152" s="151" t="s">
        <v>63</v>
      </c>
      <c r="J152" s="151" t="s">
        <v>64</v>
      </c>
      <c r="K152" s="151" t="s">
        <v>65</v>
      </c>
      <c r="L152" s="151" t="s">
        <v>66</v>
      </c>
      <c r="M152" s="152" t="s">
        <v>67</v>
      </c>
      <c r="N152" s="153" t="s">
        <v>89</v>
      </c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</row>
    <row r="153" spans="1:26" ht="17.25" customHeight="1" x14ac:dyDescent="0.35">
      <c r="A153" s="155" t="s">
        <v>90</v>
      </c>
      <c r="B153" s="156">
        <f>+'DADOS 2024 I'!O3-'DADOS 2024 I'!N3</f>
        <v>105.80000000000291</v>
      </c>
      <c r="C153" s="156">
        <f>+'DADOS 2024 I'!P3-'DADOS 2024 I'!O3</f>
        <v>67.5</v>
      </c>
      <c r="D153" s="156">
        <f>+'DADOS 2024 I'!Q3-'DADOS 2024 I'!P3</f>
        <v>74.799999999999272</v>
      </c>
      <c r="E153" s="156">
        <f>+'DADOS 2024 I'!R3-'DADOS 2024 I'!Q3</f>
        <v>53.799999999999272</v>
      </c>
      <c r="F153" s="156">
        <f>+'DADOS 2024 I'!S3-'DADOS 2024 I'!R3</f>
        <v>75</v>
      </c>
      <c r="G153" s="156">
        <f>+'DADOS 2024 I'!T3-'DADOS 2024 I'!S3</f>
        <v>68.599999999998545</v>
      </c>
      <c r="H153" s="156"/>
      <c r="I153" s="156"/>
      <c r="J153" s="156"/>
      <c r="K153" s="156"/>
      <c r="L153" s="156"/>
      <c r="M153" s="156"/>
      <c r="N153" s="157">
        <f>+AVERAGE(B153:M153)</f>
        <v>74.25</v>
      </c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 spans="1:26" ht="17.25" hidden="1" customHeight="1" x14ac:dyDescent="0.35">
      <c r="A154" s="149"/>
      <c r="B154" s="150" t="s">
        <v>56</v>
      </c>
      <c r="C154" s="151" t="s">
        <v>57</v>
      </c>
      <c r="D154" s="151" t="s">
        <v>58</v>
      </c>
      <c r="E154" s="151" t="s">
        <v>59</v>
      </c>
      <c r="F154" s="151" t="s">
        <v>59</v>
      </c>
      <c r="G154" s="151" t="s">
        <v>59</v>
      </c>
      <c r="H154" s="151"/>
      <c r="I154" s="151"/>
      <c r="J154" s="151"/>
      <c r="K154" s="151"/>
      <c r="L154" s="151"/>
      <c r="M154" s="152"/>
      <c r="N154" s="153" t="s">
        <v>89</v>
      </c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</row>
    <row r="155" spans="1:26" ht="17.25" customHeight="1" x14ac:dyDescent="0.35">
      <c r="A155" s="158" t="s">
        <v>91</v>
      </c>
      <c r="B155" s="159">
        <f>+'DADOS 2024 I'!O4-'DADOS 2024 I'!N4</f>
        <v>37.910000000001673</v>
      </c>
      <c r="C155" s="159">
        <f>+'DADOS 2024 I'!P4-'DADOS 2024 I'!O4</f>
        <v>37.039999999999054</v>
      </c>
      <c r="D155" s="159">
        <f>+'DADOS 2024 I'!Q4-'DADOS 2024 I'!P4</f>
        <v>44.819999999999709</v>
      </c>
      <c r="E155" s="159">
        <f>+'DADOS 2024 I'!R4-'DADOS 2024 I'!Q4</f>
        <v>43.069999999999709</v>
      </c>
      <c r="F155" s="159">
        <f>+'DADOS 2024 I'!S4-'DADOS 2024 I'!R4</f>
        <v>43.710000000000946</v>
      </c>
      <c r="G155" s="159">
        <f>+'DADOS 2024 I'!T4-'DADOS 2024 I'!S4</f>
        <v>47.869999999998981</v>
      </c>
      <c r="H155" s="159"/>
      <c r="I155" s="159"/>
      <c r="J155" s="159"/>
      <c r="K155" s="159"/>
      <c r="L155" s="159"/>
      <c r="M155" s="159"/>
      <c r="N155" s="160">
        <f>+AVERAGE(B155:M155)</f>
        <v>42.403333333333343</v>
      </c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 spans="1:26" ht="17.25" hidden="1" customHeight="1" x14ac:dyDescent="0.35">
      <c r="A156" s="149"/>
      <c r="B156" s="150" t="s">
        <v>56</v>
      </c>
      <c r="C156" s="151" t="s">
        <v>57</v>
      </c>
      <c r="D156" s="151" t="s">
        <v>58</v>
      </c>
      <c r="E156" s="151" t="s">
        <v>59</v>
      </c>
      <c r="F156" s="151" t="s">
        <v>59</v>
      </c>
      <c r="G156" s="151" t="s">
        <v>59</v>
      </c>
      <c r="H156" s="151"/>
      <c r="I156" s="151"/>
      <c r="J156" s="151"/>
      <c r="K156" s="151"/>
      <c r="L156" s="151"/>
      <c r="M156" s="152"/>
      <c r="N156" s="153" t="s">
        <v>89</v>
      </c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</row>
    <row r="157" spans="1:26" ht="17.25" customHeight="1" x14ac:dyDescent="0.35">
      <c r="A157" s="158" t="s">
        <v>92</v>
      </c>
      <c r="B157" s="159">
        <f>+'DADOS 2024 I'!O5-'DADOS 2024 I'!N5</f>
        <v>0</v>
      </c>
      <c r="C157" s="159">
        <f>+'DADOS 2024 I'!P5-'DADOS 2024 I'!O5</f>
        <v>1.0000000000218279E-2</v>
      </c>
      <c r="D157" s="159">
        <f>+'DADOS 2024 I'!Q5-'DADOS 2024 I'!P5</f>
        <v>0</v>
      </c>
      <c r="E157" s="159">
        <f>+'DADOS 2024 I'!R5-'DADOS 2024 I'!Q5</f>
        <v>0</v>
      </c>
      <c r="F157" s="159">
        <f>+'DADOS 2024 I'!S5-'DADOS 2024 I'!R5</f>
        <v>0</v>
      </c>
      <c r="G157" s="159">
        <f>+'DADOS 2024 I'!T5-'DADOS 2024 I'!S5</f>
        <v>0</v>
      </c>
      <c r="H157" s="159"/>
      <c r="I157" s="159"/>
      <c r="J157" s="159"/>
      <c r="K157" s="159"/>
      <c r="L157" s="159"/>
      <c r="M157" s="159"/>
      <c r="N157" s="160">
        <f>+AVERAGE(B157:M157)</f>
        <v>1.6666666667030465E-3</v>
      </c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 spans="1:26" ht="17.25" hidden="1" customHeight="1" x14ac:dyDescent="0.35">
      <c r="A158" s="149"/>
      <c r="B158" s="150" t="s">
        <v>56</v>
      </c>
      <c r="C158" s="151" t="s">
        <v>57</v>
      </c>
      <c r="D158" s="151" t="s">
        <v>58</v>
      </c>
      <c r="E158" s="151" t="s">
        <v>59</v>
      </c>
      <c r="F158" s="151" t="s">
        <v>59</v>
      </c>
      <c r="G158" s="151" t="s">
        <v>59</v>
      </c>
      <c r="H158" s="151"/>
      <c r="I158" s="151"/>
      <c r="J158" s="151"/>
      <c r="K158" s="151"/>
      <c r="L158" s="151"/>
      <c r="M158" s="152"/>
      <c r="N158" s="153" t="s">
        <v>89</v>
      </c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</row>
    <row r="159" spans="1:26" ht="17.25" customHeight="1" x14ac:dyDescent="0.35">
      <c r="A159" s="158" t="s">
        <v>93</v>
      </c>
      <c r="B159" s="159">
        <f>+'DADOS 2024 I'!O6-'DADOS 2024 I'!N6</f>
        <v>42.360000000000582</v>
      </c>
      <c r="C159" s="159">
        <f>+'DADOS 2024 I'!P6-'DADOS 2024 I'!O6</f>
        <v>47.159999999999854</v>
      </c>
      <c r="D159" s="159">
        <f>+'DADOS 2024 I'!Q6-'DADOS 2024 I'!P6</f>
        <v>41.610000000000582</v>
      </c>
      <c r="E159" s="159">
        <f>+'DADOS 2024 I'!R6-'DADOS 2024 I'!Q6</f>
        <v>57.600000000000364</v>
      </c>
      <c r="F159" s="159">
        <f>+'DADOS 2024 I'!S6-'DADOS 2024 I'!R6</f>
        <v>54.949999999998909</v>
      </c>
      <c r="G159" s="159">
        <f>+'DADOS 2024 I'!T6-'DADOS 2024 I'!S6</f>
        <v>42.989999999999782</v>
      </c>
      <c r="H159" s="159"/>
      <c r="I159" s="159"/>
      <c r="J159" s="159"/>
      <c r="K159" s="159"/>
      <c r="L159" s="159"/>
      <c r="M159" s="159"/>
      <c r="N159" s="160">
        <f>+AVERAGE(B159:M159)</f>
        <v>47.778333333333343</v>
      </c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 spans="1:26" ht="17.25" hidden="1" customHeight="1" x14ac:dyDescent="0.35">
      <c r="A160" s="149"/>
      <c r="B160" s="150" t="s">
        <v>56</v>
      </c>
      <c r="C160" s="151" t="s">
        <v>57</v>
      </c>
      <c r="D160" s="151" t="s">
        <v>58</v>
      </c>
      <c r="E160" s="151" t="s">
        <v>59</v>
      </c>
      <c r="F160" s="151" t="s">
        <v>59</v>
      </c>
      <c r="G160" s="151" t="s">
        <v>59</v>
      </c>
      <c r="H160" s="151"/>
      <c r="I160" s="151"/>
      <c r="J160" s="151"/>
      <c r="K160" s="151"/>
      <c r="L160" s="151"/>
      <c r="M160" s="152"/>
      <c r="N160" s="153" t="s">
        <v>89</v>
      </c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</row>
    <row r="161" spans="1:26" ht="17.25" customHeight="1" x14ac:dyDescent="0.35">
      <c r="A161" s="158" t="s">
        <v>94</v>
      </c>
      <c r="B161" s="159">
        <f>+'DADOS 2024 I'!O7-'DADOS 2024 I'!N7</f>
        <v>2.3599999999999</v>
      </c>
      <c r="C161" s="159">
        <f>+'DADOS 2024 I'!P7-'DADOS 2024 I'!O7</f>
        <v>2.9600000000000364</v>
      </c>
      <c r="D161" s="159">
        <f>+'DADOS 2024 I'!Q7-'DADOS 2024 I'!P7</f>
        <v>2.7200000000000273</v>
      </c>
      <c r="E161" s="159">
        <f>+'DADOS 2024 I'!R7-'DADOS 2024 I'!Q7</f>
        <v>2.3999999999998636</v>
      </c>
      <c r="F161" s="159">
        <f>+'DADOS 2024 I'!S7-'DADOS 2024 I'!R7</f>
        <v>3.25</v>
      </c>
      <c r="G161" s="159">
        <f>+'DADOS 2024 I'!T7-'DADOS 2024 I'!S7</f>
        <v>3.3200000000001637</v>
      </c>
      <c r="H161" s="159"/>
      <c r="I161" s="159"/>
      <c r="J161" s="159"/>
      <c r="K161" s="159"/>
      <c r="L161" s="159"/>
      <c r="M161" s="159"/>
      <c r="N161" s="160">
        <f>+AVERAGE(B161:M161)</f>
        <v>2.8349999999999986</v>
      </c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 spans="1:26" ht="17.25" hidden="1" customHeight="1" x14ac:dyDescent="0.35">
      <c r="A162" s="149"/>
      <c r="B162" s="150" t="s">
        <v>56</v>
      </c>
      <c r="C162" s="151" t="s">
        <v>57</v>
      </c>
      <c r="D162" s="151" t="s">
        <v>58</v>
      </c>
      <c r="E162" s="151" t="s">
        <v>59</v>
      </c>
      <c r="F162" s="151" t="s">
        <v>59</v>
      </c>
      <c r="G162" s="151" t="s">
        <v>59</v>
      </c>
      <c r="H162" s="151"/>
      <c r="I162" s="151"/>
      <c r="J162" s="151"/>
      <c r="K162" s="151"/>
      <c r="L162" s="151"/>
      <c r="M162" s="152"/>
      <c r="N162" s="153" t="s">
        <v>89</v>
      </c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spans="1:26" ht="17.25" customHeight="1" x14ac:dyDescent="0.35">
      <c r="A163" s="158" t="s">
        <v>95</v>
      </c>
      <c r="B163" s="159">
        <f>+'DADOS 2024 I'!O8-'DADOS 2024 I'!N8</f>
        <v>0</v>
      </c>
      <c r="C163" s="159">
        <f>+'DADOS 2024 I'!P8-'DADOS 2024 I'!O8</f>
        <v>1.0000000000218279E-2</v>
      </c>
      <c r="D163" s="159">
        <f>+'DADOS 2024 I'!Q8-'DADOS 2024 I'!P8</f>
        <v>15.489999999999782</v>
      </c>
      <c r="E163" s="159">
        <f>+'DADOS 2024 I'!R8-'DADOS 2024 I'!Q8</f>
        <v>1.0000000000218279E-2</v>
      </c>
      <c r="F163" s="159">
        <f>+'DADOS 2024 I'!S8-'DADOS 2024 I'!R8</f>
        <v>0</v>
      </c>
      <c r="G163" s="159">
        <f>+'DADOS 2024 I'!T8-'DADOS 2024 I'!S8</f>
        <v>5</v>
      </c>
      <c r="H163" s="159"/>
      <c r="I163" s="159"/>
      <c r="J163" s="159"/>
      <c r="K163" s="159"/>
      <c r="L163" s="159"/>
      <c r="M163" s="159"/>
      <c r="N163" s="160">
        <f>+AVERAGE(B163:M163)</f>
        <v>3.4183333333333699</v>
      </c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</row>
    <row r="164" spans="1:26" ht="15.75" hidden="1" customHeight="1" x14ac:dyDescent="0.35">
      <c r="A164" s="161" t="s">
        <v>96</v>
      </c>
      <c r="B164" s="162" t="s">
        <v>56</v>
      </c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3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</row>
    <row r="165" spans="1:26" ht="17.25" customHeight="1" x14ac:dyDescent="0.35">
      <c r="A165" s="158" t="s">
        <v>97</v>
      </c>
      <c r="B165" s="159">
        <f>+'DADOS 2024 I'!O9-'DADOS 2024 I'!N9</f>
        <v>0.72999999999998977</v>
      </c>
      <c r="C165" s="159">
        <f>+'DADOS 2024 I'!P9-'DADOS 2024 I'!O9</f>
        <v>2.1100000000000136</v>
      </c>
      <c r="D165" s="159">
        <f>+'DADOS 2024 I'!Q9-'DADOS 2024 I'!P9</f>
        <v>0.75</v>
      </c>
      <c r="E165" s="159">
        <f>+'DADOS 2024 I'!R9-'DADOS 2024 I'!Q9</f>
        <v>1.7399999999999807</v>
      </c>
      <c r="F165" s="159">
        <f>+'DADOS 2024 I'!S9-'DADOS 2024 I'!R9</f>
        <v>1.3500000000000227</v>
      </c>
      <c r="G165" s="159">
        <f>+'DADOS 2024 I'!T9-'DADOS 2024 I'!S9</f>
        <v>0.66999999999998749</v>
      </c>
      <c r="H165" s="159"/>
      <c r="I165" s="159"/>
      <c r="J165" s="159"/>
      <c r="K165" s="159"/>
      <c r="L165" s="159"/>
      <c r="M165" s="159"/>
      <c r="N165" s="160">
        <f>+AVERAGE(B165:M165)</f>
        <v>1.224999999999999</v>
      </c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 spans="1:26" ht="15.75" hidden="1" customHeight="1" x14ac:dyDescent="0.35">
      <c r="A166" s="161" t="s">
        <v>96</v>
      </c>
      <c r="B166" s="162" t="s">
        <v>56</v>
      </c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3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</row>
    <row r="167" spans="1:26" ht="17.25" customHeight="1" x14ac:dyDescent="0.35">
      <c r="A167" s="158" t="s">
        <v>98</v>
      </c>
      <c r="B167" s="159">
        <f>+'DADOS 2024 I'!O10-'DADOS 2024 I'!N10</f>
        <v>9.9999999999909051E-3</v>
      </c>
      <c r="C167" s="159">
        <f>+'DADOS 2024 I'!P10-'DADOS 2024 I'!O10</f>
        <v>0</v>
      </c>
      <c r="D167" s="159">
        <v>0</v>
      </c>
      <c r="E167" s="159">
        <v>0</v>
      </c>
      <c r="F167" s="159">
        <f>+'DADOS 2024 I'!S10-'DADOS 2024 I'!R10</f>
        <v>0</v>
      </c>
      <c r="G167" s="159">
        <f>+'DADOS 2024 I'!T10-'DADOS 2024 I'!S10</f>
        <v>0</v>
      </c>
      <c r="H167" s="159"/>
      <c r="I167" s="159"/>
      <c r="J167" s="159"/>
      <c r="K167" s="159"/>
      <c r="L167" s="159"/>
      <c r="M167" s="159"/>
      <c r="N167" s="160">
        <f>+AVERAGE(B167:M167)</f>
        <v>1.6666666666651508E-3</v>
      </c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</row>
    <row r="168" spans="1:26" ht="15.75" hidden="1" customHeight="1" x14ac:dyDescent="0.35">
      <c r="A168" s="161" t="s">
        <v>96</v>
      </c>
      <c r="B168" s="162" t="s">
        <v>56</v>
      </c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3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</row>
    <row r="169" spans="1:26" ht="17.25" customHeight="1" x14ac:dyDescent="0.35">
      <c r="A169" s="158" t="s">
        <v>99</v>
      </c>
      <c r="B169" s="159">
        <f>+'DADOS 2024 I'!O12-'DADOS 2024 I'!N12</f>
        <v>5.0000000000181899E-2</v>
      </c>
      <c r="C169" s="159">
        <f>+'DADOS 2024 I'!P12-'DADOS 2024 I'!O12</f>
        <v>1.0000000000218279E-2</v>
      </c>
      <c r="D169" s="159">
        <f>+'DADOS 2024 I'!Q12-'DADOS 2024 I'!P12</f>
        <v>0.13000000000010914</v>
      </c>
      <c r="E169" s="159">
        <f>+'DADOS 2024 I'!R12-'DADOS 2024 I'!Q12</f>
        <v>1.0000000000218279E-2</v>
      </c>
      <c r="F169" s="159">
        <f>+'DADOS 2024 I'!S12-'DADOS 2024 I'!R12</f>
        <v>8.9999999999236024E-2</v>
      </c>
      <c r="G169" s="159">
        <f>+'DADOS 2024 I'!T12-'DADOS 2024 I'!S12</f>
        <v>2.0000000000436557E-2</v>
      </c>
      <c r="H169" s="159"/>
      <c r="I169" s="159"/>
      <c r="J169" s="159"/>
      <c r="K169" s="159"/>
      <c r="L169" s="159"/>
      <c r="M169" s="159"/>
      <c r="N169" s="160">
        <f>+AVERAGE(B169:M169)</f>
        <v>5.1666666666733363E-2</v>
      </c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</row>
    <row r="170" spans="1:26" ht="15.75" hidden="1" customHeight="1" x14ac:dyDescent="0.35">
      <c r="A170" s="161" t="s">
        <v>96</v>
      </c>
      <c r="B170" s="162" t="s">
        <v>56</v>
      </c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3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</row>
    <row r="171" spans="1:26" ht="19.5" customHeight="1" x14ac:dyDescent="0.35">
      <c r="A171" s="158" t="s">
        <v>100</v>
      </c>
      <c r="B171" s="159">
        <f>+'DADOS 2024 I'!O13-'DADOS 2024 I'!N13</f>
        <v>0</v>
      </c>
      <c r="C171" s="159">
        <f>+'DADOS 2024 I'!P13-'DADOS 2024 I'!O13</f>
        <v>0</v>
      </c>
      <c r="D171" s="159">
        <f>+'DADOS 2024 I'!Q13-'DADOS 2024 I'!P13</f>
        <v>0</v>
      </c>
      <c r="E171" s="159">
        <f>+'DADOS 2024 I'!R13-'DADOS 2024 I'!Q13</f>
        <v>0</v>
      </c>
      <c r="F171" s="159">
        <f>+'DADOS 2024 I'!S13-'DADOS 2024 I'!R13</f>
        <v>0</v>
      </c>
      <c r="G171" s="159">
        <f>+'DADOS 2024 I'!T13-'DADOS 2024 I'!S13</f>
        <v>0</v>
      </c>
      <c r="H171" s="159"/>
      <c r="I171" s="159"/>
      <c r="J171" s="159"/>
      <c r="K171" s="159"/>
      <c r="L171" s="159"/>
      <c r="M171" s="159"/>
      <c r="N171" s="160">
        <f>+AVERAGE(B171:M171)</f>
        <v>0</v>
      </c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</row>
    <row r="172" spans="1:26" ht="15.75" hidden="1" customHeight="1" x14ac:dyDescent="0.35">
      <c r="A172" s="161" t="s">
        <v>96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3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</row>
    <row r="173" spans="1:26" ht="18" customHeight="1" x14ac:dyDescent="0.35">
      <c r="A173" s="158" t="s">
        <v>101</v>
      </c>
      <c r="B173" s="159">
        <f>+'DADOS 2024 I'!O14-'DADOS 2024 I'!N14</f>
        <v>0</v>
      </c>
      <c r="C173" s="159">
        <f>+'DADOS 2024 I'!P14-'DADOS 2024 I'!O14</f>
        <v>2.1500000000000909</v>
      </c>
      <c r="D173" s="159">
        <f>+'DADOS 2024 I'!Q14-'DADOS 2024 I'!P14</f>
        <v>1.999999999998181E-2</v>
      </c>
      <c r="E173" s="159">
        <f>+'DADOS 2024 I'!R14-'DADOS 2024 I'!Q14</f>
        <v>2.2199999999997999</v>
      </c>
      <c r="F173" s="159">
        <f>+'DADOS 2024 I'!S14-'DADOS 2024 I'!R14</f>
        <v>0.65000000000009095</v>
      </c>
      <c r="G173" s="159">
        <f>+'DADOS 2024 I'!T14-'DADOS 2024 I'!S14</f>
        <v>1.1900000000000546</v>
      </c>
      <c r="H173" s="159"/>
      <c r="I173" s="159"/>
      <c r="J173" s="159"/>
      <c r="K173" s="159"/>
      <c r="L173" s="159"/>
      <c r="M173" s="159"/>
      <c r="N173" s="160">
        <f>+AVERAGE(B173:M173)</f>
        <v>1.0383333333333364</v>
      </c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</row>
    <row r="174" spans="1:26" ht="18" hidden="1" customHeight="1" x14ac:dyDescent="0.35">
      <c r="A174" s="161"/>
      <c r="B174" s="159">
        <f>+'DADOS 2024 I'!O17-'DADOS 2024 I'!N17</f>
        <v>1.3000000000000682</v>
      </c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60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</row>
    <row r="175" spans="1:26" ht="18" customHeight="1" x14ac:dyDescent="0.35">
      <c r="A175" s="158" t="s">
        <v>102</v>
      </c>
      <c r="B175" s="159">
        <f>+'DADOS 2024 I'!O15-'DADOS 2024 I'!N15</f>
        <v>0</v>
      </c>
      <c r="C175" s="159">
        <f>+'DADOS 2024 I'!P15-'DADOS 2024 I'!O15</f>
        <v>0.42000000000000171</v>
      </c>
      <c r="D175" s="159">
        <f>+'DADOS 2024 I'!Q15-'DADOS 2024 I'!P15</f>
        <v>0.13999999999999346</v>
      </c>
      <c r="E175" s="159">
        <f>+'DADOS 2024 I'!R15-'DADOS 2024 I'!Q15</f>
        <v>0</v>
      </c>
      <c r="F175" s="159">
        <f>+'DADOS 2024 I'!S15-'DADOS 2024 I'!R15</f>
        <v>0.10000000000000142</v>
      </c>
      <c r="G175" s="159">
        <f>+'DADOS 2024 I'!T15-'DADOS 2024 I'!S15</f>
        <v>0</v>
      </c>
      <c r="H175" s="159"/>
      <c r="I175" s="159"/>
      <c r="J175" s="159"/>
      <c r="K175" s="159"/>
      <c r="L175" s="159"/>
      <c r="M175" s="159"/>
      <c r="N175" s="160">
        <f>+AVERAGE(B175:M175)</f>
        <v>0.10999999999999943</v>
      </c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</row>
    <row r="176" spans="1:26" ht="18" hidden="1" customHeight="1" x14ac:dyDescent="0.35">
      <c r="A176" s="161"/>
      <c r="B176" s="159">
        <f>+'DADOS 2024 I'!O20-'DADOS 2024 I'!N20</f>
        <v>0.34000000000000341</v>
      </c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60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</row>
    <row r="177" spans="1:26" ht="18" customHeight="1" x14ac:dyDescent="0.35">
      <c r="A177" s="158" t="s">
        <v>103</v>
      </c>
      <c r="B177" s="159">
        <f>+'DADOS 2024 I'!O16-'DADOS 2024 I'!N16</f>
        <v>3.589999999999975</v>
      </c>
      <c r="C177" s="159">
        <f>+'DADOS 2024 I'!P16-'DADOS 2024 I'!O16</f>
        <v>3.5800000000000409</v>
      </c>
      <c r="D177" s="159">
        <f>+'DADOS 2024 I'!Q16-'DADOS 2024 I'!P16</f>
        <v>4.7699999999999818</v>
      </c>
      <c r="E177" s="159">
        <f>+'DADOS 2024 I'!R16-'DADOS 2024 I'!Q16</f>
        <v>3.9800000000000182</v>
      </c>
      <c r="F177" s="159">
        <f>+'DADOS 2024 I'!S16-'DADOS 2024 I'!R16</f>
        <v>4.8499999999999659</v>
      </c>
      <c r="G177" s="159">
        <f>+'DADOS 2024 I'!T16-'DADOS 2024 I'!S16</f>
        <v>4.0099999999999909</v>
      </c>
      <c r="H177" s="159"/>
      <c r="I177" s="159"/>
      <c r="J177" s="159"/>
      <c r="K177" s="159"/>
      <c r="L177" s="159"/>
      <c r="M177" s="159"/>
      <c r="N177" s="160">
        <f>+AVERAGE(B177:M177)</f>
        <v>4.1299999999999955</v>
      </c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</row>
    <row r="178" spans="1:26" ht="18" hidden="1" customHeight="1" x14ac:dyDescent="0.35">
      <c r="A178" s="161"/>
      <c r="B178" s="159">
        <f>+'DADOS 2024 I'!O23-'DADOS 2024 I'!N23</f>
        <v>0</v>
      </c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60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</row>
    <row r="179" spans="1:26" ht="18" customHeight="1" x14ac:dyDescent="0.35">
      <c r="A179" s="158" t="s">
        <v>104</v>
      </c>
      <c r="B179" s="159">
        <f>+'DADOS 2024 I'!O17-'DADOS 2024 I'!N17</f>
        <v>1.3000000000000682</v>
      </c>
      <c r="C179" s="159">
        <f>+'DADOS 2024 I'!P17-'DADOS 2024 I'!O17</f>
        <v>0</v>
      </c>
      <c r="D179" s="159">
        <f>+'DADOS 2024 I'!Q17-'DADOS 2024 I'!P17</f>
        <v>1</v>
      </c>
      <c r="E179" s="159">
        <f>+'DADOS 2024 I'!R17-'DADOS 2024 I'!Q17</f>
        <v>0</v>
      </c>
      <c r="F179" s="159">
        <f>+'DADOS 2024 I'!S17-'DADOS 2024 I'!R17</f>
        <v>0</v>
      </c>
      <c r="G179" s="159">
        <f>+'DADOS 2024 I'!T17-'DADOS 2024 I'!S17</f>
        <v>0.5</v>
      </c>
      <c r="H179" s="159"/>
      <c r="I179" s="159"/>
      <c r="J179" s="159"/>
      <c r="K179" s="159"/>
      <c r="L179" s="159"/>
      <c r="M179" s="159"/>
      <c r="N179" s="160">
        <f t="shared" ref="N179:N180" si="0">+AVERAGE(B179:M179)</f>
        <v>0.46666666666667805</v>
      </c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</row>
    <row r="180" spans="1:26" ht="15.75" customHeight="1" x14ac:dyDescent="0.35">
      <c r="A180" s="158" t="s">
        <v>105</v>
      </c>
      <c r="B180" s="159">
        <f>+'DADOS 2024 I'!O18-'DADOS 2024 I'!N18</f>
        <v>0</v>
      </c>
      <c r="C180" s="159">
        <f>+'DADOS 2024 I'!P18-'DADOS 2024 I'!O18</f>
        <v>0</v>
      </c>
      <c r="D180" s="159">
        <f>+'DADOS 2024 I'!Q18-'DADOS 2024 I'!P18</f>
        <v>0</v>
      </c>
      <c r="E180" s="159">
        <f>+'DADOS 2024 I'!R18-'DADOS 2024 I'!Q18</f>
        <v>0</v>
      </c>
      <c r="F180" s="159">
        <f>+'DADOS 2024 I'!S18-'DADOS 2024 I'!R18</f>
        <v>0</v>
      </c>
      <c r="G180" s="159">
        <f>+'DADOS 2024 I'!T18-'DADOS 2024 I'!S18</f>
        <v>0</v>
      </c>
      <c r="H180" s="159"/>
      <c r="I180" s="159"/>
      <c r="J180" s="159"/>
      <c r="K180" s="159"/>
      <c r="L180" s="159"/>
      <c r="M180" s="159"/>
      <c r="N180" s="160">
        <f t="shared" si="0"/>
        <v>0</v>
      </c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</row>
    <row r="181" spans="1:26" ht="0.75" hidden="1" customHeight="1" x14ac:dyDescent="0.35">
      <c r="A181" s="161" t="s">
        <v>96</v>
      </c>
      <c r="B181" s="159">
        <f>+'DADOS 2024 I'!O15-'DADOS 2024 I'!N15</f>
        <v>0</v>
      </c>
      <c r="C181" s="159">
        <f>+'DADOS 2024 I'!P19-'DADOS 2024 I'!O19</f>
        <v>26.740000000000009</v>
      </c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63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</row>
    <row r="182" spans="1:26" ht="18" customHeight="1" x14ac:dyDescent="0.35">
      <c r="A182" s="158" t="s">
        <v>106</v>
      </c>
      <c r="B182" s="159">
        <f>+'DADOS 2024 I'!O19-'DADOS 2024 I'!N19</f>
        <v>24.650000000000091</v>
      </c>
      <c r="C182" s="159">
        <f>+'DADOS 2024 I'!P19-'DADOS 2024 I'!O19</f>
        <v>26.740000000000009</v>
      </c>
      <c r="D182" s="159">
        <f>+'DADOS 2024 I'!Q19-'DADOS 2024 I'!P19</f>
        <v>17.2199999999998</v>
      </c>
      <c r="E182" s="159">
        <f>+'DADOS 2024 I'!R19-'DADOS 2024 I'!Q19</f>
        <v>20.900000000000091</v>
      </c>
      <c r="F182" s="159">
        <f>+'DADOS 2024 I'!S19-'DADOS 2024 I'!R19</f>
        <v>20.150000000000091</v>
      </c>
      <c r="G182" s="159">
        <f>+'DADOS 2024 I'!T19-'DADOS 2024 I'!S19</f>
        <v>25.299999999999955</v>
      </c>
      <c r="H182" s="159"/>
      <c r="I182" s="159"/>
      <c r="J182" s="159"/>
      <c r="K182" s="159"/>
      <c r="L182" s="159"/>
      <c r="M182" s="159"/>
      <c r="N182" s="160">
        <f t="shared" ref="N182:N185" si="1">+AVERAGE(B182:M182)</f>
        <v>22.493333333333339</v>
      </c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</row>
    <row r="183" spans="1:26" ht="18" customHeight="1" x14ac:dyDescent="0.35">
      <c r="A183" s="158" t="s">
        <v>107</v>
      </c>
      <c r="B183" s="159">
        <f>+'DADOS 2024 I'!O20-'DADOS 2024 I'!N20</f>
        <v>0.34000000000000341</v>
      </c>
      <c r="C183" s="159">
        <f>+'DADOS 2024 I'!P20-'DADOS 2024 I'!O20</f>
        <v>4.9999999999997158E-2</v>
      </c>
      <c r="D183" s="159">
        <f>+'DADOS 2024 I'!Q20-'DADOS 2024 I'!P20</f>
        <v>0.10999999999999943</v>
      </c>
      <c r="E183" s="159">
        <f>+'DADOS 2024 I'!R20-'DADOS 2024 I'!Q20</f>
        <v>0.21000000000000796</v>
      </c>
      <c r="F183" s="159">
        <f>+'DADOS 2024 I'!S20-'DADOS 2024 I'!R20</f>
        <v>1.7199999999999989</v>
      </c>
      <c r="G183" s="159">
        <f>+'DADOS 2024 I'!T20-'DADOS 2024 I'!S20</f>
        <v>3.210000000000008</v>
      </c>
      <c r="H183" s="159"/>
      <c r="I183" s="159"/>
      <c r="J183" s="159"/>
      <c r="K183" s="159"/>
      <c r="L183" s="159"/>
      <c r="M183" s="159"/>
      <c r="N183" s="160">
        <f t="shared" si="1"/>
        <v>0.9400000000000025</v>
      </c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</row>
    <row r="184" spans="1:26" ht="18" customHeight="1" x14ac:dyDescent="0.35">
      <c r="A184" s="158" t="s">
        <v>108</v>
      </c>
      <c r="B184" s="159">
        <f>+'DADOS 2024 I'!O21-'DADOS 2024 I'!N21</f>
        <v>0</v>
      </c>
      <c r="C184" s="159">
        <f>+'DADOS 2024 I'!P21-'DADOS 2024 I'!O21</f>
        <v>0</v>
      </c>
      <c r="D184" s="159">
        <f>+'DADOS 2024 I'!Q21-'DADOS 2024 I'!P21</f>
        <v>1.0700000000000003</v>
      </c>
      <c r="E184" s="159">
        <f>+'DADOS 2024 I'!R21-'DADOS 2024 I'!Q21</f>
        <v>4.1700000000000017</v>
      </c>
      <c r="F184" s="159">
        <f>+'DADOS 2024 I'!S21-'DADOS 2024 I'!R21</f>
        <v>26.099999999999998</v>
      </c>
      <c r="G184" s="159">
        <f>+'DADOS 2024 I'!T21-'DADOS 2024 I'!S21</f>
        <v>9.4200000000000017</v>
      </c>
      <c r="H184" s="159"/>
      <c r="I184" s="159"/>
      <c r="J184" s="159"/>
      <c r="K184" s="159"/>
      <c r="L184" s="159"/>
      <c r="M184" s="159"/>
      <c r="N184" s="160">
        <f t="shared" si="1"/>
        <v>6.7933333333333339</v>
      </c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</row>
    <row r="185" spans="1:26" ht="19.5" customHeight="1" x14ac:dyDescent="0.35">
      <c r="A185" s="158" t="s">
        <v>109</v>
      </c>
      <c r="B185" s="159">
        <f>+'DADOS 2024 I'!O22-'DADOS 2024 I'!N22</f>
        <v>8.1600000000000819</v>
      </c>
      <c r="C185" s="159">
        <f>+'DADOS 2024 I'!P22-'DADOS 2024 I'!O22</f>
        <v>12.619999999999891</v>
      </c>
      <c r="D185" s="159">
        <f>+'DADOS 2024 I'!Q22-'DADOS 2024 I'!P22</f>
        <v>-7.4099999999998545</v>
      </c>
      <c r="E185" s="159">
        <f>+'DADOS 2024 I'!R22-'DADOS 2024 I'!Q22</f>
        <v>1.9799999999997908</v>
      </c>
      <c r="F185" s="159">
        <f>+'DADOS 2024 I'!S22-'DADOS 2024 I'!R22</f>
        <v>7.8000000000001819</v>
      </c>
      <c r="G185" s="159">
        <f>+'DADOS 2024 I'!T22-'DADOS 2024 I'!S22</f>
        <v>4.1899999999998272</v>
      </c>
      <c r="H185" s="159"/>
      <c r="I185" s="159"/>
      <c r="J185" s="159"/>
      <c r="K185" s="159"/>
      <c r="L185" s="159"/>
      <c r="M185" s="159"/>
      <c r="N185" s="160">
        <f t="shared" si="1"/>
        <v>4.5566666666666533</v>
      </c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</row>
    <row r="186" spans="1:26" ht="15.75" hidden="1" customHeight="1" x14ac:dyDescent="0.35">
      <c r="A186" s="161" t="s">
        <v>96</v>
      </c>
      <c r="B186" s="159">
        <f>+'DADOS 2024 I'!O28-'DADOS 2024 I'!N28</f>
        <v>0.78999999999996362</v>
      </c>
      <c r="C186" s="159">
        <f>+'DADOS 2024 I'!P28-'DADOS 2024 I'!O28</f>
        <v>7.0000000000050022E-2</v>
      </c>
      <c r="D186" s="159">
        <f>+'DADOS 2024 I'!Q28-'DADOS 2024 I'!P28</f>
        <v>0.78999999999996362</v>
      </c>
      <c r="E186" s="159"/>
      <c r="F186" s="159"/>
      <c r="G186" s="159"/>
      <c r="H186" s="159"/>
      <c r="I186" s="159"/>
      <c r="J186" s="159"/>
      <c r="K186" s="159"/>
      <c r="L186" s="159"/>
      <c r="M186" s="159"/>
      <c r="N186" s="163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</row>
    <row r="187" spans="1:26" ht="18" customHeight="1" x14ac:dyDescent="0.35">
      <c r="A187" s="158" t="s">
        <v>110</v>
      </c>
      <c r="B187" s="159">
        <f>+'DADOS 2024 I'!O23-'DADOS 2024 I'!N23</f>
        <v>0</v>
      </c>
      <c r="C187" s="159">
        <f>+'DADOS 2024 I'!P23-'DADOS 2024 I'!O23</f>
        <v>0</v>
      </c>
      <c r="D187" s="159">
        <v>0</v>
      </c>
      <c r="E187" s="159">
        <v>0</v>
      </c>
      <c r="F187" s="159">
        <f>+'DADOS 2024 I'!S23-'DADOS 2024 I'!R23</f>
        <v>0</v>
      </c>
      <c r="G187" s="159">
        <f>+'DADOS 2024 I'!T23-'DADOS 2024 I'!S23</f>
        <v>0</v>
      </c>
      <c r="H187" s="159"/>
      <c r="I187" s="159"/>
      <c r="J187" s="159"/>
      <c r="K187" s="159"/>
      <c r="L187" s="159"/>
      <c r="M187" s="159"/>
      <c r="N187" s="160">
        <f>+AVERAGE(B187:M187)</f>
        <v>0</v>
      </c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</row>
    <row r="188" spans="1:26" ht="15.75" hidden="1" customHeight="1" x14ac:dyDescent="0.35">
      <c r="A188" s="161" t="s">
        <v>96</v>
      </c>
      <c r="B188" s="159">
        <v>0</v>
      </c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63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</row>
    <row r="189" spans="1:26" ht="17.25" customHeight="1" x14ac:dyDescent="0.35">
      <c r="A189" s="158" t="s">
        <v>111</v>
      </c>
      <c r="B189" s="159">
        <f>+'DADOS 2024 I'!O24-'DADOS 2024 I'!N24</f>
        <v>6.7199999999993452</v>
      </c>
      <c r="C189" s="159">
        <f>+'DADOS 2024 I'!P24-'DADOS 2024 I'!O24</f>
        <v>18.039999999999964</v>
      </c>
      <c r="D189" s="159">
        <f>+'DADOS 2024 I'!Q24-'DADOS 2024 I'!P24</f>
        <v>10.890000000000327</v>
      </c>
      <c r="E189" s="159">
        <f>+'DADOS 2024 I'!R24-'DADOS 2024 I'!Q24</f>
        <v>11.159999999999854</v>
      </c>
      <c r="F189" s="159">
        <f>+'DADOS 2024 I'!S24-'DADOS 2024 I'!R24</f>
        <v>10</v>
      </c>
      <c r="G189" s="159">
        <f>+'DADOS 2024 I'!T24-'DADOS 2024 I'!S24</f>
        <v>8.4499999999998181</v>
      </c>
      <c r="H189" s="164"/>
      <c r="I189" s="159"/>
      <c r="J189" s="159"/>
      <c r="K189" s="159"/>
      <c r="L189" s="159"/>
      <c r="M189" s="159"/>
      <c r="N189" s="160">
        <f>+AVERAGE(B189:M189)</f>
        <v>10.876666666666551</v>
      </c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spans="1:26" ht="15.75" hidden="1" customHeight="1" x14ac:dyDescent="0.35">
      <c r="A190" s="161" t="s">
        <v>96</v>
      </c>
      <c r="B190" s="159">
        <f>+'DADOS 2024 I'!O32-'DADOS 2024 I'!N32</f>
        <v>0</v>
      </c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63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</row>
    <row r="191" spans="1:26" ht="17.25" hidden="1" customHeight="1" x14ac:dyDescent="0.35">
      <c r="A191" s="158" t="s">
        <v>112</v>
      </c>
      <c r="B191" s="159">
        <f>+'DADOS 2024 I'!O33-'DADOS 2024 I'!N33</f>
        <v>0</v>
      </c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60">
        <f>+AVERAGE(B191:M191)</f>
        <v>0</v>
      </c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spans="1:26" ht="15.75" hidden="1" customHeight="1" x14ac:dyDescent="0.35">
      <c r="A192" s="161" t="s">
        <v>96</v>
      </c>
      <c r="B192" s="159">
        <f>+'DADOS 2024 I'!O34-'DADOS 2024 I'!N34</f>
        <v>0</v>
      </c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63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</row>
    <row r="193" spans="1:26" ht="18.75" customHeight="1" x14ac:dyDescent="0.35">
      <c r="A193" s="158" t="s">
        <v>113</v>
      </c>
      <c r="B193" s="159">
        <f>+'DADOS 2024 I'!O26-'DADOS 2024 I'!N26</f>
        <v>0.75999999999930878</v>
      </c>
      <c r="C193" s="159">
        <f>+'DADOS 2024 I'!P26-'DADOS 2024 I'!O26</f>
        <v>13.200000000000728</v>
      </c>
      <c r="D193" s="159">
        <f>+'DADOS 2024 I'!Q26-'DADOS 2024 I'!P26</f>
        <v>26.799999999999272</v>
      </c>
      <c r="E193" s="159">
        <f>+'DADOS 2024 I'!R26-'DADOS 2024 I'!Q26</f>
        <v>17.520000000000437</v>
      </c>
      <c r="F193" s="159">
        <f>+'DADOS 2024 I'!S26-'DADOS 2024 I'!R26</f>
        <v>20.029999999999745</v>
      </c>
      <c r="G193" s="159">
        <f>+'DADOS 2024 I'!T26-'DADOS 2024 I'!S26</f>
        <v>16.039999999999964</v>
      </c>
      <c r="H193" s="164"/>
      <c r="I193" s="159"/>
      <c r="J193" s="159"/>
      <c r="K193" s="159"/>
      <c r="L193" s="159"/>
      <c r="M193" s="159"/>
      <c r="N193" s="160">
        <f>+AVERAGE(B193:M193)</f>
        <v>15.724999999999909</v>
      </c>
      <c r="O193" s="143"/>
      <c r="P193" s="165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 spans="1:26" ht="15.75" hidden="1" customHeight="1" x14ac:dyDescent="0.35">
      <c r="A194" s="166" t="s">
        <v>96</v>
      </c>
      <c r="B194" s="159">
        <f>+'DADOS 2024 I'!O36-'DADOS 2024 I'!N36</f>
        <v>0</v>
      </c>
      <c r="C194" s="159"/>
      <c r="D194" s="159">
        <v>0</v>
      </c>
      <c r="E194" s="159"/>
      <c r="F194" s="159"/>
      <c r="G194" s="159"/>
      <c r="H194" s="159"/>
      <c r="I194" s="159"/>
      <c r="J194" s="159"/>
      <c r="K194" s="159"/>
      <c r="L194" s="159"/>
      <c r="M194" s="159"/>
      <c r="N194" s="167"/>
    </row>
    <row r="195" spans="1:26" ht="16.5" x14ac:dyDescent="0.35">
      <c r="A195" s="158" t="s">
        <v>114</v>
      </c>
      <c r="B195" s="159">
        <f>+'DADOS 2024 I'!O27-'DADOS 2024 I'!N27</f>
        <v>43.460000000000036</v>
      </c>
      <c r="C195" s="159">
        <f>+'DADOS 2024 I'!P27-'DADOS 2024 I'!O27</f>
        <v>47.3799999999992</v>
      </c>
      <c r="D195" s="159">
        <f>+'DADOS 2024 I'!Q27-'DADOS 2024 I'!P27</f>
        <v>18.240000000000691</v>
      </c>
      <c r="E195" s="159">
        <f>+'DADOS 2024 I'!R27-'DADOS 2024 I'!Q27</f>
        <v>9.0799999999999272</v>
      </c>
      <c r="F195" s="159">
        <f>+'DADOS 2024 I'!S27-'DADOS 2024 I'!R27</f>
        <v>13.949999999999818</v>
      </c>
      <c r="G195" s="159">
        <f>+'DADOS 2024 I'!T27-'DADOS 2024 I'!S27</f>
        <v>4.4600000000000364</v>
      </c>
      <c r="H195" s="164"/>
      <c r="I195" s="159"/>
      <c r="J195" s="159"/>
      <c r="K195" s="159"/>
      <c r="L195" s="159"/>
      <c r="M195" s="159"/>
      <c r="N195" s="160">
        <f>+AVERAGE(B195:M195)</f>
        <v>22.761666666666617</v>
      </c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 spans="1:26" ht="12.75" hidden="1" customHeight="1" x14ac:dyDescent="0.35">
      <c r="A196" s="166" t="s">
        <v>96</v>
      </c>
      <c r="B196" s="159">
        <f>+'DADOS 2024 I'!O38-'DADOS 2024 I'!N38</f>
        <v>0</v>
      </c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67"/>
    </row>
    <row r="197" spans="1:26" ht="18.75" customHeight="1" x14ac:dyDescent="0.35">
      <c r="A197" s="158" t="s">
        <v>115</v>
      </c>
      <c r="B197" s="159">
        <f>+'DADOS 2024 I'!O28-'DADOS 2024 I'!N28</f>
        <v>0.78999999999996362</v>
      </c>
      <c r="C197" s="159">
        <f>+'DADOS 2024 I'!P28-'DADOS 2024 I'!O28</f>
        <v>7.0000000000050022E-2</v>
      </c>
      <c r="D197" s="159">
        <f>+'DADOS 2024 I'!Q28-'DADOS 2024 I'!P28</f>
        <v>0.78999999999996362</v>
      </c>
      <c r="E197" s="159">
        <f>+'DADOS 2024 I'!R28-'DADOS 2024 I'!Q28</f>
        <v>4.9999999999954525E-2</v>
      </c>
      <c r="F197" s="159">
        <f>+'DADOS 2024 I'!S28-'DADOS 2024 I'!R28</f>
        <v>0.5</v>
      </c>
      <c r="G197" s="159">
        <f>+'DADOS 2024 I'!T28-'DADOS 2024 I'!S28</f>
        <v>9.9999999999909051E-3</v>
      </c>
      <c r="H197" s="159"/>
      <c r="I197" s="159"/>
      <c r="J197" s="159"/>
      <c r="K197" s="159"/>
      <c r="L197" s="159"/>
      <c r="M197" s="159"/>
      <c r="N197" s="160">
        <f>+AVERAGE(B197:M197)</f>
        <v>0.36833333333332047</v>
      </c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 spans="1:26" ht="15.75" hidden="1" customHeight="1" x14ac:dyDescent="0.35">
      <c r="A198" s="168" t="s">
        <v>96</v>
      </c>
      <c r="B198" s="159">
        <f>+'DADOS 2024 I'!O40-'DADOS 2024 I'!N40</f>
        <v>0</v>
      </c>
      <c r="C198" s="159"/>
      <c r="D198" s="159"/>
      <c r="E198" s="159"/>
      <c r="F198" s="159"/>
      <c r="G198" s="159"/>
      <c r="H198" s="169"/>
      <c r="I198" s="169"/>
      <c r="J198" s="169"/>
      <c r="K198" s="169"/>
      <c r="L198" s="169"/>
      <c r="M198" s="169"/>
      <c r="N198" s="170"/>
    </row>
    <row r="199" spans="1:26" ht="20.25" customHeight="1" x14ac:dyDescent="0.35">
      <c r="A199" s="171" t="s">
        <v>116</v>
      </c>
      <c r="B199" s="159">
        <f>+'DADOS 2024 I'!O29-'DADOS 2024 I'!N29</f>
        <v>0</v>
      </c>
      <c r="C199" s="159">
        <f>+'DADOS 2024 I'!P29-'DADOS 2024 I'!O29</f>
        <v>0</v>
      </c>
      <c r="D199" s="159">
        <f>+'DADOS 2024 I'!Q29-'DADOS 2024 I'!P29</f>
        <v>0</v>
      </c>
      <c r="E199" s="159">
        <f>+'DADOS 2024 I'!R29-'DADOS 2024 I'!Q29</f>
        <v>5.999999999994543E-2</v>
      </c>
      <c r="F199" s="159">
        <f>+'DADOS 2024 I'!S29-'DADOS 2024 I'!R29</f>
        <v>0</v>
      </c>
      <c r="G199" s="159">
        <f>+'DADOS 2024 I'!T29-'DADOS 2024 I'!S29</f>
        <v>0</v>
      </c>
      <c r="H199" s="159"/>
      <c r="I199" s="159"/>
      <c r="J199" s="159"/>
      <c r="K199" s="159"/>
      <c r="L199" s="159"/>
      <c r="M199" s="159"/>
      <c r="N199" s="160">
        <f>+AVERAGE(B199:M199)</f>
        <v>9.9999999999909051E-3</v>
      </c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 spans="1:26" ht="15.75" hidden="1" customHeight="1" x14ac:dyDescent="0.35">
      <c r="A200" s="172" t="s">
        <v>96</v>
      </c>
      <c r="B200" s="173" t="s">
        <v>56</v>
      </c>
      <c r="C200" s="174">
        <v>0</v>
      </c>
      <c r="D200" s="175"/>
      <c r="E200" s="175"/>
      <c r="F200" s="175"/>
      <c r="G200" s="175"/>
      <c r="H200" s="169"/>
      <c r="I200" s="169"/>
      <c r="J200" s="169"/>
      <c r="K200" s="169"/>
      <c r="L200" s="169"/>
      <c r="M200" s="176"/>
      <c r="N200" s="177"/>
    </row>
    <row r="201" spans="1:26" ht="17.25" customHeight="1" x14ac:dyDescent="0.35">
      <c r="A201" s="178" t="s">
        <v>117</v>
      </c>
      <c r="B201" s="179">
        <f t="shared" ref="B201:G201" si="2">+B153+B155+B157+B159+B161+B163+B165+B167+B169+B171+B180+B173+B175+B177+B179+B182+B183+B185+B187+B189+B193+B195+B197+B199+B184</f>
        <v>278.9900000000041</v>
      </c>
      <c r="C201" s="179">
        <f t="shared" si="2"/>
        <v>281.04999999999961</v>
      </c>
      <c r="D201" s="179">
        <f t="shared" si="2"/>
        <v>253.95999999999964</v>
      </c>
      <c r="E201" s="179">
        <f t="shared" si="2"/>
        <v>229.95999999999947</v>
      </c>
      <c r="F201" s="179">
        <f t="shared" si="2"/>
        <v>284.19999999999902</v>
      </c>
      <c r="G201" s="179">
        <f t="shared" si="2"/>
        <v>245.24999999999756</v>
      </c>
      <c r="H201" s="179">
        <f>+H153+H155+H157+H159+H161+H163+H165+H167+H169+H171+H180+H173+H175+H177+H179+H182+H183+H185+H187+H189+H193+H195+H197+H199</f>
        <v>0</v>
      </c>
      <c r="I201" s="179">
        <f t="shared" ref="I201:K201" si="3">SUM(I153:I199)</f>
        <v>0</v>
      </c>
      <c r="J201" s="179">
        <f t="shared" si="3"/>
        <v>0</v>
      </c>
      <c r="K201" s="179">
        <f t="shared" si="3"/>
        <v>0</v>
      </c>
      <c r="L201" s="179">
        <f>+L153+L155+L157+L159+L161+L163+L165+L167+L169+L171+L180+L173+L175+L177+L179+L182+L183+L185+L187+L189+L193+L195+L197+L199</f>
        <v>0</v>
      </c>
      <c r="M201" s="180">
        <v>0</v>
      </c>
      <c r="N201" s="181">
        <f>+SUM(N153,N155,N157,N159,N161,N163,N165,N167,N169,N171,N180,N173,N175,N177,N179,N185,N187,N189,N191,N193,N195,N197,N199,N182,N183)</f>
        <v>255.44166666666655</v>
      </c>
      <c r="O201" s="143"/>
      <c r="P201" s="182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 spans="1:26" ht="17.25" customHeight="1" x14ac:dyDescent="0.35">
      <c r="A202" s="183" t="s">
        <v>118</v>
      </c>
      <c r="B202" s="184">
        <f>+'DADOS 2024 I'!O30-'DADOS 2024 I'!N30</f>
        <v>352.56000000000131</v>
      </c>
      <c r="C202" s="184">
        <f>+'DADOS 2024 I'!P30-'DADOS 2024 I'!O30</f>
        <v>310.71999999999935</v>
      </c>
      <c r="D202" s="184">
        <f>+'DADOS 2024 I'!Q30-'DADOS 2024 I'!P30</f>
        <v>278.22999999999956</v>
      </c>
      <c r="E202" s="184">
        <f>+'DADOS 2024 I'!R30-'DADOS 2024 I'!Q30</f>
        <v>298.67000000000007</v>
      </c>
      <c r="F202" s="184">
        <f>+'DADOS 2024 I'!S30-'DADOS 2024 I'!R30</f>
        <v>323.6200000000008</v>
      </c>
      <c r="G202" s="184">
        <f>+'DADOS 2024 I'!T30-'DADOS 2024 I'!S30</f>
        <v>226.55999999999949</v>
      </c>
      <c r="H202" s="184"/>
      <c r="I202" s="184"/>
      <c r="J202" s="184"/>
      <c r="K202" s="184"/>
      <c r="L202" s="184"/>
      <c r="M202" s="184"/>
      <c r="N202" s="185">
        <f t="shared" ref="N202:N204" si="4">+AVERAGE(B202:M202)</f>
        <v>298.39333333333343</v>
      </c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 spans="1:26" ht="17.25" customHeight="1" x14ac:dyDescent="0.35">
      <c r="A203" s="183" t="s">
        <v>119</v>
      </c>
      <c r="B203" s="159">
        <f>+'DADOS 2024 I'!O31-'DADOS 2024 I'!N31</f>
        <v>30.839999999999918</v>
      </c>
      <c r="C203" s="159">
        <f>+'DADOS 2024 I'!P31-'DADOS 2024 I'!O31</f>
        <v>29.549999999999955</v>
      </c>
      <c r="D203" s="159">
        <f>+'DADOS 2024 I'!Q31-'DADOS 2024 I'!P31</f>
        <v>36.990000000000009</v>
      </c>
      <c r="E203" s="159">
        <f>+'DADOS 2024 I'!R31-'DADOS 2024 I'!Q31</f>
        <v>5</v>
      </c>
      <c r="F203" s="159">
        <f>+'DADOS 2024 I'!S31-'DADOS 2024 I'!R31</f>
        <v>36.779999999999973</v>
      </c>
      <c r="G203" s="159">
        <f>+'DADOS 2024 I'!T31-'DADOS 2024 I'!S31</f>
        <v>85.059999999999945</v>
      </c>
      <c r="H203" s="159"/>
      <c r="I203" s="159"/>
      <c r="J203" s="159"/>
      <c r="K203" s="159"/>
      <c r="L203" s="159"/>
      <c r="M203" s="159"/>
      <c r="N203" s="185">
        <f t="shared" si="4"/>
        <v>37.369999999999969</v>
      </c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 spans="1:26" ht="17.25" customHeight="1" x14ac:dyDescent="0.35">
      <c r="A204" s="186" t="s">
        <v>120</v>
      </c>
      <c r="B204" s="159">
        <f>+'DADOS 2024 I'!O32-'DADOS 2024 I'!N32</f>
        <v>0</v>
      </c>
      <c r="C204" s="159">
        <f>+'DADOS 2024 I'!P32-'DADOS 2024 I'!O32</f>
        <v>0</v>
      </c>
      <c r="D204" s="159">
        <f>+'DADOS 2024 I'!Q32-'DADOS 2024 I'!P32</f>
        <v>0</v>
      </c>
      <c r="E204" s="159">
        <f>+'DADOS 2024 I'!R32-'DADOS 2024 I'!Q32</f>
        <v>0</v>
      </c>
      <c r="F204" s="159">
        <f>+'DADOS 2024 I'!S32-'DADOS 2024 I'!R32</f>
        <v>0</v>
      </c>
      <c r="G204" s="159">
        <f>+'DADOS 2024 I'!T32-'DADOS 2024 I'!S32</f>
        <v>0</v>
      </c>
      <c r="H204" s="159"/>
      <c r="I204" s="159"/>
      <c r="J204" s="159"/>
      <c r="K204" s="159"/>
      <c r="L204" s="159"/>
      <c r="M204" s="159"/>
      <c r="N204" s="187">
        <f t="shared" si="4"/>
        <v>0</v>
      </c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spans="1:26" ht="17.25" customHeight="1" x14ac:dyDescent="0.35">
      <c r="A205" s="178" t="s">
        <v>121</v>
      </c>
      <c r="B205" s="179">
        <f t="shared" ref="B205:N205" si="5">+SUM(B202:B204)</f>
        <v>383.40000000000123</v>
      </c>
      <c r="C205" s="179">
        <f t="shared" si="5"/>
        <v>340.2699999999993</v>
      </c>
      <c r="D205" s="179">
        <f t="shared" si="5"/>
        <v>315.21999999999957</v>
      </c>
      <c r="E205" s="179">
        <f t="shared" si="5"/>
        <v>303.67000000000007</v>
      </c>
      <c r="F205" s="179">
        <f t="shared" si="5"/>
        <v>360.40000000000077</v>
      </c>
      <c r="G205" s="179">
        <f t="shared" si="5"/>
        <v>311.61999999999944</v>
      </c>
      <c r="H205" s="179">
        <f t="shared" si="5"/>
        <v>0</v>
      </c>
      <c r="I205" s="179">
        <f t="shared" si="5"/>
        <v>0</v>
      </c>
      <c r="J205" s="179">
        <f t="shared" si="5"/>
        <v>0</v>
      </c>
      <c r="K205" s="179">
        <f t="shared" si="5"/>
        <v>0</v>
      </c>
      <c r="L205" s="179">
        <f t="shared" si="5"/>
        <v>0</v>
      </c>
      <c r="M205" s="179">
        <f t="shared" si="5"/>
        <v>0</v>
      </c>
      <c r="N205" s="181">
        <f t="shared" si="5"/>
        <v>335.76333333333338</v>
      </c>
      <c r="O205" s="143"/>
      <c r="P205" s="182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spans="1:26" ht="12.75" customHeight="1" x14ac:dyDescent="0.35">
      <c r="A206" s="188"/>
      <c r="B206" s="189">
        <f t="shared" ref="B206:F206" si="6">B205-B201</f>
        <v>104.40999999999713</v>
      </c>
      <c r="C206" s="189">
        <f t="shared" si="6"/>
        <v>59.219999999999686</v>
      </c>
      <c r="D206" s="189">
        <f t="shared" si="6"/>
        <v>61.259999999999934</v>
      </c>
      <c r="E206" s="189">
        <f t="shared" si="6"/>
        <v>73.710000000000605</v>
      </c>
      <c r="F206" s="189">
        <f t="shared" si="6"/>
        <v>76.200000000001751</v>
      </c>
      <c r="K206" s="190"/>
    </row>
    <row r="207" spans="1:26" ht="12.75" customHeight="1" x14ac:dyDescent="0.35">
      <c r="A207" s="143"/>
      <c r="I207" s="48" t="s">
        <v>122</v>
      </c>
      <c r="N207" s="72"/>
    </row>
    <row r="208" spans="1:26" ht="12.75" customHeight="1" x14ac:dyDescent="0.25">
      <c r="N208" s="110"/>
    </row>
    <row r="209" spans="1:8" ht="16.5" customHeight="1" x14ac:dyDescent="0.5">
      <c r="G209" s="48"/>
      <c r="H209" s="191"/>
    </row>
    <row r="210" spans="1:8" ht="12.75" customHeight="1" x14ac:dyDescent="0.25"/>
    <row r="211" spans="1:8" ht="12.75" customHeight="1" x14ac:dyDescent="0.25">
      <c r="A211" s="48"/>
    </row>
    <row r="212" spans="1:8" ht="12.75" customHeight="1" x14ac:dyDescent="0.25"/>
    <row r="213" spans="1:8" ht="12.75" customHeight="1" x14ac:dyDescent="0.25"/>
    <row r="214" spans="1:8" ht="12.75" customHeight="1" x14ac:dyDescent="0.25"/>
    <row r="215" spans="1:8" ht="12.75" customHeight="1" x14ac:dyDescent="0.25"/>
    <row r="216" spans="1:8" ht="12.75" customHeight="1" x14ac:dyDescent="0.25"/>
    <row r="217" spans="1:8" ht="12.75" customHeight="1" x14ac:dyDescent="0.25"/>
    <row r="218" spans="1:8" ht="12.75" customHeight="1" x14ac:dyDescent="0.25"/>
    <row r="219" spans="1:8" ht="12.75" customHeight="1" x14ac:dyDescent="0.25"/>
    <row r="220" spans="1:8" ht="12.75" customHeight="1" x14ac:dyDescent="0.25"/>
    <row r="221" spans="1:8" ht="12.75" customHeight="1" x14ac:dyDescent="0.25"/>
    <row r="222" spans="1:8" ht="12.75" customHeight="1" x14ac:dyDescent="0.25"/>
    <row r="223" spans="1:8" ht="12.75" customHeight="1" x14ac:dyDescent="0.25"/>
    <row r="224" spans="1:8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spans="9:9" ht="12.75" customHeight="1" x14ac:dyDescent="0.25"/>
    <row r="258" spans="9:9" ht="12.75" customHeight="1" x14ac:dyDescent="0.25"/>
    <row r="259" spans="9:9" ht="12.75" customHeight="1" x14ac:dyDescent="0.25"/>
    <row r="260" spans="9:9" ht="12.75" customHeight="1" x14ac:dyDescent="0.35">
      <c r="I260" s="192"/>
    </row>
    <row r="261" spans="9:9" ht="12.75" customHeight="1" x14ac:dyDescent="0.25"/>
    <row r="262" spans="9:9" ht="12.75" customHeight="1" x14ac:dyDescent="0.25"/>
    <row r="263" spans="9:9" ht="12.75" customHeight="1" x14ac:dyDescent="0.25"/>
    <row r="264" spans="9:9" ht="12.75" customHeight="1" x14ac:dyDescent="0.25"/>
    <row r="265" spans="9:9" ht="12.75" customHeight="1" x14ac:dyDescent="0.25"/>
    <row r="266" spans="9:9" ht="12.75" customHeight="1" x14ac:dyDescent="0.25"/>
    <row r="267" spans="9:9" ht="12.75" customHeight="1" x14ac:dyDescent="0.25"/>
    <row r="268" spans="9:9" ht="12.75" customHeight="1" x14ac:dyDescent="0.25"/>
    <row r="269" spans="9:9" ht="12.75" customHeight="1" x14ac:dyDescent="0.25"/>
    <row r="270" spans="9:9" ht="12.75" customHeight="1" x14ac:dyDescent="0.25"/>
    <row r="271" spans="9:9" ht="12.75" customHeight="1" x14ac:dyDescent="0.25"/>
    <row r="272" spans="9:9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51:N151"/>
  </mergeCells>
  <printOptions horizontalCentered="1"/>
  <pageMargins left="0.19685039370078741" right="0.19685039370078741" top="0.78740157480314965" bottom="0.19685039370078741" header="0" footer="0"/>
  <pageSetup paperSize="9" orientation="landscape"/>
  <headerFooter>
    <oddHeader>&amp;CCONTROLE DE CONSUMO DE ÁGUA - CONDOMÍNIO JARINÚ 2022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41.453125" customWidth="1"/>
    <col min="2" max="2" width="16.36328125" customWidth="1"/>
    <col min="3" max="3" width="15.08984375" customWidth="1"/>
    <col min="4" max="5" width="12.08984375" customWidth="1"/>
    <col min="6" max="6" width="12.36328125" customWidth="1"/>
    <col min="7" max="7" width="12" customWidth="1"/>
    <col min="8" max="8" width="13.36328125" customWidth="1"/>
    <col min="9" max="9" width="11" customWidth="1"/>
    <col min="10" max="13" width="11.453125" customWidth="1"/>
    <col min="14" max="14" width="15.90625" customWidth="1"/>
    <col min="15" max="15" width="8.453125" customWidth="1"/>
    <col min="16" max="16" width="12.453125" customWidth="1"/>
    <col min="17" max="26" width="8.453125" customWidth="1"/>
  </cols>
  <sheetData>
    <row r="1" spans="12:19" ht="12.75" customHeight="1" x14ac:dyDescent="0.25"/>
    <row r="2" spans="12:19" ht="12.75" customHeight="1" x14ac:dyDescent="0.25"/>
    <row r="3" spans="12:19" ht="12.75" customHeight="1" x14ac:dyDescent="0.25"/>
    <row r="4" spans="12:19" ht="12.75" customHeight="1" x14ac:dyDescent="0.25"/>
    <row r="5" spans="12:19" ht="12.75" customHeight="1" x14ac:dyDescent="0.25"/>
    <row r="6" spans="12:19" ht="12.75" customHeight="1" x14ac:dyDescent="0.25"/>
    <row r="7" spans="12:19" ht="12.75" customHeight="1" x14ac:dyDescent="0.25"/>
    <row r="8" spans="12:19" ht="12.75" customHeight="1" x14ac:dyDescent="0.25"/>
    <row r="9" spans="12:19" ht="12.75" customHeight="1" x14ac:dyDescent="0.25">
      <c r="L9" s="53" t="e">
        <f>'GRÁFICO ÁGUA 2024 I'!L153:L169+'GRÁFICO ÁGUA 2024 I'!M153:M169</f>
        <v>#VALUE!</v>
      </c>
      <c r="S9" s="72"/>
    </row>
    <row r="10" spans="12:19" ht="12.75" customHeight="1" x14ac:dyDescent="0.25">
      <c r="S10" s="72"/>
    </row>
    <row r="11" spans="12:19" ht="12.75" customHeight="1" x14ac:dyDescent="0.25"/>
    <row r="12" spans="12:19" ht="12.75" customHeight="1" x14ac:dyDescent="0.25"/>
    <row r="13" spans="12:19" ht="12.75" customHeight="1" x14ac:dyDescent="0.25"/>
    <row r="14" spans="12:19" ht="12.75" customHeight="1" x14ac:dyDescent="0.25"/>
    <row r="15" spans="12:19" ht="12.75" customHeight="1" x14ac:dyDescent="0.25"/>
    <row r="16" spans="12:1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spans="1:13" ht="12.75" customHeight="1" x14ac:dyDescent="0.25"/>
    <row r="98" spans="1:13" ht="12.75" customHeight="1" x14ac:dyDescent="0.25"/>
    <row r="99" spans="1:13" ht="12.75" customHeight="1" x14ac:dyDescent="0.25"/>
    <row r="100" spans="1:13" ht="12.75" customHeight="1" x14ac:dyDescent="0.25"/>
    <row r="101" spans="1:13" ht="12.75" customHeight="1" x14ac:dyDescent="0.25"/>
    <row r="102" spans="1:13" ht="12.75" customHeight="1" x14ac:dyDescent="0.25"/>
    <row r="103" spans="1:13" ht="12.75" customHeight="1" x14ac:dyDescent="0.25"/>
    <row r="104" spans="1:13" ht="12.75" customHeight="1" x14ac:dyDescent="0.25"/>
    <row r="105" spans="1:13" ht="12.75" customHeight="1" x14ac:dyDescent="0.25"/>
    <row r="106" spans="1:13" ht="12.75" customHeight="1" x14ac:dyDescent="0.25"/>
    <row r="107" spans="1:13" ht="12.75" customHeight="1" x14ac:dyDescent="0.25"/>
    <row r="108" spans="1:13" ht="12.75" customHeight="1" x14ac:dyDescent="0.25"/>
    <row r="109" spans="1:13" ht="12.75" customHeight="1" x14ac:dyDescent="0.25"/>
    <row r="110" spans="1:13" ht="12.75" customHeight="1" x14ac:dyDescent="0.25"/>
    <row r="111" spans="1:13" ht="12.75" customHeight="1" x14ac:dyDescent="0.3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</row>
    <row r="112" spans="1:13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spans="1:26" ht="12.75" customHeight="1" x14ac:dyDescent="0.25"/>
    <row r="130" spans="1:26" ht="12.75" customHeight="1" x14ac:dyDescent="0.25"/>
    <row r="131" spans="1:26" ht="12.75" customHeight="1" x14ac:dyDescent="0.25"/>
    <row r="132" spans="1:26" ht="12.75" customHeight="1" x14ac:dyDescent="0.25"/>
    <row r="133" spans="1:26" ht="12.75" customHeight="1" x14ac:dyDescent="0.25"/>
    <row r="134" spans="1:26" ht="12.75" customHeight="1" x14ac:dyDescent="0.25"/>
    <row r="135" spans="1:26" ht="12.75" customHeight="1" x14ac:dyDescent="0.25"/>
    <row r="136" spans="1:26" ht="12.75" customHeight="1" x14ac:dyDescent="0.25"/>
    <row r="137" spans="1:26" ht="12.75" customHeight="1" x14ac:dyDescent="0.25"/>
    <row r="138" spans="1:26" ht="15.75" customHeight="1" x14ac:dyDescent="0.35">
      <c r="A138" s="459" t="s">
        <v>88</v>
      </c>
      <c r="B138" s="454"/>
      <c r="C138" s="454"/>
      <c r="D138" s="454"/>
      <c r="E138" s="454"/>
      <c r="F138" s="454"/>
      <c r="G138" s="454"/>
      <c r="H138" s="454"/>
      <c r="I138" s="454"/>
      <c r="J138" s="454"/>
      <c r="K138" s="454"/>
      <c r="L138" s="454"/>
      <c r="M138" s="454"/>
      <c r="N138" s="455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 spans="1:26" ht="15.75" customHeight="1" x14ac:dyDescent="0.35">
      <c r="A139" s="149"/>
      <c r="B139" s="150" t="s">
        <v>56</v>
      </c>
      <c r="C139" s="151" t="s">
        <v>57</v>
      </c>
      <c r="D139" s="193" t="s">
        <v>58</v>
      </c>
      <c r="E139" s="151" t="s">
        <v>59</v>
      </c>
      <c r="F139" s="151" t="s">
        <v>60</v>
      </c>
      <c r="G139" s="151" t="s">
        <v>61</v>
      </c>
      <c r="H139" s="151" t="s">
        <v>62</v>
      </c>
      <c r="I139" s="151" t="s">
        <v>63</v>
      </c>
      <c r="J139" s="151" t="s">
        <v>64</v>
      </c>
      <c r="K139" s="151" t="s">
        <v>65</v>
      </c>
      <c r="L139" s="151" t="s">
        <v>66</v>
      </c>
      <c r="M139" s="152" t="s">
        <v>67</v>
      </c>
      <c r="N139" s="153" t="s">
        <v>89</v>
      </c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</row>
    <row r="140" spans="1:26" ht="15.75" customHeight="1" x14ac:dyDescent="0.35">
      <c r="A140" s="155" t="s">
        <v>90</v>
      </c>
      <c r="B140" s="156">
        <f>+'DADOS 2024 I'!O3-'DADOS 2024 I'!N3</f>
        <v>105.80000000000291</v>
      </c>
      <c r="C140" s="156">
        <f>+'DADOS 2024 I'!P3-'DADOS 2024 I'!O3</f>
        <v>67.5</v>
      </c>
      <c r="D140" s="156">
        <f>+'DADOS 2024 I'!Q3-'DADOS 2024 I'!P3</f>
        <v>74.799999999999272</v>
      </c>
      <c r="E140" s="156">
        <f>+'DADOS 2024 I'!R3-'DADOS 2024 I'!Q3</f>
        <v>53.799999999999272</v>
      </c>
      <c r="F140" s="156">
        <f>+'DADOS 2024 I'!S3-'DADOS 2024 I'!R3</f>
        <v>75</v>
      </c>
      <c r="G140" s="156">
        <f>+'DADOS 2024 I'!T3-'DADOS 2024 I'!S3</f>
        <v>68.599999999998545</v>
      </c>
      <c r="H140" s="156"/>
      <c r="I140" s="156"/>
      <c r="J140" s="156"/>
      <c r="K140" s="156"/>
      <c r="L140" s="156"/>
      <c r="M140" s="156"/>
      <c r="N140" s="157">
        <f>+AVERAGE(B140:M140)</f>
        <v>74.25</v>
      </c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 spans="1:26" ht="15.75" hidden="1" customHeight="1" x14ac:dyDescent="0.35">
      <c r="A141" s="161" t="s">
        <v>96</v>
      </c>
      <c r="B141" s="162" t="s">
        <v>56</v>
      </c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3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</row>
    <row r="142" spans="1:26" ht="15.75" customHeight="1" x14ac:dyDescent="0.35">
      <c r="A142" s="158" t="s">
        <v>91</v>
      </c>
      <c r="B142" s="159">
        <f>+'DADOS 2024 I'!O4-'DADOS 2024 I'!N4</f>
        <v>37.910000000001673</v>
      </c>
      <c r="C142" s="159">
        <f>+'DADOS 2024 I'!P4-'DADOS 2024 I'!O4</f>
        <v>37.039999999999054</v>
      </c>
      <c r="D142" s="159">
        <f>+'DADOS 2024 I'!Q4-'DADOS 2024 I'!P4</f>
        <v>44.819999999999709</v>
      </c>
      <c r="E142" s="159">
        <f>+'DADOS 2024 I'!R4-'DADOS 2024 I'!Q4</f>
        <v>43.069999999999709</v>
      </c>
      <c r="F142" s="159">
        <f>+'DADOS 2024 I'!S4-'DADOS 2024 I'!R4</f>
        <v>43.710000000000946</v>
      </c>
      <c r="G142" s="159">
        <f>+'DADOS 2024 I'!T4-'DADOS 2024 I'!S4</f>
        <v>47.869999999998981</v>
      </c>
      <c r="H142" s="159"/>
      <c r="I142" s="159"/>
      <c r="J142" s="159"/>
      <c r="K142" s="159"/>
      <c r="L142" s="159"/>
      <c r="M142" s="159"/>
      <c r="N142" s="160">
        <f>+AVERAGE(B142:M142)</f>
        <v>42.403333333333343</v>
      </c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 spans="1:26" ht="15.75" hidden="1" customHeight="1" x14ac:dyDescent="0.35">
      <c r="A143" s="161" t="s">
        <v>96</v>
      </c>
      <c r="B143" s="162" t="s">
        <v>56</v>
      </c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3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</row>
    <row r="144" spans="1:26" ht="15.75" customHeight="1" x14ac:dyDescent="0.35">
      <c r="A144" s="158" t="s">
        <v>92</v>
      </c>
      <c r="B144" s="159">
        <f>+'DADOS 2024 I'!O5-'DADOS 2024 I'!N5</f>
        <v>0</v>
      </c>
      <c r="C144" s="159">
        <f>+'DADOS 2024 I'!P5-'DADOS 2024 I'!O5</f>
        <v>1.0000000000218279E-2</v>
      </c>
      <c r="D144" s="159">
        <f>+'DADOS 2024 I'!Q5-'DADOS 2024 I'!P5</f>
        <v>0</v>
      </c>
      <c r="E144" s="159">
        <v>0</v>
      </c>
      <c r="F144" s="159">
        <f>+'DADOS 2024 I'!S5-'DADOS 2024 I'!R5</f>
        <v>0</v>
      </c>
      <c r="G144" s="159">
        <f>+'DADOS 2024 I'!T5-'DADOS 2024 I'!S5</f>
        <v>0</v>
      </c>
      <c r="H144" s="159"/>
      <c r="I144" s="159"/>
      <c r="J144" s="159"/>
      <c r="K144" s="159"/>
      <c r="L144" s="159"/>
      <c r="M144" s="159"/>
      <c r="N144" s="160">
        <f>+AVERAGE(B144:M144)</f>
        <v>1.6666666667030465E-3</v>
      </c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 spans="1:26" ht="15.75" hidden="1" customHeight="1" x14ac:dyDescent="0.35">
      <c r="A145" s="161" t="s">
        <v>96</v>
      </c>
      <c r="B145" s="162" t="s">
        <v>56</v>
      </c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3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</row>
    <row r="146" spans="1:26" ht="15.75" customHeight="1" x14ac:dyDescent="0.35">
      <c r="A146" s="158" t="s">
        <v>93</v>
      </c>
      <c r="B146" s="159">
        <f>+'DADOS 2024 I'!O6-'DADOS 2024 I'!N6</f>
        <v>42.360000000000582</v>
      </c>
      <c r="C146" s="159">
        <f>+'DADOS 2024 I'!P6-'DADOS 2024 I'!O6</f>
        <v>47.159999999999854</v>
      </c>
      <c r="D146" s="159">
        <f>+'DADOS 2024 I'!Q6-'DADOS 2024 I'!P6</f>
        <v>41.610000000000582</v>
      </c>
      <c r="E146" s="159">
        <f>+'DADOS 2024 I'!R6-'DADOS 2024 I'!Q6</f>
        <v>57.600000000000364</v>
      </c>
      <c r="F146" s="159">
        <f>+'DADOS 2024 I'!S6-'DADOS 2024 I'!R6</f>
        <v>54.949999999998909</v>
      </c>
      <c r="G146" s="159">
        <f>+'DADOS 2024 I'!T6-'DADOS 2024 I'!S6</f>
        <v>42.989999999999782</v>
      </c>
      <c r="H146" s="159"/>
      <c r="I146" s="159"/>
      <c r="J146" s="159"/>
      <c r="K146" s="159"/>
      <c r="L146" s="159"/>
      <c r="M146" s="159"/>
      <c r="N146" s="160">
        <f>+AVERAGE(B146:M146)</f>
        <v>47.778333333333343</v>
      </c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 spans="1:26" ht="15.75" hidden="1" customHeight="1" x14ac:dyDescent="0.35">
      <c r="A147" s="161" t="s">
        <v>96</v>
      </c>
      <c r="B147" s="162" t="s">
        <v>56</v>
      </c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59"/>
      <c r="N147" s="163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</row>
    <row r="148" spans="1:26" ht="15.75" customHeight="1" x14ac:dyDescent="0.35">
      <c r="A148" s="158" t="s">
        <v>94</v>
      </c>
      <c r="B148" s="159">
        <f>+'DADOS 2024 I'!O7-'DADOS 2024 I'!N7</f>
        <v>2.3599999999999</v>
      </c>
      <c r="C148" s="159">
        <f>+'DADOS 2024 I'!P7-'DADOS 2024 I'!O7</f>
        <v>2.9600000000000364</v>
      </c>
      <c r="D148" s="159">
        <f>+'DADOS 2024 I'!Q7-'DADOS 2024 I'!P7</f>
        <v>2.7200000000000273</v>
      </c>
      <c r="E148" s="159">
        <v>0</v>
      </c>
      <c r="F148" s="159">
        <f>+'DADOS 2024 I'!S7-'DADOS 2024 I'!R7</f>
        <v>3.25</v>
      </c>
      <c r="G148" s="159">
        <f>+'DADOS 2024 I'!T7-'DADOS 2024 I'!S7</f>
        <v>3.3200000000001637</v>
      </c>
      <c r="H148" s="159"/>
      <c r="I148" s="159"/>
      <c r="J148" s="159"/>
      <c r="K148" s="159"/>
      <c r="L148" s="159"/>
      <c r="M148" s="159"/>
      <c r="N148" s="160">
        <f>+AVERAGE(B148:M148)</f>
        <v>2.4350000000000214</v>
      </c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 spans="1:26" ht="15.75" hidden="1" customHeight="1" x14ac:dyDescent="0.35">
      <c r="A149" s="161" t="s">
        <v>96</v>
      </c>
      <c r="B149" s="162" t="s">
        <v>56</v>
      </c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3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</row>
    <row r="150" spans="1:26" ht="15.75" customHeight="1" x14ac:dyDescent="0.35">
      <c r="A150" s="158" t="s">
        <v>95</v>
      </c>
      <c r="B150" s="159">
        <f>+'DADOS 2024 I'!O8-'DADOS 2024 I'!N8</f>
        <v>0</v>
      </c>
      <c r="C150" s="159">
        <f>+'DADOS 2024 I'!P8-'DADOS 2024 I'!O8</f>
        <v>1.0000000000218279E-2</v>
      </c>
      <c r="D150" s="159">
        <f>+'DADOS 2024 I'!Q8-'DADOS 2024 I'!P8</f>
        <v>15.489999999999782</v>
      </c>
      <c r="E150" s="159">
        <v>0</v>
      </c>
      <c r="F150" s="159">
        <f>+'DADOS 2024 I'!S8-'DADOS 2024 I'!R8</f>
        <v>0</v>
      </c>
      <c r="G150" s="159">
        <f>+'DADOS 2024 I'!T8-'DADOS 2024 I'!S8</f>
        <v>5</v>
      </c>
      <c r="H150" s="159"/>
      <c r="I150" s="159"/>
      <c r="J150" s="159"/>
      <c r="K150" s="159"/>
      <c r="L150" s="159"/>
      <c r="M150" s="159"/>
      <c r="N150" s="160">
        <f>+AVERAGE(B150:M150)</f>
        <v>3.4166666666666665</v>
      </c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</row>
    <row r="151" spans="1:26" ht="15.75" hidden="1" customHeight="1" x14ac:dyDescent="0.35">
      <c r="A151" s="161" t="s">
        <v>96</v>
      </c>
      <c r="B151" s="162" t="s">
        <v>56</v>
      </c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3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</row>
    <row r="152" spans="1:26" ht="15.75" customHeight="1" x14ac:dyDescent="0.35">
      <c r="A152" s="158" t="s">
        <v>97</v>
      </c>
      <c r="B152" s="159">
        <f>+'DADOS 2024 I'!O9-'DADOS 2024 I'!N9</f>
        <v>0.72999999999998977</v>
      </c>
      <c r="C152" s="159">
        <f>+'DADOS 2024 I'!P9-'DADOS 2024 I'!O9</f>
        <v>2.1100000000000136</v>
      </c>
      <c r="D152" s="159">
        <f>+'DADOS 2024 I'!Q9-'DADOS 2024 I'!P9</f>
        <v>0.75</v>
      </c>
      <c r="E152" s="159">
        <v>0</v>
      </c>
      <c r="F152" s="159">
        <f>+'DADOS 2024 I'!S9-'DADOS 2024 I'!R9</f>
        <v>1.3500000000000227</v>
      </c>
      <c r="G152" s="159">
        <f>+'DADOS 2024 I'!T9-'DADOS 2024 I'!S9</f>
        <v>0.66999999999998749</v>
      </c>
      <c r="H152" s="159"/>
      <c r="I152" s="159"/>
      <c r="J152" s="159"/>
      <c r="K152" s="159"/>
      <c r="L152" s="159"/>
      <c r="M152" s="159"/>
      <c r="N152" s="160">
        <f>+AVERAGE(B152:M152)</f>
        <v>0.93500000000000227</v>
      </c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 spans="1:26" ht="15.75" hidden="1" customHeight="1" x14ac:dyDescent="0.35">
      <c r="A153" s="161" t="s">
        <v>96</v>
      </c>
      <c r="B153" s="162" t="s">
        <v>56</v>
      </c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3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</row>
    <row r="154" spans="1:26" ht="15.75" customHeight="1" x14ac:dyDescent="0.35">
      <c r="A154" s="158" t="s">
        <v>98</v>
      </c>
      <c r="B154" s="159">
        <f>+'DADOS 2024 I'!O10-'DADOS 2024 I'!N10</f>
        <v>9.9999999999909051E-3</v>
      </c>
      <c r="C154" s="159">
        <f>+'DADOS 2024 I'!P10-'DADOS 2024 I'!O10</f>
        <v>0</v>
      </c>
      <c r="D154" s="159">
        <f>+'DADOS 2024 I'!Q10-'DADOS 2024 I'!P10</f>
        <v>1.0000000000047748E-2</v>
      </c>
      <c r="E154" s="159">
        <v>0</v>
      </c>
      <c r="F154" s="159">
        <f>+'DADOS 2024 I'!S10-'DADOS 2024 I'!R10</f>
        <v>0</v>
      </c>
      <c r="G154" s="159">
        <f>+'DADOS 2024 I'!T10-'DADOS 2024 I'!S10</f>
        <v>0</v>
      </c>
      <c r="H154" s="159"/>
      <c r="I154" s="159"/>
      <c r="J154" s="159"/>
      <c r="K154" s="159"/>
      <c r="L154" s="159"/>
      <c r="M154" s="159"/>
      <c r="N154" s="160">
        <f>+AVERAGE(B154:M154)</f>
        <v>3.3333333333397754E-3</v>
      </c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</row>
    <row r="155" spans="1:26" ht="15.75" hidden="1" customHeight="1" x14ac:dyDescent="0.35">
      <c r="A155" s="161" t="s">
        <v>96</v>
      </c>
      <c r="B155" s="162" t="s">
        <v>56</v>
      </c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3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</row>
    <row r="156" spans="1:26" ht="15.75" customHeight="1" x14ac:dyDescent="0.35">
      <c r="A156" s="158" t="s">
        <v>99</v>
      </c>
      <c r="B156" s="159">
        <f>+'DADOS 2024 I'!O12-'DADOS 2024 I'!N12</f>
        <v>5.0000000000181899E-2</v>
      </c>
      <c r="C156" s="159">
        <f>+'DADOS 2024 I'!P12-'DADOS 2024 I'!O12</f>
        <v>1.0000000000218279E-2</v>
      </c>
      <c r="D156" s="159">
        <f>+'DADOS 2024 I'!Q12-'DADOS 2024 I'!P12</f>
        <v>0.13000000000010914</v>
      </c>
      <c r="E156" s="159">
        <v>0</v>
      </c>
      <c r="F156" s="159">
        <f>+'DADOS 2024 I'!S12-'DADOS 2024 I'!R12</f>
        <v>8.9999999999236024E-2</v>
      </c>
      <c r="G156" s="159">
        <f>+'DADOS 2024 I'!T12-'DADOS 2024 I'!S12</f>
        <v>2.0000000000436557E-2</v>
      </c>
      <c r="H156" s="159"/>
      <c r="I156" s="159"/>
      <c r="J156" s="159"/>
      <c r="K156" s="159"/>
      <c r="L156" s="159"/>
      <c r="M156" s="159"/>
      <c r="N156" s="160">
        <f>+AVERAGE(B156:M156)</f>
        <v>5.0000000000030319E-2</v>
      </c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</row>
    <row r="157" spans="1:26" ht="15.75" hidden="1" customHeight="1" x14ac:dyDescent="0.35">
      <c r="A157" s="161" t="s">
        <v>96</v>
      </c>
      <c r="B157" s="162" t="s">
        <v>56</v>
      </c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3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</row>
    <row r="158" spans="1:26" ht="15.75" customHeight="1" x14ac:dyDescent="0.35">
      <c r="A158" s="158" t="s">
        <v>100</v>
      </c>
      <c r="B158" s="159">
        <f>+'DADOS 2024 I'!O13-'DADOS 2024 I'!N13</f>
        <v>0</v>
      </c>
      <c r="C158" s="159">
        <f>+'DADOS 2024 I'!P13-'DADOS 2024 I'!O13</f>
        <v>0</v>
      </c>
      <c r="D158" s="159">
        <f>+'DADOS 2024 I'!Q13-'DADOS 2024 I'!P13</f>
        <v>0</v>
      </c>
      <c r="E158" s="159">
        <v>0</v>
      </c>
      <c r="F158" s="159">
        <f>+'DADOS 2024 I'!S13-'DADOS 2024 I'!R13</f>
        <v>0</v>
      </c>
      <c r="G158" s="159">
        <f>+'DADOS 2024 I'!T13-'DADOS 2024 I'!S13</f>
        <v>0</v>
      </c>
      <c r="H158" s="159"/>
      <c r="I158" s="159"/>
      <c r="J158" s="159"/>
      <c r="K158" s="159"/>
      <c r="L158" s="159"/>
      <c r="M158" s="159"/>
      <c r="N158" s="160">
        <f>+AVERAGE(B158:M158)</f>
        <v>0</v>
      </c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</row>
    <row r="159" spans="1:26" ht="15.75" hidden="1" customHeight="1" x14ac:dyDescent="0.35">
      <c r="A159" s="161" t="s">
        <v>96</v>
      </c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3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</row>
    <row r="160" spans="1:26" ht="15.75" customHeight="1" x14ac:dyDescent="0.35">
      <c r="A160" s="158" t="s">
        <v>101</v>
      </c>
      <c r="B160" s="159">
        <f>+'DADOS 2024 I'!O14-'DADOS 2024 I'!N14</f>
        <v>0</v>
      </c>
      <c r="C160" s="159">
        <f>+'DADOS 2024 I'!P14-'DADOS 2024 I'!O14</f>
        <v>2.1500000000000909</v>
      </c>
      <c r="D160" s="159">
        <f>+'DADOS 2024 I'!Q14-'DADOS 2024 I'!P14</f>
        <v>1.999999999998181E-2</v>
      </c>
      <c r="E160" s="159">
        <v>0</v>
      </c>
      <c r="F160" s="159">
        <f>+'DADOS 2024 I'!S14-'DADOS 2024 I'!R14</f>
        <v>0.65000000000009095</v>
      </c>
      <c r="G160" s="159">
        <f>+'DADOS 2024 I'!T14-'DADOS 2024 I'!S14</f>
        <v>1.1900000000000546</v>
      </c>
      <c r="H160" s="159"/>
      <c r="I160" s="159"/>
      <c r="J160" s="159"/>
      <c r="K160" s="159"/>
      <c r="L160" s="159"/>
      <c r="M160" s="159"/>
      <c r="N160" s="160">
        <f>+AVERAGE(B160:M160)</f>
        <v>0.66833333333336975</v>
      </c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</row>
    <row r="161" spans="1:26" ht="15.75" hidden="1" customHeight="1" x14ac:dyDescent="0.35">
      <c r="A161" s="161"/>
      <c r="B161" s="159">
        <f>+'DADOS 2024 I'!O17-'DADOS 2024 I'!N17</f>
        <v>1.3000000000000682</v>
      </c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60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</row>
    <row r="162" spans="1:26" ht="15.75" customHeight="1" x14ac:dyDescent="0.35">
      <c r="A162" s="158" t="s">
        <v>102</v>
      </c>
      <c r="B162" s="159">
        <f>+'DADOS 2024 I'!O15-'DADOS 2024 I'!N15</f>
        <v>0</v>
      </c>
      <c r="C162" s="159">
        <f>+'DADOS 2024 I'!P15-'DADOS 2024 I'!O15</f>
        <v>0.42000000000000171</v>
      </c>
      <c r="D162" s="159">
        <f>+'DADOS 2024 I'!Q15-'DADOS 2024 I'!P15</f>
        <v>0.13999999999999346</v>
      </c>
      <c r="E162" s="159">
        <v>0</v>
      </c>
      <c r="F162" s="159">
        <f>+'DADOS 2024 I'!S15-'DADOS 2024 I'!R15</f>
        <v>0.10000000000000142</v>
      </c>
      <c r="G162" s="159">
        <f>+'DADOS 2024 I'!T15-'DADOS 2024 I'!S15</f>
        <v>0</v>
      </c>
      <c r="H162" s="159"/>
      <c r="I162" s="159"/>
      <c r="J162" s="159"/>
      <c r="K162" s="159"/>
      <c r="L162" s="159"/>
      <c r="M162" s="159"/>
      <c r="N162" s="160">
        <f>+AVERAGE(B162:M162)</f>
        <v>0.10999999999999943</v>
      </c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</row>
    <row r="163" spans="1:26" ht="15.75" hidden="1" customHeight="1" x14ac:dyDescent="0.35">
      <c r="A163" s="161"/>
      <c r="B163" s="159">
        <f>+'DADOS 2024 I'!O20-'DADOS 2024 I'!N20</f>
        <v>0.34000000000000341</v>
      </c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60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</row>
    <row r="164" spans="1:26" ht="15.75" customHeight="1" x14ac:dyDescent="0.35">
      <c r="A164" s="158" t="s">
        <v>103</v>
      </c>
      <c r="B164" s="159">
        <f>+'DADOS 2024 I'!O16-'DADOS 2024 I'!N16</f>
        <v>3.589999999999975</v>
      </c>
      <c r="C164" s="159">
        <f>+'DADOS 2024 I'!P16-'DADOS 2024 I'!O16</f>
        <v>3.5800000000000409</v>
      </c>
      <c r="D164" s="159">
        <f>+'DADOS 2024 I'!Q16-'DADOS 2024 I'!P16</f>
        <v>4.7699999999999818</v>
      </c>
      <c r="E164" s="159">
        <f>+'DADOS 2024 I'!R16-'DADOS 2024 I'!Q16</f>
        <v>3.9800000000000182</v>
      </c>
      <c r="F164" s="159">
        <f>+'DADOS 2024 I'!S16-'DADOS 2024 I'!R16</f>
        <v>4.8499999999999659</v>
      </c>
      <c r="G164" s="159">
        <f>+'DADOS 2024 I'!T16-'DADOS 2024 I'!S16</f>
        <v>4.0099999999999909</v>
      </c>
      <c r="H164" s="159"/>
      <c r="I164" s="159"/>
      <c r="J164" s="159"/>
      <c r="K164" s="159"/>
      <c r="L164" s="159"/>
      <c r="M164" s="159"/>
      <c r="N164" s="160">
        <f>+AVERAGE(B164:M164)</f>
        <v>4.1299999999999955</v>
      </c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</row>
    <row r="165" spans="1:26" ht="15.75" hidden="1" customHeight="1" x14ac:dyDescent="0.35">
      <c r="A165" s="161"/>
      <c r="B165" s="159">
        <f>+'DADOS 2024 I'!O23-'DADOS 2024 I'!N23</f>
        <v>0</v>
      </c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60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</row>
    <row r="166" spans="1:26" ht="15.75" customHeight="1" x14ac:dyDescent="0.35">
      <c r="A166" s="158" t="s">
        <v>104</v>
      </c>
      <c r="B166" s="159">
        <f>+'DADOS 2024 I'!O17-'DADOS 2024 I'!N17</f>
        <v>1.3000000000000682</v>
      </c>
      <c r="C166" s="159">
        <f>+'DADOS 2024 I'!P17-'DADOS 2024 I'!O17</f>
        <v>0</v>
      </c>
      <c r="D166" s="159">
        <f>+'DADOS 2024 I'!Q17-'DADOS 2024 I'!P17</f>
        <v>1</v>
      </c>
      <c r="E166" s="159">
        <v>0</v>
      </c>
      <c r="F166" s="159">
        <f>+'DADOS 2024 I'!S17-'DADOS 2024 I'!R17</f>
        <v>0</v>
      </c>
      <c r="G166" s="159">
        <f>+'DADOS 2024 I'!T17-'DADOS 2024 I'!S17</f>
        <v>0.5</v>
      </c>
      <c r="H166" s="159"/>
      <c r="I166" s="159"/>
      <c r="J166" s="159"/>
      <c r="K166" s="159"/>
      <c r="L166" s="159"/>
      <c r="M166" s="159"/>
      <c r="N166" s="160">
        <f t="shared" ref="N166:N167" si="0">+AVERAGE(B166:M166)</f>
        <v>0.46666666666667805</v>
      </c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</row>
    <row r="167" spans="1:26" ht="15.75" customHeight="1" x14ac:dyDescent="0.35">
      <c r="A167" s="158" t="s">
        <v>105</v>
      </c>
      <c r="B167" s="159">
        <f>+'DADOS 2024 I'!O18-'DADOS 2024 I'!N18</f>
        <v>0</v>
      </c>
      <c r="C167" s="159">
        <f>+'DADOS 2024 I'!P18-'DADOS 2024 I'!O18</f>
        <v>0</v>
      </c>
      <c r="D167" s="159">
        <f>+'DADOS 2024 I'!Q18-'DADOS 2024 I'!P18</f>
        <v>0</v>
      </c>
      <c r="E167" s="159">
        <v>0</v>
      </c>
      <c r="F167" s="159">
        <f>+'DADOS 2024 I'!S18-'DADOS 2024 I'!R18</f>
        <v>0</v>
      </c>
      <c r="G167" s="159">
        <f>+'DADOS 2024 I'!T18-'DADOS 2024 I'!S18</f>
        <v>0</v>
      </c>
      <c r="H167" s="159"/>
      <c r="I167" s="159"/>
      <c r="J167" s="159"/>
      <c r="K167" s="159"/>
      <c r="L167" s="159"/>
      <c r="M167" s="159"/>
      <c r="N167" s="160">
        <f t="shared" si="0"/>
        <v>0</v>
      </c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</row>
    <row r="168" spans="1:26" ht="15.75" hidden="1" customHeight="1" x14ac:dyDescent="0.35">
      <c r="A168" s="161" t="s">
        <v>96</v>
      </c>
      <c r="B168" s="159">
        <f>+'DADOS 2024 I'!O15-'DADOS 2024 I'!N15</f>
        <v>0</v>
      </c>
      <c r="C168" s="159">
        <f>+'DADOS 2024 I'!P19-'DADOS 2024 I'!O19</f>
        <v>26.740000000000009</v>
      </c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63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</row>
    <row r="169" spans="1:26" ht="15.75" customHeight="1" x14ac:dyDescent="0.35">
      <c r="A169" s="158" t="s">
        <v>106</v>
      </c>
      <c r="B169" s="159">
        <f>+'DADOS 2024 I'!O19-'DADOS 2024 I'!N19</f>
        <v>24.650000000000091</v>
      </c>
      <c r="C169" s="159">
        <f>+'DADOS 2024 I'!P19-'DADOS 2024 I'!O19</f>
        <v>26.740000000000009</v>
      </c>
      <c r="D169" s="159">
        <f>+'DADOS 2024 I'!Q19-'DADOS 2024 I'!P19</f>
        <v>17.2199999999998</v>
      </c>
      <c r="E169" s="159">
        <f>+'DADOS 2024 I'!R19-'DADOS 2024 I'!Q19</f>
        <v>20.900000000000091</v>
      </c>
      <c r="F169" s="159">
        <f>+'DADOS 2024 I'!S19-'DADOS 2024 I'!R19</f>
        <v>20.150000000000091</v>
      </c>
      <c r="G169" s="159">
        <f>+'DADOS 2024 I'!T19-'DADOS 2024 I'!S19</f>
        <v>25.299999999999955</v>
      </c>
      <c r="H169" s="159"/>
      <c r="I169" s="159"/>
      <c r="J169" s="159"/>
      <c r="K169" s="159"/>
      <c r="L169" s="159"/>
      <c r="M169" s="159"/>
      <c r="N169" s="160">
        <f t="shared" ref="N169:N172" si="1">+AVERAGE(B169:M169)</f>
        <v>22.493333333333339</v>
      </c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</row>
    <row r="170" spans="1:26" ht="15.75" customHeight="1" x14ac:dyDescent="0.35">
      <c r="A170" s="158" t="s">
        <v>107</v>
      </c>
      <c r="B170" s="159">
        <f>+'DADOS 2024 I'!O20-'DADOS 2024 I'!N20</f>
        <v>0.34000000000000341</v>
      </c>
      <c r="C170" s="159">
        <f>+'DADOS 2024 I'!P20-'DADOS 2024 I'!O20</f>
        <v>4.9999999999997158E-2</v>
      </c>
      <c r="D170" s="159">
        <f>+'DADOS 2024 I'!Q20-'DADOS 2024 I'!P20</f>
        <v>0.10999999999999943</v>
      </c>
      <c r="E170" s="159">
        <f>+'DADOS 2024 I'!R20-'DADOS 2024 I'!Q20</f>
        <v>0.21000000000000796</v>
      </c>
      <c r="F170" s="159">
        <f>+'DADOS 2024 I'!S20-'DADOS 2024 I'!R20</f>
        <v>1.7199999999999989</v>
      </c>
      <c r="G170" s="159">
        <f>+'DADOS 2024 I'!T20-'DADOS 2024 I'!S20</f>
        <v>3.210000000000008</v>
      </c>
      <c r="H170" s="159"/>
      <c r="I170" s="159"/>
      <c r="J170" s="159"/>
      <c r="K170" s="159"/>
      <c r="L170" s="159"/>
      <c r="M170" s="159"/>
      <c r="N170" s="160">
        <f t="shared" si="1"/>
        <v>0.9400000000000025</v>
      </c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</row>
    <row r="171" spans="1:26" ht="15.75" customHeight="1" x14ac:dyDescent="0.35">
      <c r="A171" s="158" t="s">
        <v>108</v>
      </c>
      <c r="B171" s="159">
        <f>+'DADOS 2024 I'!O21-'DADOS 2024 I'!N21</f>
        <v>0</v>
      </c>
      <c r="C171" s="159">
        <f>+'DADOS 2024 I'!P21-'DADOS 2024 I'!O21</f>
        <v>0</v>
      </c>
      <c r="D171" s="159">
        <f>+'DADOS 2024 I'!Q21-'DADOS 2024 I'!P21</f>
        <v>1.0700000000000003</v>
      </c>
      <c r="E171" s="159">
        <v>0</v>
      </c>
      <c r="F171" s="159">
        <f>+'DADOS 2024 I'!S21-'DADOS 2024 I'!R21</f>
        <v>26.099999999999998</v>
      </c>
      <c r="G171" s="159">
        <f>+'DADOS 2024 I'!T21-'DADOS 2024 I'!S21</f>
        <v>9.4200000000000017</v>
      </c>
      <c r="H171" s="159"/>
      <c r="I171" s="159"/>
      <c r="J171" s="159"/>
      <c r="K171" s="159"/>
      <c r="L171" s="159"/>
      <c r="M171" s="159"/>
      <c r="N171" s="160">
        <f t="shared" si="1"/>
        <v>6.0983333333333336</v>
      </c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</row>
    <row r="172" spans="1:26" ht="15.75" customHeight="1" x14ac:dyDescent="0.35">
      <c r="A172" s="158" t="s">
        <v>109</v>
      </c>
      <c r="B172" s="159">
        <f>+'DADOS 2024 I'!O22-'DADOS 2024 I'!N22</f>
        <v>8.1600000000000819</v>
      </c>
      <c r="C172" s="159">
        <f>+'DADOS 2024 I'!P22-'DADOS 2024 I'!O22</f>
        <v>12.619999999999891</v>
      </c>
      <c r="D172" s="159">
        <f>+'DADOS 2024 I'!Q22-'DADOS 2024 I'!P22</f>
        <v>-7.4099999999998545</v>
      </c>
      <c r="E172" s="159">
        <v>0</v>
      </c>
      <c r="F172" s="159">
        <f>+'DADOS 2024 I'!S22-'DADOS 2024 I'!R22</f>
        <v>7.8000000000001819</v>
      </c>
      <c r="G172" s="159">
        <f>+'DADOS 2024 I'!T22-'DADOS 2024 I'!S22</f>
        <v>4.1899999999998272</v>
      </c>
      <c r="H172" s="159"/>
      <c r="I172" s="159"/>
      <c r="J172" s="159"/>
      <c r="K172" s="159"/>
      <c r="L172" s="159"/>
      <c r="M172" s="159"/>
      <c r="N172" s="160">
        <f t="shared" si="1"/>
        <v>4.2266666666666879</v>
      </c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</row>
    <row r="173" spans="1:26" ht="15.75" hidden="1" customHeight="1" x14ac:dyDescent="0.35">
      <c r="A173" s="161" t="s">
        <v>96</v>
      </c>
      <c r="B173" s="159">
        <f>+'DADOS 2024 I'!O28-'DADOS 2024 I'!N28</f>
        <v>0.78999999999996362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63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</row>
    <row r="174" spans="1:26" ht="15.75" customHeight="1" x14ac:dyDescent="0.35">
      <c r="A174" s="158" t="s">
        <v>110</v>
      </c>
      <c r="B174" s="159">
        <f>+'DADOS 2024 I'!O23-'DADOS 2024 I'!N23</f>
        <v>0</v>
      </c>
      <c r="C174" s="159">
        <f>+'DADOS 2024 I'!P23-'DADOS 2024 I'!O23</f>
        <v>0</v>
      </c>
      <c r="D174" s="159">
        <f>+'DADOS 2024 I'!Q23-'DADOS 2024 I'!P23</f>
        <v>0</v>
      </c>
      <c r="E174" s="159">
        <v>0</v>
      </c>
      <c r="F174" s="159">
        <f>+'DADOS 2024 I'!S23-'DADOS 2024 I'!R23</f>
        <v>0</v>
      </c>
      <c r="G174" s="159">
        <f>+'DADOS 2024 I'!T23-'DADOS 2024 I'!S23</f>
        <v>0</v>
      </c>
      <c r="H174" s="159"/>
      <c r="I174" s="159"/>
      <c r="J174" s="159"/>
      <c r="K174" s="159"/>
      <c r="L174" s="159"/>
      <c r="M174" s="159"/>
      <c r="N174" s="160">
        <f>+AVERAGE(B174:M174)</f>
        <v>0</v>
      </c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</row>
    <row r="175" spans="1:26" ht="15.75" hidden="1" customHeight="1" x14ac:dyDescent="0.35">
      <c r="A175" s="161" t="s">
        <v>96</v>
      </c>
      <c r="B175" s="159">
        <f>+'DADOS 2024 I'!O30-'DADOS 2024 I'!N30</f>
        <v>352.56000000000131</v>
      </c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63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</row>
    <row r="176" spans="1:26" ht="15.75" customHeight="1" x14ac:dyDescent="0.35">
      <c r="A176" s="158" t="s">
        <v>111</v>
      </c>
      <c r="B176" s="159">
        <f>+'DADOS 2024 I'!O24-'DADOS 2024 I'!N24</f>
        <v>6.7199999999993452</v>
      </c>
      <c r="C176" s="159">
        <f>+'DADOS 2024 I'!P24-'DADOS 2024 I'!O24</f>
        <v>18.039999999999964</v>
      </c>
      <c r="D176" s="159">
        <f>+'DADOS 2024 I'!Q24-'DADOS 2024 I'!P24</f>
        <v>10.890000000000327</v>
      </c>
      <c r="E176" s="159">
        <v>0</v>
      </c>
      <c r="F176" s="159">
        <f>+'DADOS 2024 I'!S24-'DADOS 2024 I'!R24</f>
        <v>10</v>
      </c>
      <c r="G176" s="159">
        <f>+'DADOS 2024 I'!T24-'DADOS 2024 I'!S24</f>
        <v>8.4499999999998181</v>
      </c>
      <c r="H176" s="159"/>
      <c r="I176" s="159"/>
      <c r="J176" s="159"/>
      <c r="K176" s="159"/>
      <c r="L176" s="159"/>
      <c r="M176" s="159"/>
      <c r="N176" s="160">
        <f>+AVERAGE(B176:M176)</f>
        <v>9.0166666666665751</v>
      </c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 spans="1:26" ht="12.75" hidden="1" customHeight="1" x14ac:dyDescent="0.35">
      <c r="A177" s="161" t="s">
        <v>96</v>
      </c>
      <c r="B177" s="159">
        <f>+'DADOS 2024 I'!O32-'DADOS 2024 I'!N32</f>
        <v>0</v>
      </c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63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</row>
    <row r="178" spans="1:26" ht="12.75" hidden="1" customHeight="1" x14ac:dyDescent="0.35">
      <c r="A178" s="161" t="s">
        <v>96</v>
      </c>
      <c r="B178" s="159">
        <f>+'DADOS 2024 I'!O34-'DADOS 2024 I'!N34</f>
        <v>0</v>
      </c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63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</row>
    <row r="179" spans="1:26" ht="18.75" customHeight="1" x14ac:dyDescent="0.35">
      <c r="A179" s="158" t="s">
        <v>113</v>
      </c>
      <c r="B179" s="159">
        <f>+'DADOS 2024 I'!O26-'DADOS 2024 I'!N26</f>
        <v>0.75999999999930878</v>
      </c>
      <c r="C179" s="159">
        <f>+'DADOS 2024 I'!P26-'DADOS 2024 I'!O26</f>
        <v>13.200000000000728</v>
      </c>
      <c r="D179" s="159">
        <f>+'DADOS 2024 I'!Q26-'DADOS 2024 I'!P26</f>
        <v>26.799999999999272</v>
      </c>
      <c r="E179" s="159">
        <f>+'DADOS 2024 I'!R26-'DADOS 2024 I'!Q26</f>
        <v>17.520000000000437</v>
      </c>
      <c r="F179" s="159">
        <f>+'DADOS 2024 I'!S26-'DADOS 2024 I'!R26</f>
        <v>20.029999999999745</v>
      </c>
      <c r="G179" s="159">
        <f>+'DADOS 2024 I'!T26-'DADOS 2024 I'!S26</f>
        <v>16.039999999999964</v>
      </c>
      <c r="H179" s="159"/>
      <c r="I179" s="159"/>
      <c r="J179" s="159"/>
      <c r="K179" s="159"/>
      <c r="L179" s="159"/>
      <c r="M179" s="159"/>
      <c r="N179" s="160">
        <f>+AVERAGE(B179:M179)</f>
        <v>15.724999999999909</v>
      </c>
      <c r="O179" s="143"/>
      <c r="P179" s="165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 spans="1:26" ht="15.75" hidden="1" customHeight="1" x14ac:dyDescent="0.35">
      <c r="A180" s="166" t="s">
        <v>96</v>
      </c>
      <c r="B180" s="159">
        <f>+'DADOS 2024 I'!O36-'DADOS 2024 I'!N36</f>
        <v>0</v>
      </c>
      <c r="C180" s="159"/>
      <c r="D180" s="159">
        <f>+'DADOS 2024 I'!Q27-'DADOS 2024 I'!P27</f>
        <v>18.240000000000691</v>
      </c>
      <c r="E180" s="159"/>
      <c r="F180" s="159">
        <f>+'DADOS 2024 I'!S27-'DADOS 2024 I'!R27</f>
        <v>13.949999999999818</v>
      </c>
      <c r="G180" s="159">
        <f>+'DADOS 2024 I'!T27-'DADOS 2024 I'!S27</f>
        <v>4.4600000000000364</v>
      </c>
      <c r="H180" s="159"/>
      <c r="I180" s="159"/>
      <c r="J180" s="159"/>
      <c r="K180" s="159"/>
      <c r="L180" s="159"/>
      <c r="M180" s="159"/>
      <c r="N180" s="167"/>
    </row>
    <row r="181" spans="1:26" ht="15.75" customHeight="1" x14ac:dyDescent="0.35">
      <c r="A181" s="158" t="s">
        <v>114</v>
      </c>
      <c r="B181" s="159">
        <f>+'DADOS 2024 I'!O27-'DADOS 2024 I'!N27</f>
        <v>43.460000000000036</v>
      </c>
      <c r="C181" s="159">
        <f>+'DADOS 2024 I'!P27-'DADOS 2024 I'!O27</f>
        <v>47.3799999999992</v>
      </c>
      <c r="D181" s="159">
        <f>+'DADOS 2024 I'!Q27-'DADOS 2024 I'!P27</f>
        <v>18.240000000000691</v>
      </c>
      <c r="E181" s="159">
        <v>0</v>
      </c>
      <c r="F181" s="159">
        <f>+'DADOS 2024 I'!S27-'DADOS 2024 I'!R27</f>
        <v>13.949999999999818</v>
      </c>
      <c r="G181" s="159">
        <f>+'DADOS 2024 I'!T27-'DADOS 2024 I'!S27</f>
        <v>4.4600000000000364</v>
      </c>
      <c r="H181" s="159"/>
      <c r="I181" s="159"/>
      <c r="J181" s="159"/>
      <c r="K181" s="159"/>
      <c r="L181" s="159"/>
      <c r="M181" s="159"/>
      <c r="N181" s="160">
        <f>+AVERAGE(B181:M181)</f>
        <v>21.248333333333296</v>
      </c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 spans="1:26" ht="12.75" hidden="1" customHeight="1" x14ac:dyDescent="0.35">
      <c r="A182" s="166" t="s">
        <v>96</v>
      </c>
      <c r="B182" s="159">
        <f>+'DADOS 2024 I'!O38-'DADOS 2024 I'!N38</f>
        <v>0</v>
      </c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67"/>
    </row>
    <row r="183" spans="1:26" ht="18.75" customHeight="1" x14ac:dyDescent="0.35">
      <c r="A183" s="158" t="s">
        <v>115</v>
      </c>
      <c r="B183" s="159">
        <f>+'DADOS 2024 I'!O28-'DADOS 2024 I'!N28</f>
        <v>0.78999999999996362</v>
      </c>
      <c r="C183" s="159">
        <f>+'DADOS 2024 I'!P28-'DADOS 2024 I'!O28</f>
        <v>7.0000000000050022E-2</v>
      </c>
      <c r="D183" s="159">
        <f>+'DADOS 2024 I'!Q28-'DADOS 2024 I'!P28</f>
        <v>0.78999999999996362</v>
      </c>
      <c r="E183" s="159">
        <v>0</v>
      </c>
      <c r="F183" s="159">
        <f>+'DADOS 2024 I'!S28-'DADOS 2024 I'!R28</f>
        <v>0.5</v>
      </c>
      <c r="G183" s="159">
        <f>+'DADOS 2024 I'!T28-'DADOS 2024 I'!S28</f>
        <v>9.9999999999909051E-3</v>
      </c>
      <c r="H183" s="159"/>
      <c r="I183" s="159"/>
      <c r="J183" s="159"/>
      <c r="K183" s="159"/>
      <c r="L183" s="159"/>
      <c r="M183" s="159"/>
      <c r="N183" s="160">
        <f>+AVERAGE(B183:M183)</f>
        <v>0.35999999999999471</v>
      </c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 spans="1:26" ht="15.75" hidden="1" customHeight="1" x14ac:dyDescent="0.35">
      <c r="A184" s="168" t="s">
        <v>96</v>
      </c>
      <c r="B184" s="159">
        <f>+'DADOS 2024 I'!O40-'DADOS 2024 I'!N40</f>
        <v>0</v>
      </c>
      <c r="C184" s="159"/>
      <c r="D184" s="159"/>
      <c r="E184" s="159"/>
      <c r="F184" s="159"/>
      <c r="G184" s="159"/>
      <c r="H184" s="169"/>
      <c r="I184" s="169"/>
      <c r="J184" s="169"/>
      <c r="K184" s="169"/>
      <c r="L184" s="169"/>
      <c r="M184" s="169"/>
      <c r="N184" s="170"/>
    </row>
    <row r="185" spans="1:26" ht="20.25" customHeight="1" x14ac:dyDescent="0.35">
      <c r="A185" s="171" t="s">
        <v>116</v>
      </c>
      <c r="B185" s="159">
        <f>+'DADOS 2024 I'!O29-'DADOS 2024 I'!N29</f>
        <v>0</v>
      </c>
      <c r="C185" s="159">
        <f>+'DADOS 2024 I'!P29-'DADOS 2024 I'!O29</f>
        <v>0</v>
      </c>
      <c r="D185" s="159">
        <f>+'DADOS 2024 I'!Q29-'DADOS 2024 I'!P29</f>
        <v>0</v>
      </c>
      <c r="E185" s="159">
        <v>0</v>
      </c>
      <c r="F185" s="159">
        <f>+'DADOS 2024 I'!S29-'DADOS 2024 I'!R29</f>
        <v>0</v>
      </c>
      <c r="G185" s="159">
        <f>+'DADOS 2024 I'!T29-'DADOS 2024 I'!S29</f>
        <v>0</v>
      </c>
      <c r="H185" s="159"/>
      <c r="I185" s="159"/>
      <c r="J185" s="159"/>
      <c r="K185" s="159"/>
      <c r="L185" s="159"/>
      <c r="M185" s="159"/>
      <c r="N185" s="160">
        <f>+AVERAGE(B185:M185)</f>
        <v>0</v>
      </c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 spans="1:26" ht="15.75" hidden="1" customHeight="1" x14ac:dyDescent="0.35">
      <c r="A186" s="172" t="s">
        <v>96</v>
      </c>
      <c r="B186" s="173" t="s">
        <v>56</v>
      </c>
      <c r="C186" s="159">
        <f>+'DADOS 2024 I'!P30-'DADOS 2024 I'!O30</f>
        <v>310.71999999999935</v>
      </c>
      <c r="D186" s="175"/>
      <c r="E186" s="175"/>
      <c r="F186" s="175"/>
      <c r="G186" s="175"/>
      <c r="H186" s="169"/>
      <c r="I186" s="169"/>
      <c r="J186" s="169"/>
      <c r="K186" s="169"/>
      <c r="L186" s="169"/>
      <c r="M186" s="176"/>
      <c r="N186" s="177"/>
    </row>
    <row r="187" spans="1:26" ht="17.25" customHeight="1" x14ac:dyDescent="0.35">
      <c r="A187" s="178" t="s">
        <v>117</v>
      </c>
      <c r="B187" s="179">
        <f t="shared" ref="B187:E187" si="2">+B140+B142+B144+B146+B148+B150+B152+B154+B156+B158+B167+B160+B162+B164+B166+B169+B170+B172+B174+B176+B179+B181+B183+B185</f>
        <v>278.9900000000041</v>
      </c>
      <c r="C187" s="179">
        <f t="shared" si="2"/>
        <v>281.04999999999961</v>
      </c>
      <c r="D187" s="179">
        <f t="shared" si="2"/>
        <v>252.89999999999969</v>
      </c>
      <c r="E187" s="179">
        <f t="shared" si="2"/>
        <v>197.0799999999999</v>
      </c>
      <c r="F187" s="179">
        <f t="shared" ref="F187:G187" si="3">+F140+F142+F144+F146+F148+F150+F152+F154+F156+F158+F167+F160+F162+F164+F166+F169+F170+F172+F174+F176+F179+F181+F183+F185+F171</f>
        <v>284.19999999999902</v>
      </c>
      <c r="G187" s="179">
        <f t="shared" si="3"/>
        <v>245.24999999999756</v>
      </c>
      <c r="H187" s="179">
        <f>+H140+H142+H144+H146+H148+H150+H152+H154+H156+H158+H167+H160+H162+H164+H166+H169+H170+H172+H174+H176+H179+H181+H183+H185</f>
        <v>0</v>
      </c>
      <c r="I187" s="179">
        <f t="shared" ref="I187:K187" si="4">SUM(I140:I185)</f>
        <v>0</v>
      </c>
      <c r="J187" s="179">
        <f t="shared" si="4"/>
        <v>0</v>
      </c>
      <c r="K187" s="179">
        <f t="shared" si="4"/>
        <v>0</v>
      </c>
      <c r="L187" s="179">
        <f t="shared" ref="L187:N187" si="5">+L140+L142+L144+L146+L148+L150+L152+L154+L156+L158+L167+L160+L162+L164+L166+L169+L170+L172+L174+L176+L179+L181+L183+L185</f>
        <v>0</v>
      </c>
      <c r="M187" s="179">
        <f t="shared" si="5"/>
        <v>0</v>
      </c>
      <c r="N187" s="179">
        <f t="shared" si="5"/>
        <v>250.6583333333333</v>
      </c>
      <c r="O187" s="143"/>
      <c r="P187" s="182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 spans="1:26" ht="17.25" customHeight="1" x14ac:dyDescent="0.35">
      <c r="A188" s="183" t="s">
        <v>118</v>
      </c>
      <c r="B188" s="159">
        <f>+'DADOS 2024 I'!O30-'DADOS 2024 I'!N30</f>
        <v>352.56000000000131</v>
      </c>
      <c r="C188" s="159">
        <f>+'DADOS 2024 I'!P30-'DADOS 2024 I'!O30</f>
        <v>310.71999999999935</v>
      </c>
      <c r="D188" s="159">
        <f>+'DADOS 2024 I'!Q30-'DADOS 2024 I'!P30</f>
        <v>278.22999999999956</v>
      </c>
      <c r="E188" s="159">
        <f>+'DADOS 2024 I'!R30-'DADOS 2024 I'!Q30</f>
        <v>298.67000000000007</v>
      </c>
      <c r="F188" s="159">
        <f>+'DADOS 2024 I'!S30-'DADOS 2024 I'!R30</f>
        <v>323.6200000000008</v>
      </c>
      <c r="G188" s="159">
        <f>+'DADOS 2024 I'!T30-'DADOS 2024 I'!S30</f>
        <v>226.55999999999949</v>
      </c>
      <c r="H188" s="159"/>
      <c r="I188" s="159"/>
      <c r="J188" s="159"/>
      <c r="K188" s="159"/>
      <c r="L188" s="159"/>
      <c r="M188" s="159"/>
      <c r="N188" s="185">
        <f t="shared" ref="N188:N190" si="6">+AVERAGE(B188:M188)</f>
        <v>298.39333333333343</v>
      </c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 spans="1:26" ht="17.25" customHeight="1" x14ac:dyDescent="0.35">
      <c r="A189" s="183" t="s">
        <v>119</v>
      </c>
      <c r="B189" s="159">
        <f>+'DADOS 2024 I'!O31-'DADOS 2024 I'!N31</f>
        <v>30.839999999999918</v>
      </c>
      <c r="C189" s="159">
        <f>+'DADOS 2024 I'!P31-'DADOS 2024 I'!O31</f>
        <v>29.549999999999955</v>
      </c>
      <c r="D189" s="159">
        <f>+'DADOS 2024 I'!Q31-'DADOS 2024 I'!P31</f>
        <v>36.990000000000009</v>
      </c>
      <c r="E189" s="159">
        <f>+'DADOS 2024 I'!R31-'DADOS 2024 I'!Q31</f>
        <v>5</v>
      </c>
      <c r="F189" s="159">
        <f>+'DADOS 2024 I'!S31-'DADOS 2024 I'!R31</f>
        <v>36.779999999999973</v>
      </c>
      <c r="G189" s="159">
        <f>+'DADOS 2024 I'!T31-'DADOS 2024 I'!S31</f>
        <v>85.059999999999945</v>
      </c>
      <c r="H189" s="159"/>
      <c r="I189" s="159"/>
      <c r="J189" s="159"/>
      <c r="K189" s="159"/>
      <c r="L189" s="159"/>
      <c r="M189" s="159"/>
      <c r="N189" s="185">
        <f t="shared" si="6"/>
        <v>37.369999999999969</v>
      </c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spans="1:26" ht="17.25" customHeight="1" x14ac:dyDescent="0.35">
      <c r="A190" s="186" t="s">
        <v>120</v>
      </c>
      <c r="B190" s="159">
        <f>+'DADOS 2024 I'!O32-'DADOS 2024 I'!N32</f>
        <v>0</v>
      </c>
      <c r="C190" s="159">
        <f>+'DADOS 2024 I'!P32-'DADOS 2024 I'!O32</f>
        <v>0</v>
      </c>
      <c r="D190" s="159">
        <f>+'DADOS 2024 I'!Q32-'DADOS 2024 I'!P32</f>
        <v>0</v>
      </c>
      <c r="E190" s="159">
        <f>+'DADOS 2024 I'!R32-'DADOS 2024 I'!Q32</f>
        <v>0</v>
      </c>
      <c r="F190" s="159">
        <f>+'DADOS 2024 I'!S32-'DADOS 2024 I'!R32</f>
        <v>0</v>
      </c>
      <c r="G190" s="159">
        <f>+'DADOS 2024 I'!T32-'DADOS 2024 I'!S32</f>
        <v>0</v>
      </c>
      <c r="H190" s="159"/>
      <c r="I190" s="159"/>
      <c r="J190" s="159"/>
      <c r="K190" s="159"/>
      <c r="L190" s="159"/>
      <c r="M190" s="159"/>
      <c r="N190" s="187">
        <f t="shared" si="6"/>
        <v>0</v>
      </c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 spans="1:26" ht="17.25" customHeight="1" x14ac:dyDescent="0.35">
      <c r="A191" s="178" t="s">
        <v>121</v>
      </c>
      <c r="B191" s="179">
        <f t="shared" ref="B191:N191" si="7">+SUM(B188:B190)</f>
        <v>383.40000000000123</v>
      </c>
      <c r="C191" s="179">
        <f t="shared" si="7"/>
        <v>340.2699999999993</v>
      </c>
      <c r="D191" s="179">
        <f t="shared" si="7"/>
        <v>315.21999999999957</v>
      </c>
      <c r="E191" s="179">
        <f t="shared" si="7"/>
        <v>303.67000000000007</v>
      </c>
      <c r="F191" s="179">
        <f t="shared" si="7"/>
        <v>360.40000000000077</v>
      </c>
      <c r="G191" s="179">
        <f t="shared" si="7"/>
        <v>311.61999999999944</v>
      </c>
      <c r="H191" s="179">
        <f t="shared" si="7"/>
        <v>0</v>
      </c>
      <c r="I191" s="179">
        <f t="shared" si="7"/>
        <v>0</v>
      </c>
      <c r="J191" s="179">
        <f t="shared" si="7"/>
        <v>0</v>
      </c>
      <c r="K191" s="179">
        <f t="shared" si="7"/>
        <v>0</v>
      </c>
      <c r="L191" s="179">
        <f t="shared" si="7"/>
        <v>0</v>
      </c>
      <c r="M191" s="179">
        <f t="shared" si="7"/>
        <v>0</v>
      </c>
      <c r="N191" s="181">
        <f t="shared" si="7"/>
        <v>335.76333333333338</v>
      </c>
      <c r="O191" s="143"/>
      <c r="P191" s="182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spans="1:26" ht="12.75" customHeight="1" x14ac:dyDescent="0.35">
      <c r="A192" s="188"/>
      <c r="E192" s="190"/>
      <c r="K192" s="190"/>
    </row>
    <row r="193" spans="1:14" ht="12.75" customHeight="1" x14ac:dyDescent="0.35">
      <c r="A193" s="143"/>
      <c r="I193" s="48" t="s">
        <v>122</v>
      </c>
      <c r="N193" s="72"/>
    </row>
    <row r="194" spans="1:14" ht="12.75" customHeight="1" x14ac:dyDescent="0.25">
      <c r="N194" s="110"/>
    </row>
    <row r="195" spans="1:14" ht="12.75" customHeight="1" x14ac:dyDescent="0.5">
      <c r="G195" s="48"/>
      <c r="H195" s="191"/>
    </row>
    <row r="196" spans="1:14" ht="12.75" customHeight="1" x14ac:dyDescent="0.25"/>
    <row r="197" spans="1:14" ht="12.75" customHeight="1" x14ac:dyDescent="0.25">
      <c r="A197" s="48"/>
    </row>
    <row r="198" spans="1:14" ht="12.75" customHeight="1" x14ac:dyDescent="0.25"/>
    <row r="199" spans="1:14" ht="12.75" customHeight="1" x14ac:dyDescent="0.25"/>
    <row r="200" spans="1:14" ht="12.75" customHeight="1" x14ac:dyDescent="0.25"/>
    <row r="201" spans="1:14" ht="12.75" customHeight="1" x14ac:dyDescent="0.25"/>
    <row r="202" spans="1:14" ht="12.75" customHeight="1" x14ac:dyDescent="0.25"/>
    <row r="203" spans="1:14" ht="12.75" customHeight="1" x14ac:dyDescent="0.25"/>
    <row r="204" spans="1:14" ht="12.75" customHeight="1" x14ac:dyDescent="0.25"/>
    <row r="205" spans="1:14" ht="12.75" customHeight="1" x14ac:dyDescent="0.25"/>
    <row r="206" spans="1:14" ht="12.75" customHeight="1" x14ac:dyDescent="0.25"/>
    <row r="207" spans="1:14" ht="12.75" customHeight="1" x14ac:dyDescent="0.25"/>
    <row r="208" spans="1:14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spans="9:9" ht="12.75" customHeight="1" x14ac:dyDescent="0.25"/>
    <row r="242" spans="9:9" ht="12.75" customHeight="1" x14ac:dyDescent="0.25"/>
    <row r="243" spans="9:9" ht="12.75" customHeight="1" x14ac:dyDescent="0.25"/>
    <row r="244" spans="9:9" ht="12.75" customHeight="1" x14ac:dyDescent="0.25"/>
    <row r="245" spans="9:9" ht="12.75" customHeight="1" x14ac:dyDescent="0.25"/>
    <row r="246" spans="9:9" ht="12.75" customHeight="1" x14ac:dyDescent="0.35">
      <c r="I246" s="192"/>
    </row>
    <row r="247" spans="9:9" ht="12.75" customHeight="1" x14ac:dyDescent="0.25"/>
    <row r="248" spans="9:9" ht="12.75" customHeight="1" x14ac:dyDescent="0.25"/>
    <row r="249" spans="9:9" ht="12.75" customHeight="1" x14ac:dyDescent="0.25"/>
    <row r="250" spans="9:9" ht="12.75" customHeight="1" x14ac:dyDescent="0.25"/>
    <row r="251" spans="9:9" ht="12.75" customHeight="1" x14ac:dyDescent="0.25"/>
    <row r="252" spans="9:9" ht="12.75" customHeight="1" x14ac:dyDescent="0.25"/>
    <row r="253" spans="9:9" ht="12.75" customHeight="1" x14ac:dyDescent="0.25"/>
    <row r="254" spans="9:9" ht="12.75" customHeight="1" x14ac:dyDescent="0.25"/>
    <row r="255" spans="9:9" ht="12.75" customHeight="1" x14ac:dyDescent="0.25"/>
    <row r="256" spans="9:9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38:N138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1"/>
  <sheetViews>
    <sheetView workbookViewId="0"/>
  </sheetViews>
  <sheetFormatPr defaultColWidth="12.6328125" defaultRowHeight="15" customHeight="1" x14ac:dyDescent="0.25"/>
  <cols>
    <col min="1" max="1" width="54.453125" customWidth="1"/>
    <col min="2" max="6" width="13.36328125" customWidth="1"/>
    <col min="7" max="7" width="13.6328125" customWidth="1"/>
    <col min="8" max="8" width="13.36328125" customWidth="1"/>
    <col min="9" max="10" width="12.6328125" customWidth="1"/>
    <col min="11" max="12" width="13.36328125" customWidth="1"/>
    <col min="13" max="13" width="12.6328125" customWidth="1"/>
    <col min="14" max="26" width="1" customWidth="1"/>
  </cols>
  <sheetData>
    <row r="1" spans="1:26" ht="12.75" customHeight="1" x14ac:dyDescent="0.35">
      <c r="A1" s="194"/>
      <c r="B1" s="195" t="s">
        <v>56</v>
      </c>
      <c r="C1" s="196" t="s">
        <v>57</v>
      </c>
      <c r="D1" s="196" t="s">
        <v>58</v>
      </c>
      <c r="E1" s="196" t="s">
        <v>59</v>
      </c>
      <c r="F1" s="196" t="s">
        <v>60</v>
      </c>
      <c r="G1" s="196" t="s">
        <v>61</v>
      </c>
      <c r="H1" s="196" t="s">
        <v>62</v>
      </c>
      <c r="I1" s="196" t="s">
        <v>63</v>
      </c>
      <c r="J1" s="196" t="s">
        <v>64</v>
      </c>
      <c r="K1" s="196" t="s">
        <v>65</v>
      </c>
      <c r="L1" s="196" t="s">
        <v>66</v>
      </c>
      <c r="M1" s="197" t="s">
        <v>67</v>
      </c>
    </row>
    <row r="2" spans="1:26" ht="15" hidden="1" customHeight="1" x14ac:dyDescent="0.35">
      <c r="A2" s="198" t="s">
        <v>123</v>
      </c>
      <c r="B2" s="199">
        <v>910.37</v>
      </c>
      <c r="C2" s="200">
        <v>746.52</v>
      </c>
      <c r="D2" s="201">
        <v>638.16999999999996</v>
      </c>
      <c r="E2" s="202">
        <v>831.14</v>
      </c>
      <c r="F2" s="201">
        <v>909.3</v>
      </c>
      <c r="G2" s="201">
        <v>1078</v>
      </c>
      <c r="H2" s="201">
        <v>907.14</v>
      </c>
      <c r="I2" s="201">
        <v>698.54</v>
      </c>
      <c r="J2" s="201"/>
      <c r="K2" s="201"/>
      <c r="L2" s="201"/>
      <c r="M2" s="203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" hidden="1" customHeight="1" x14ac:dyDescent="0.35">
      <c r="A3" s="204"/>
      <c r="B3" s="205"/>
      <c r="C3" s="206"/>
      <c r="D3" s="206"/>
      <c r="E3" s="207"/>
      <c r="F3" s="206"/>
      <c r="G3" s="206"/>
      <c r="H3" s="206"/>
      <c r="I3" s="206"/>
      <c r="J3" s="206"/>
      <c r="K3" s="206"/>
      <c r="L3" s="206"/>
      <c r="M3" s="20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" hidden="1" customHeight="1" x14ac:dyDescent="0.35">
      <c r="A4" s="204" t="s">
        <v>124</v>
      </c>
      <c r="B4" s="205">
        <v>0</v>
      </c>
      <c r="C4" s="206">
        <v>91.15</v>
      </c>
      <c r="D4" s="206">
        <v>287.39</v>
      </c>
      <c r="E4" s="207">
        <v>274.67</v>
      </c>
      <c r="F4" s="206">
        <v>64.58</v>
      </c>
      <c r="G4" s="206">
        <v>89.95</v>
      </c>
      <c r="H4" s="206">
        <v>28.89</v>
      </c>
      <c r="I4" s="206">
        <v>118.85</v>
      </c>
      <c r="J4" s="206"/>
      <c r="K4" s="206"/>
      <c r="L4" s="206"/>
      <c r="M4" s="209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" hidden="1" customHeight="1" x14ac:dyDescent="0.35">
      <c r="A5" s="204"/>
      <c r="B5" s="205"/>
      <c r="C5" s="206"/>
      <c r="D5" s="206"/>
      <c r="E5" s="207"/>
      <c r="F5" s="206"/>
      <c r="G5" s="206"/>
      <c r="H5" s="206"/>
      <c r="I5" s="206"/>
      <c r="J5" s="206"/>
      <c r="K5" s="206"/>
      <c r="L5" s="206"/>
      <c r="M5" s="20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5" hidden="1" customHeight="1" x14ac:dyDescent="0.35">
      <c r="A6" s="204" t="s">
        <v>125</v>
      </c>
      <c r="B6" s="205">
        <v>315.26</v>
      </c>
      <c r="C6" s="206">
        <v>179.22</v>
      </c>
      <c r="D6" s="206">
        <v>170.84</v>
      </c>
      <c r="E6" s="207">
        <v>174.11</v>
      </c>
      <c r="F6" s="206">
        <v>149.82</v>
      </c>
      <c r="G6" s="206">
        <v>190.95</v>
      </c>
      <c r="H6" s="206">
        <v>161.97</v>
      </c>
      <c r="I6" s="206">
        <v>135.88999999999999</v>
      </c>
      <c r="J6" s="206"/>
      <c r="K6" s="206"/>
      <c r="L6" s="206"/>
      <c r="M6" s="209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5" hidden="1" customHeight="1" x14ac:dyDescent="0.35">
      <c r="A7" s="204"/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5" hidden="1" customHeight="1" x14ac:dyDescent="0.35">
      <c r="A8" s="204" t="s">
        <v>126</v>
      </c>
      <c r="B8" s="205">
        <v>0</v>
      </c>
      <c r="C8" s="206">
        <v>0</v>
      </c>
      <c r="D8" s="206">
        <v>0</v>
      </c>
      <c r="E8" s="206">
        <v>0</v>
      </c>
      <c r="F8" s="206">
        <v>0</v>
      </c>
      <c r="G8" s="206">
        <v>0</v>
      </c>
      <c r="H8" s="206">
        <v>0</v>
      </c>
      <c r="I8" s="206">
        <v>0</v>
      </c>
      <c r="J8" s="206"/>
      <c r="K8" s="206"/>
      <c r="L8" s="206"/>
      <c r="M8" s="209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5" hidden="1" customHeight="1" x14ac:dyDescent="0.35">
      <c r="A9" s="204"/>
      <c r="B9" s="205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5" hidden="1" customHeight="1" x14ac:dyDescent="0.35">
      <c r="A10" s="204" t="s">
        <v>127</v>
      </c>
      <c r="B10" s="205">
        <v>100.78</v>
      </c>
      <c r="C10" s="206">
        <v>23.95</v>
      </c>
      <c r="D10" s="206">
        <v>23.95</v>
      </c>
      <c r="E10" s="206">
        <v>40.64</v>
      </c>
      <c r="F10" s="206">
        <v>33.729999999999997</v>
      </c>
      <c r="G10" s="206">
        <v>23.95</v>
      </c>
      <c r="H10" s="206">
        <v>32.71</v>
      </c>
      <c r="I10" s="206">
        <v>23.95</v>
      </c>
      <c r="J10" s="206"/>
      <c r="K10" s="206"/>
      <c r="L10" s="206"/>
      <c r="M10" s="209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" hidden="1" customHeight="1" x14ac:dyDescent="0.35">
      <c r="A11" s="204"/>
      <c r="B11" s="205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9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5.75" hidden="1" customHeight="1" x14ac:dyDescent="0.35">
      <c r="A12" s="210" t="s">
        <v>128</v>
      </c>
      <c r="B12" s="211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0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hidden="1" customHeight="1" x14ac:dyDescent="0.35">
      <c r="A13" s="210" t="s">
        <v>129</v>
      </c>
      <c r="B13" s="211"/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0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hidden="1" customHeight="1" x14ac:dyDescent="0.35">
      <c r="A14" s="204" t="s">
        <v>130</v>
      </c>
      <c r="B14" s="205">
        <v>11.94</v>
      </c>
      <c r="C14" s="206">
        <v>11.94</v>
      </c>
      <c r="D14" s="206">
        <v>11.94</v>
      </c>
      <c r="E14" s="206">
        <v>11.94</v>
      </c>
      <c r="F14" s="206">
        <v>37.65</v>
      </c>
      <c r="G14" s="206">
        <v>11.94</v>
      </c>
      <c r="H14" s="206">
        <v>11.94</v>
      </c>
      <c r="I14" s="206">
        <v>11.94</v>
      </c>
      <c r="J14" s="206"/>
      <c r="K14" s="206"/>
      <c r="L14" s="206"/>
      <c r="M14" s="20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hidden="1" customHeight="1" x14ac:dyDescent="0.35">
      <c r="A15" s="204" t="s">
        <v>131</v>
      </c>
      <c r="B15" s="205">
        <v>11.94</v>
      </c>
      <c r="C15" s="206">
        <v>11.94</v>
      </c>
      <c r="D15" s="206">
        <v>11.94</v>
      </c>
      <c r="E15" s="206">
        <v>11.94</v>
      </c>
      <c r="F15" s="206">
        <v>11.94</v>
      </c>
      <c r="G15" s="206">
        <v>11.94</v>
      </c>
      <c r="H15" s="206">
        <v>11.94</v>
      </c>
      <c r="I15" s="206">
        <v>11.94</v>
      </c>
      <c r="J15" s="206"/>
      <c r="K15" s="206"/>
      <c r="L15" s="206"/>
      <c r="M15" s="20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hidden="1" customHeight="1" x14ac:dyDescent="0.3">
      <c r="A16" s="213" t="s">
        <v>132</v>
      </c>
      <c r="B16" s="214">
        <v>23.95</v>
      </c>
      <c r="C16" s="215">
        <v>23.95</v>
      </c>
      <c r="D16" s="215">
        <v>0</v>
      </c>
      <c r="E16" s="215">
        <v>0</v>
      </c>
      <c r="F16" s="215">
        <v>31.82</v>
      </c>
      <c r="G16" s="215">
        <v>3.85</v>
      </c>
      <c r="H16" s="215">
        <v>0</v>
      </c>
      <c r="I16" s="215">
        <v>0</v>
      </c>
      <c r="J16" s="215"/>
      <c r="K16" s="215"/>
      <c r="L16" s="215"/>
      <c r="M16" s="21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hidden="1" customHeight="1" x14ac:dyDescent="0.25">
      <c r="A17" s="217"/>
      <c r="B17" s="218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19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5" hidden="1" customHeight="1" x14ac:dyDescent="0.35">
      <c r="A18" s="204" t="s">
        <v>133</v>
      </c>
      <c r="B18" s="205">
        <v>11.94</v>
      </c>
      <c r="C18" s="206">
        <v>11.94</v>
      </c>
      <c r="D18" s="206">
        <v>24.53</v>
      </c>
      <c r="E18" s="206">
        <v>30.8</v>
      </c>
      <c r="F18" s="206">
        <v>30.9</v>
      </c>
      <c r="G18" s="206">
        <v>17.350000000000001</v>
      </c>
      <c r="H18" s="206">
        <v>28.8</v>
      </c>
      <c r="I18" s="206">
        <v>57.04</v>
      </c>
      <c r="J18" s="206"/>
      <c r="K18" s="206"/>
      <c r="L18" s="206"/>
      <c r="M18" s="20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hidden="1" customHeight="1" x14ac:dyDescent="0.35">
      <c r="A19" s="204" t="s">
        <v>134</v>
      </c>
      <c r="B19" s="205">
        <v>11.94</v>
      </c>
      <c r="C19" s="206">
        <v>11.94</v>
      </c>
      <c r="D19" s="206">
        <v>11.94</v>
      </c>
      <c r="E19" s="206">
        <v>11.94</v>
      </c>
      <c r="F19" s="206">
        <v>11.94</v>
      </c>
      <c r="G19" s="206">
        <v>11.94</v>
      </c>
      <c r="H19" s="206">
        <v>11.94</v>
      </c>
      <c r="I19" s="206">
        <v>11.94</v>
      </c>
      <c r="J19" s="206"/>
      <c r="K19" s="206"/>
      <c r="L19" s="206"/>
      <c r="M19" s="20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" hidden="1" customHeight="1" x14ac:dyDescent="0.35">
      <c r="A20" s="204" t="s">
        <v>135</v>
      </c>
      <c r="B20" s="205">
        <v>23.95</v>
      </c>
      <c r="C20" s="206">
        <v>23.95</v>
      </c>
      <c r="D20" s="206">
        <v>23.95</v>
      </c>
      <c r="E20" s="206">
        <v>23.95</v>
      </c>
      <c r="F20" s="206">
        <v>23.95</v>
      </c>
      <c r="G20" s="206">
        <v>23.95</v>
      </c>
      <c r="H20" s="207">
        <v>23.95</v>
      </c>
      <c r="I20" s="206">
        <v>23.95</v>
      </c>
      <c r="J20" s="206"/>
      <c r="K20" s="206"/>
      <c r="L20" s="206"/>
      <c r="M20" s="20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</row>
    <row r="21" spans="1:26" ht="15" hidden="1" customHeight="1" x14ac:dyDescent="0.35">
      <c r="A21" s="204" t="s">
        <v>136</v>
      </c>
      <c r="B21" s="205">
        <v>0</v>
      </c>
      <c r="C21" s="206">
        <v>0</v>
      </c>
      <c r="D21" s="206">
        <v>23.95</v>
      </c>
      <c r="E21" s="206">
        <v>23.95</v>
      </c>
      <c r="F21" s="206">
        <v>23.95</v>
      </c>
      <c r="G21" s="206">
        <v>23.95</v>
      </c>
      <c r="H21" s="207">
        <v>23.95</v>
      </c>
      <c r="I21" s="206">
        <v>23.95</v>
      </c>
      <c r="J21" s="206"/>
      <c r="K21" s="206"/>
      <c r="L21" s="206"/>
      <c r="M21" s="20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</row>
    <row r="22" spans="1:26" ht="15" hidden="1" customHeight="1" x14ac:dyDescent="0.35">
      <c r="A22" s="204" t="s">
        <v>137</v>
      </c>
      <c r="B22" s="205">
        <v>0</v>
      </c>
      <c r="C22" s="206">
        <v>0</v>
      </c>
      <c r="D22" s="206">
        <v>23.95</v>
      </c>
      <c r="E22" s="206">
        <v>23.95</v>
      </c>
      <c r="F22" s="206">
        <v>23.95</v>
      </c>
      <c r="G22" s="206">
        <v>23.95</v>
      </c>
      <c r="H22" s="207">
        <v>23.95</v>
      </c>
      <c r="I22" s="206">
        <v>23.95</v>
      </c>
      <c r="J22" s="206"/>
      <c r="K22" s="206"/>
      <c r="L22" s="206"/>
      <c r="M22" s="20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</row>
    <row r="23" spans="1:26" ht="15" hidden="1" customHeight="1" x14ac:dyDescent="0.35">
      <c r="A23" s="204" t="s">
        <v>138</v>
      </c>
      <c r="B23" s="205">
        <v>0</v>
      </c>
      <c r="C23" s="206">
        <v>0</v>
      </c>
      <c r="D23" s="206">
        <v>23.95</v>
      </c>
      <c r="E23" s="206">
        <v>23.95</v>
      </c>
      <c r="F23" s="206">
        <v>23.95</v>
      </c>
      <c r="G23" s="206">
        <v>23.95</v>
      </c>
      <c r="H23" s="207">
        <v>23.95</v>
      </c>
      <c r="I23" s="206">
        <v>23.95</v>
      </c>
      <c r="J23" s="206"/>
      <c r="K23" s="206"/>
      <c r="L23" s="206"/>
      <c r="M23" s="20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 spans="1:26" ht="15" hidden="1" customHeight="1" x14ac:dyDescent="0.35">
      <c r="A24" s="204" t="s">
        <v>139</v>
      </c>
      <c r="B24" s="220">
        <v>0</v>
      </c>
      <c r="C24" s="221">
        <v>0</v>
      </c>
      <c r="D24" s="221">
        <v>23.95</v>
      </c>
      <c r="E24" s="221">
        <v>23.95</v>
      </c>
      <c r="F24" s="221">
        <v>23.95</v>
      </c>
      <c r="G24" s="221">
        <v>23.95</v>
      </c>
      <c r="H24" s="222">
        <v>23.95</v>
      </c>
      <c r="I24" s="221">
        <v>23.95</v>
      </c>
      <c r="J24" s="221"/>
      <c r="K24" s="221"/>
      <c r="L24" s="221"/>
      <c r="M24" s="223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 spans="1:26" ht="14.25" customHeight="1" x14ac:dyDescent="0.35">
      <c r="A25" s="198" t="s">
        <v>123</v>
      </c>
      <c r="B25" s="224">
        <v>1212.47</v>
      </c>
      <c r="C25" s="202">
        <v>773.55</v>
      </c>
      <c r="D25" s="202">
        <v>857.21</v>
      </c>
      <c r="E25" s="225">
        <v>616.54999999999995</v>
      </c>
      <c r="F25" s="225">
        <v>859.5</v>
      </c>
      <c r="G25" s="226">
        <v>786.16</v>
      </c>
      <c r="H25" s="202"/>
      <c r="I25" s="201"/>
      <c r="J25" s="201"/>
      <c r="K25" s="201"/>
      <c r="L25" s="201"/>
      <c r="M25" s="203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30" hidden="1" customHeight="1" x14ac:dyDescent="0.35">
      <c r="A26" s="204"/>
      <c r="B26" s="218"/>
      <c r="C26" s="207"/>
      <c r="D26" s="207"/>
      <c r="E26" s="207"/>
      <c r="F26" s="207"/>
      <c r="G26" s="227"/>
      <c r="H26" s="207"/>
      <c r="I26" s="206"/>
      <c r="J26" s="206"/>
      <c r="K26" s="206"/>
      <c r="L26" s="206"/>
      <c r="M26" s="20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2.75" customHeight="1" x14ac:dyDescent="0.35">
      <c r="A27" s="204" t="s">
        <v>140</v>
      </c>
      <c r="B27" s="218">
        <v>370</v>
      </c>
      <c r="C27" s="207">
        <v>361.51</v>
      </c>
      <c r="D27" s="207">
        <v>437.44</v>
      </c>
      <c r="E27" s="207">
        <f>43.07*9.76</f>
        <v>420.36320000000001</v>
      </c>
      <c r="F27" s="228">
        <v>426.61</v>
      </c>
      <c r="G27" s="229">
        <v>467.21</v>
      </c>
      <c r="H27" s="207"/>
      <c r="I27" s="206"/>
      <c r="J27" s="206"/>
      <c r="K27" s="206"/>
      <c r="L27" s="206"/>
      <c r="M27" s="209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" hidden="1" customHeight="1" x14ac:dyDescent="0.35">
      <c r="A28" s="204"/>
      <c r="B28" s="218"/>
      <c r="C28" s="207"/>
      <c r="D28" s="207"/>
      <c r="E28" s="207"/>
      <c r="F28" s="207"/>
      <c r="G28" s="227"/>
      <c r="H28" s="207"/>
      <c r="I28" s="206"/>
      <c r="J28" s="206"/>
      <c r="K28" s="206"/>
      <c r="L28" s="206"/>
      <c r="M28" s="20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2.75" customHeight="1" x14ac:dyDescent="0.35">
      <c r="A29" s="204" t="s">
        <v>141</v>
      </c>
      <c r="B29" s="218">
        <v>51.04</v>
      </c>
      <c r="C29" s="207">
        <v>51.04</v>
      </c>
      <c r="D29" s="207">
        <v>51.04</v>
      </c>
      <c r="E29" s="228">
        <v>51.04</v>
      </c>
      <c r="F29" s="228">
        <v>51.04</v>
      </c>
      <c r="G29" s="229">
        <v>51.04</v>
      </c>
      <c r="H29" s="207"/>
      <c r="I29" s="206"/>
      <c r="J29" s="206"/>
      <c r="K29" s="206"/>
      <c r="L29" s="206"/>
      <c r="M29" s="209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" hidden="1" customHeight="1" x14ac:dyDescent="0.35">
      <c r="A30" s="204"/>
      <c r="B30" s="218"/>
      <c r="C30" s="207"/>
      <c r="D30" s="207"/>
      <c r="E30" s="207"/>
      <c r="F30" s="207"/>
      <c r="G30" s="227"/>
      <c r="H30" s="207"/>
      <c r="I30" s="206"/>
      <c r="J30" s="206"/>
      <c r="K30" s="206"/>
      <c r="L30" s="206"/>
      <c r="M30" s="20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2.75" customHeight="1" x14ac:dyDescent="0.35">
      <c r="A31" s="204" t="s">
        <v>142</v>
      </c>
      <c r="B31" s="218">
        <v>413.43</v>
      </c>
      <c r="C31" s="207">
        <v>460.28</v>
      </c>
      <c r="D31" s="207">
        <v>406.11</v>
      </c>
      <c r="E31" s="228">
        <v>660.1</v>
      </c>
      <c r="F31" s="228">
        <v>629.73</v>
      </c>
      <c r="G31" s="229">
        <v>419.58</v>
      </c>
      <c r="H31" s="207"/>
      <c r="I31" s="206"/>
      <c r="J31" s="206"/>
      <c r="K31" s="206"/>
      <c r="L31" s="206"/>
      <c r="M31" s="209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" hidden="1" customHeight="1" x14ac:dyDescent="0.35">
      <c r="A32" s="204"/>
      <c r="B32" s="218"/>
      <c r="C32" s="207"/>
      <c r="D32" s="207"/>
      <c r="E32" s="207"/>
      <c r="F32" s="207"/>
      <c r="G32" s="227"/>
      <c r="H32" s="207"/>
      <c r="I32" s="206"/>
      <c r="J32" s="206"/>
      <c r="K32" s="206"/>
      <c r="L32" s="206"/>
      <c r="M32" s="20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2.75" customHeight="1" x14ac:dyDescent="0.35">
      <c r="A33" s="204" t="s">
        <v>143</v>
      </c>
      <c r="B33" s="218">
        <v>51.04</v>
      </c>
      <c r="C33" s="207">
        <v>51.04</v>
      </c>
      <c r="D33" s="207">
        <v>51.04</v>
      </c>
      <c r="E33" s="207">
        <v>51.04</v>
      </c>
      <c r="F33" s="228">
        <v>51.04</v>
      </c>
      <c r="G33" s="229">
        <v>51.04</v>
      </c>
      <c r="H33" s="207"/>
      <c r="I33" s="206"/>
      <c r="J33" s="206"/>
      <c r="K33" s="206"/>
      <c r="L33" s="206"/>
      <c r="M33" s="209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" hidden="1" customHeight="1" x14ac:dyDescent="0.35">
      <c r="A34" s="204"/>
      <c r="B34" s="218"/>
      <c r="C34" s="207"/>
      <c r="D34" s="207"/>
      <c r="E34" s="207"/>
      <c r="F34" s="207"/>
      <c r="G34" s="227"/>
      <c r="H34" s="207"/>
      <c r="I34" s="206"/>
      <c r="J34" s="206"/>
      <c r="K34" s="206"/>
      <c r="L34" s="206"/>
      <c r="M34" s="209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hidden="1" customHeight="1" x14ac:dyDescent="0.35">
      <c r="A35" s="210" t="s">
        <v>128</v>
      </c>
      <c r="B35" s="230"/>
      <c r="C35" s="231"/>
      <c r="D35" s="231"/>
      <c r="E35" s="231"/>
      <c r="F35" s="231"/>
      <c r="G35" s="232"/>
      <c r="H35" s="231"/>
      <c r="I35" s="212"/>
      <c r="J35" s="212"/>
      <c r="K35" s="212"/>
      <c r="L35" s="212"/>
      <c r="M35" s="20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hidden="1" customHeight="1" x14ac:dyDescent="0.35">
      <c r="A36" s="210" t="s">
        <v>129</v>
      </c>
      <c r="B36" s="230"/>
      <c r="C36" s="231"/>
      <c r="D36" s="231"/>
      <c r="E36" s="231"/>
      <c r="F36" s="231"/>
      <c r="G36" s="232"/>
      <c r="H36" s="231"/>
      <c r="I36" s="212"/>
      <c r="J36" s="212"/>
      <c r="K36" s="212"/>
      <c r="L36" s="212"/>
      <c r="M36" s="20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35">
      <c r="A37" s="233" t="s">
        <v>144</v>
      </c>
      <c r="B37" s="218">
        <v>51.04</v>
      </c>
      <c r="C37" s="207">
        <v>51.04</v>
      </c>
      <c r="D37" s="228">
        <v>93.71</v>
      </c>
      <c r="E37" s="207">
        <v>51.04</v>
      </c>
      <c r="F37" s="228">
        <v>51.04</v>
      </c>
      <c r="G37" s="228">
        <v>51.04</v>
      </c>
      <c r="H37" s="207"/>
      <c r="I37" s="206"/>
      <c r="J37" s="206"/>
      <c r="K37" s="206"/>
      <c r="L37" s="206"/>
      <c r="M37" s="20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35">
      <c r="A38" s="233" t="s">
        <v>145</v>
      </c>
      <c r="B38" s="218">
        <v>51.04</v>
      </c>
      <c r="C38" s="207">
        <v>51.04</v>
      </c>
      <c r="D38" s="207">
        <v>51.04</v>
      </c>
      <c r="E38" s="207">
        <v>51.04</v>
      </c>
      <c r="F38" s="228">
        <v>51.04</v>
      </c>
      <c r="G38" s="228">
        <v>51.04</v>
      </c>
      <c r="H38" s="207"/>
      <c r="I38" s="206"/>
      <c r="J38" s="206"/>
      <c r="K38" s="206"/>
      <c r="L38" s="206"/>
      <c r="M38" s="20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3">
      <c r="A39" s="213" t="s">
        <v>146</v>
      </c>
      <c r="B39" s="218">
        <v>51.04</v>
      </c>
      <c r="C39" s="207">
        <v>51.04</v>
      </c>
      <c r="D39" s="207">
        <v>51.04</v>
      </c>
      <c r="E39" s="207">
        <v>51.04</v>
      </c>
      <c r="F39" s="228">
        <v>51.04</v>
      </c>
      <c r="G39" s="228">
        <v>51.04</v>
      </c>
      <c r="H39" s="207"/>
      <c r="I39" s="207"/>
      <c r="J39" s="207"/>
      <c r="K39" s="206"/>
      <c r="L39" s="206"/>
      <c r="M39" s="20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hidden="1" customHeight="1" x14ac:dyDescent="0.25">
      <c r="A40" s="217"/>
      <c r="B40" s="218"/>
      <c r="C40" s="207"/>
      <c r="D40" s="207"/>
      <c r="E40" s="207"/>
      <c r="F40" s="207"/>
      <c r="G40" s="227"/>
      <c r="H40" s="207"/>
      <c r="I40" s="207"/>
      <c r="J40" s="207"/>
      <c r="K40" s="207"/>
      <c r="L40" s="207"/>
      <c r="M40" s="219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2.75" customHeight="1" x14ac:dyDescent="0.35">
      <c r="A41" s="204" t="s">
        <v>147</v>
      </c>
      <c r="B41" s="218">
        <v>51.04</v>
      </c>
      <c r="C41" s="207">
        <v>51.04</v>
      </c>
      <c r="D41" s="207">
        <v>51.04</v>
      </c>
      <c r="E41" s="207">
        <v>51.04</v>
      </c>
      <c r="F41" s="228">
        <v>51.04</v>
      </c>
      <c r="G41" s="228">
        <v>51.04</v>
      </c>
      <c r="H41" s="207"/>
      <c r="I41" s="207"/>
      <c r="J41" s="207"/>
      <c r="K41" s="206"/>
      <c r="L41" s="206"/>
      <c r="M41" s="20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35">
      <c r="A42" s="233" t="s">
        <v>148</v>
      </c>
      <c r="B42" s="218">
        <v>51.04</v>
      </c>
      <c r="C42" s="207">
        <v>51.04</v>
      </c>
      <c r="D42" s="207">
        <v>51.04</v>
      </c>
      <c r="E42" s="207">
        <v>51.04</v>
      </c>
      <c r="F42" s="228">
        <v>51.04</v>
      </c>
      <c r="G42" s="228">
        <v>51.04</v>
      </c>
      <c r="H42" s="207"/>
      <c r="I42" s="207"/>
      <c r="J42" s="207"/>
      <c r="K42" s="206"/>
      <c r="L42" s="206"/>
      <c r="M42" s="20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35">
      <c r="A43" s="204" t="s">
        <v>137</v>
      </c>
      <c r="B43" s="218">
        <v>51.04</v>
      </c>
      <c r="C43" s="207">
        <v>51.04</v>
      </c>
      <c r="D43" s="207">
        <v>51.04</v>
      </c>
      <c r="E43" s="207">
        <v>51.04</v>
      </c>
      <c r="F43" s="228">
        <v>51.04</v>
      </c>
      <c r="G43" s="228">
        <v>51.04</v>
      </c>
      <c r="H43" s="207"/>
      <c r="I43" s="207"/>
      <c r="J43" s="207"/>
      <c r="K43" s="227"/>
      <c r="L43" s="227"/>
      <c r="M43" s="234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</row>
    <row r="44" spans="1:26" ht="12.75" customHeight="1" x14ac:dyDescent="0.35">
      <c r="A44" s="204" t="s">
        <v>136</v>
      </c>
      <c r="B44" s="218">
        <v>51.04</v>
      </c>
      <c r="C44" s="207">
        <v>51.04</v>
      </c>
      <c r="D44" s="207">
        <v>51.04</v>
      </c>
      <c r="E44" s="207">
        <v>51.04</v>
      </c>
      <c r="F44" s="228">
        <v>51.04</v>
      </c>
      <c r="G44" s="228">
        <v>51.04</v>
      </c>
      <c r="H44" s="207"/>
      <c r="I44" s="207"/>
      <c r="J44" s="207"/>
      <c r="K44" s="227"/>
      <c r="L44" s="227"/>
      <c r="M44" s="234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</row>
    <row r="45" spans="1:26" ht="12.75" customHeight="1" x14ac:dyDescent="0.35">
      <c r="A45" s="204" t="s">
        <v>149</v>
      </c>
      <c r="B45" s="218">
        <v>51.04</v>
      </c>
      <c r="C45" s="207">
        <v>51.04</v>
      </c>
      <c r="D45" s="207">
        <v>51.04</v>
      </c>
      <c r="E45" s="207">
        <v>51.04</v>
      </c>
      <c r="F45" s="228">
        <v>51.04</v>
      </c>
      <c r="G45" s="228">
        <v>51.04</v>
      </c>
      <c r="H45" s="207"/>
      <c r="I45" s="207"/>
      <c r="J45" s="207"/>
      <c r="K45" s="227"/>
      <c r="L45" s="227"/>
      <c r="M45" s="234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</row>
    <row r="46" spans="1:26" ht="12.75" customHeight="1" x14ac:dyDescent="0.35">
      <c r="A46" s="204" t="s">
        <v>138</v>
      </c>
      <c r="B46" s="218">
        <v>51.04</v>
      </c>
      <c r="C46" s="207">
        <v>51.04</v>
      </c>
      <c r="D46" s="207">
        <v>51.04</v>
      </c>
      <c r="E46" s="207">
        <v>51.04</v>
      </c>
      <c r="F46" s="228">
        <v>51.04</v>
      </c>
      <c r="G46" s="228">
        <v>51.04</v>
      </c>
      <c r="H46" s="207"/>
      <c r="I46" s="207"/>
      <c r="J46" s="207"/>
      <c r="K46" s="207"/>
      <c r="L46" s="207"/>
      <c r="M46" s="2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</row>
    <row r="47" spans="1:26" ht="12.75" customHeight="1" x14ac:dyDescent="0.35">
      <c r="A47" s="204" t="s">
        <v>150</v>
      </c>
      <c r="B47" s="218">
        <v>51.04</v>
      </c>
      <c r="C47" s="207">
        <v>51.04</v>
      </c>
      <c r="D47" s="207">
        <v>51.04</v>
      </c>
      <c r="E47" s="207">
        <v>51.04</v>
      </c>
      <c r="F47" s="228">
        <v>51.04</v>
      </c>
      <c r="G47" s="228">
        <v>51.04</v>
      </c>
      <c r="H47" s="207"/>
      <c r="I47" s="207"/>
      <c r="J47" s="207"/>
      <c r="K47" s="227"/>
      <c r="L47" s="227"/>
      <c r="M47" s="234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</row>
    <row r="48" spans="1:26" ht="12.75" customHeight="1" x14ac:dyDescent="0.35">
      <c r="A48" s="204" t="s">
        <v>151</v>
      </c>
      <c r="B48" s="218">
        <v>240.58</v>
      </c>
      <c r="C48" s="207">
        <v>260.98</v>
      </c>
      <c r="D48" s="207">
        <f>17.22*6.05</f>
        <v>104.18099999999998</v>
      </c>
      <c r="E48" s="228">
        <v>126.45</v>
      </c>
      <c r="F48" s="228">
        <v>121.91</v>
      </c>
      <c r="G48" s="228">
        <v>246.93</v>
      </c>
      <c r="H48" s="207"/>
      <c r="I48" s="207"/>
      <c r="J48" s="207"/>
      <c r="K48" s="207"/>
      <c r="L48" s="207"/>
      <c r="M48" s="2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</row>
    <row r="49" spans="1:26" ht="12.75" customHeight="1" x14ac:dyDescent="0.35">
      <c r="A49" s="204" t="s">
        <v>152</v>
      </c>
      <c r="B49" s="218">
        <v>51.04</v>
      </c>
      <c r="C49" s="207">
        <v>51.04</v>
      </c>
      <c r="D49" s="207">
        <v>51.04</v>
      </c>
      <c r="E49" s="228">
        <v>51.04</v>
      </c>
      <c r="F49" s="228">
        <v>51.04</v>
      </c>
      <c r="G49" s="228">
        <v>51.04</v>
      </c>
      <c r="H49" s="207"/>
      <c r="I49" s="207"/>
      <c r="J49" s="207"/>
      <c r="K49" s="207"/>
      <c r="L49" s="207"/>
      <c r="M49" s="2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</row>
    <row r="50" spans="1:26" ht="12.75" customHeight="1" x14ac:dyDescent="0.35">
      <c r="A50" s="204" t="s">
        <v>153</v>
      </c>
      <c r="B50" s="218">
        <v>51.04</v>
      </c>
      <c r="C50" s="207">
        <v>51.04</v>
      </c>
      <c r="D50" s="207">
        <v>51.04</v>
      </c>
      <c r="E50" s="228">
        <v>51.04</v>
      </c>
      <c r="F50" s="228">
        <v>254.74</v>
      </c>
      <c r="G50" s="228">
        <v>51.04</v>
      </c>
      <c r="H50" s="207"/>
      <c r="I50" s="207"/>
      <c r="J50" s="207"/>
      <c r="K50" s="207"/>
      <c r="L50" s="207"/>
      <c r="M50" s="2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</row>
    <row r="51" spans="1:26" ht="12.75" customHeight="1" x14ac:dyDescent="0.35">
      <c r="A51" s="204" t="s">
        <v>154</v>
      </c>
      <c r="B51" s="218">
        <v>25.42</v>
      </c>
      <c r="C51" s="207">
        <v>44.67</v>
      </c>
      <c r="D51" s="228">
        <v>25.42</v>
      </c>
      <c r="E51" s="228">
        <v>25.42</v>
      </c>
      <c r="F51" s="228">
        <v>25.42</v>
      </c>
      <c r="G51" s="228">
        <v>25.42</v>
      </c>
      <c r="H51" s="207"/>
      <c r="I51" s="207"/>
      <c r="J51" s="207"/>
      <c r="K51" s="206"/>
      <c r="L51" s="206"/>
      <c r="M51" s="20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35">
      <c r="A52" s="233" t="s">
        <v>155</v>
      </c>
      <c r="B52" s="218">
        <v>25.42</v>
      </c>
      <c r="C52" s="207">
        <v>25.42</v>
      </c>
      <c r="D52" s="207">
        <v>25.42</v>
      </c>
      <c r="E52" s="228">
        <v>25.42</v>
      </c>
      <c r="F52" s="228">
        <v>25.42</v>
      </c>
      <c r="G52" s="228">
        <v>25.42</v>
      </c>
      <c r="H52" s="207"/>
      <c r="I52" s="207"/>
      <c r="J52" s="207"/>
      <c r="K52" s="206"/>
      <c r="L52" s="206"/>
      <c r="M52" s="20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35">
      <c r="A53" s="204" t="s">
        <v>156</v>
      </c>
      <c r="B53" s="218">
        <v>25.42</v>
      </c>
      <c r="C53" s="207">
        <v>63.86</v>
      </c>
      <c r="D53" s="207">
        <v>65.930000000000007</v>
      </c>
      <c r="E53" s="207">
        <f>11.16*3.54</f>
        <v>39.506399999999999</v>
      </c>
      <c r="F53" s="228">
        <v>25.42</v>
      </c>
      <c r="G53" s="228">
        <v>25.42</v>
      </c>
      <c r="H53" s="207"/>
      <c r="I53" s="207"/>
      <c r="J53" s="207"/>
      <c r="K53" s="206"/>
      <c r="L53" s="227"/>
      <c r="M53" s="209"/>
    </row>
    <row r="54" spans="1:26" ht="15" hidden="1" customHeight="1" x14ac:dyDescent="0.35">
      <c r="A54" s="204" t="s">
        <v>157</v>
      </c>
      <c r="B54" s="218"/>
      <c r="C54" s="207"/>
      <c r="D54" s="207"/>
      <c r="E54" s="207"/>
      <c r="F54" s="207"/>
      <c r="G54" s="227"/>
      <c r="H54" s="207"/>
      <c r="I54" s="206"/>
      <c r="J54" s="206"/>
      <c r="K54" s="206"/>
      <c r="L54" s="206"/>
      <c r="M54" s="209"/>
    </row>
    <row r="55" spans="1:26" ht="15" hidden="1" customHeight="1" x14ac:dyDescent="0.35">
      <c r="A55" s="204"/>
      <c r="B55" s="218"/>
      <c r="C55" s="207"/>
      <c r="D55" s="207"/>
      <c r="E55" s="207"/>
      <c r="F55" s="207"/>
      <c r="G55" s="227"/>
      <c r="H55" s="207"/>
      <c r="I55" s="206"/>
      <c r="J55" s="206"/>
      <c r="K55" s="206"/>
      <c r="L55" s="206"/>
      <c r="M55" s="209"/>
    </row>
    <row r="56" spans="1:26" ht="15" hidden="1" customHeight="1" x14ac:dyDescent="0.35">
      <c r="A56" s="204" t="s">
        <v>158</v>
      </c>
      <c r="B56" s="218"/>
      <c r="C56" s="207"/>
      <c r="D56" s="207"/>
      <c r="E56" s="207"/>
      <c r="F56" s="207"/>
      <c r="G56" s="227"/>
      <c r="H56" s="207"/>
      <c r="I56" s="460"/>
      <c r="J56" s="460"/>
      <c r="K56" s="460"/>
      <c r="L56" s="460"/>
      <c r="M56" s="209"/>
    </row>
    <row r="57" spans="1:26" ht="15" hidden="1" customHeight="1" x14ac:dyDescent="0.35">
      <c r="A57" s="204"/>
      <c r="B57" s="218"/>
      <c r="C57" s="207"/>
      <c r="D57" s="207"/>
      <c r="E57" s="207"/>
      <c r="F57" s="207"/>
      <c r="G57" s="227"/>
      <c r="H57" s="207"/>
      <c r="I57" s="461"/>
      <c r="J57" s="461"/>
      <c r="K57" s="461"/>
      <c r="L57" s="461"/>
      <c r="M57" s="209"/>
    </row>
    <row r="58" spans="1:26" ht="15" hidden="1" customHeight="1" x14ac:dyDescent="0.35">
      <c r="A58" s="235" t="s">
        <v>159</v>
      </c>
      <c r="B58" s="218"/>
      <c r="C58" s="207"/>
      <c r="D58" s="236"/>
      <c r="E58" s="236"/>
      <c r="F58" s="236"/>
      <c r="G58" s="227"/>
      <c r="H58" s="207"/>
      <c r="I58" s="461"/>
      <c r="J58" s="461"/>
      <c r="K58" s="461"/>
      <c r="L58" s="461"/>
      <c r="M58" s="209"/>
    </row>
    <row r="59" spans="1:26" ht="15.75" hidden="1" customHeight="1" x14ac:dyDescent="0.35">
      <c r="A59" s="235"/>
      <c r="B59" s="218"/>
      <c r="C59" s="207"/>
      <c r="D59" s="207"/>
      <c r="E59" s="207"/>
      <c r="F59" s="207"/>
      <c r="G59" s="227"/>
      <c r="H59" s="207"/>
      <c r="I59" s="461"/>
      <c r="J59" s="461"/>
      <c r="K59" s="461"/>
      <c r="L59" s="461"/>
      <c r="M59" s="209"/>
    </row>
    <row r="60" spans="1:26" ht="15.75" hidden="1" customHeight="1" x14ac:dyDescent="0.35">
      <c r="A60" s="204"/>
      <c r="B60" s="237"/>
      <c r="C60" s="236"/>
      <c r="D60" s="207"/>
      <c r="E60" s="207"/>
      <c r="F60" s="207"/>
      <c r="G60" s="227"/>
      <c r="H60" s="207"/>
      <c r="I60" s="461"/>
      <c r="J60" s="461"/>
      <c r="K60" s="461"/>
      <c r="L60" s="461"/>
      <c r="M60" s="209"/>
    </row>
    <row r="61" spans="1:26" ht="15" hidden="1" customHeight="1" x14ac:dyDescent="0.35">
      <c r="A61" s="204" t="s">
        <v>160</v>
      </c>
      <c r="B61" s="218"/>
      <c r="C61" s="207"/>
      <c r="D61" s="207"/>
      <c r="E61" s="207"/>
      <c r="F61" s="207"/>
      <c r="G61" s="227"/>
      <c r="H61" s="207"/>
      <c r="I61" s="461"/>
      <c r="J61" s="461"/>
      <c r="K61" s="461"/>
      <c r="L61" s="461"/>
      <c r="M61" s="209"/>
    </row>
    <row r="62" spans="1:26" ht="15" hidden="1" customHeight="1" x14ac:dyDescent="0.35">
      <c r="A62" s="235" t="s">
        <v>161</v>
      </c>
      <c r="B62" s="237"/>
      <c r="C62" s="236"/>
      <c r="D62" s="236"/>
      <c r="E62" s="236"/>
      <c r="F62" s="236"/>
      <c r="G62" s="227"/>
      <c r="H62" s="207"/>
      <c r="I62" s="462"/>
      <c r="J62" s="462"/>
      <c r="K62" s="462"/>
      <c r="L62" s="462"/>
      <c r="M62" s="209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</row>
    <row r="63" spans="1:26" ht="15.75" hidden="1" customHeight="1" x14ac:dyDescent="0.35">
      <c r="A63" s="239" t="s">
        <v>162</v>
      </c>
      <c r="B63" s="237"/>
      <c r="C63" s="236"/>
      <c r="D63" s="240"/>
      <c r="E63" s="236"/>
      <c r="F63" s="240"/>
      <c r="G63" s="227"/>
      <c r="H63" s="207"/>
      <c r="I63" s="241"/>
      <c r="J63" s="241"/>
      <c r="K63" s="241"/>
      <c r="L63" s="241"/>
      <c r="M63" s="20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hidden="1" customHeight="1" x14ac:dyDescent="0.35">
      <c r="A64" s="239" t="s">
        <v>163</v>
      </c>
      <c r="B64" s="237"/>
      <c r="C64" s="236"/>
      <c r="D64" s="240"/>
      <c r="E64" s="236"/>
      <c r="F64" s="240"/>
      <c r="G64" s="227"/>
      <c r="H64" s="207"/>
      <c r="I64" s="241"/>
      <c r="J64" s="241"/>
      <c r="K64" s="241"/>
      <c r="L64" s="241"/>
      <c r="M64" s="20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hidden="1" customHeight="1" x14ac:dyDescent="0.35">
      <c r="A65" s="239" t="s">
        <v>164</v>
      </c>
      <c r="B65" s="237"/>
      <c r="C65" s="236"/>
      <c r="D65" s="240"/>
      <c r="E65" s="236"/>
      <c r="F65" s="240"/>
      <c r="G65" s="227"/>
      <c r="H65" s="207"/>
      <c r="I65" s="241"/>
      <c r="J65" s="241"/>
      <c r="K65" s="241"/>
      <c r="L65" s="241"/>
      <c r="M65" s="20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35">
      <c r="A66" s="204" t="s">
        <v>165</v>
      </c>
      <c r="B66" s="218">
        <v>25.42</v>
      </c>
      <c r="C66" s="207">
        <v>25.42</v>
      </c>
      <c r="D66" s="207">
        <v>261.57</v>
      </c>
      <c r="E66" s="207">
        <f>62.02-25.42</f>
        <v>36.6</v>
      </c>
      <c r="F66" s="228">
        <f>70.91-25.42</f>
        <v>45.489999999999995</v>
      </c>
      <c r="G66" s="228">
        <v>71.62</v>
      </c>
      <c r="H66" s="207"/>
      <c r="I66" s="206"/>
      <c r="J66" s="206"/>
      <c r="K66" s="206"/>
      <c r="L66" s="206"/>
      <c r="M66" s="20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35">
      <c r="A67" s="204" t="s">
        <v>166</v>
      </c>
      <c r="B67" s="218">
        <v>25.42</v>
      </c>
      <c r="C67" s="207">
        <v>46.73</v>
      </c>
      <c r="D67" s="207">
        <v>25.42</v>
      </c>
      <c r="E67" s="228">
        <v>0</v>
      </c>
      <c r="F67" s="228">
        <v>0</v>
      </c>
      <c r="G67" s="228">
        <v>0</v>
      </c>
      <c r="H67" s="207"/>
      <c r="I67" s="206"/>
      <c r="J67" s="206"/>
      <c r="K67" s="206"/>
      <c r="L67" s="206"/>
      <c r="M67" s="20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35">
      <c r="A68" s="233" t="s">
        <v>167</v>
      </c>
      <c r="B68" s="218">
        <v>25.42</v>
      </c>
      <c r="C68" s="207">
        <v>46.73</v>
      </c>
      <c r="D68" s="207">
        <v>25.42</v>
      </c>
      <c r="E68" s="228">
        <v>25.42</v>
      </c>
      <c r="F68" s="228">
        <v>25.42</v>
      </c>
      <c r="G68" s="228">
        <v>25.42</v>
      </c>
      <c r="H68" s="207"/>
      <c r="I68" s="206"/>
      <c r="J68" s="206"/>
      <c r="K68" s="206"/>
      <c r="L68" s="206"/>
      <c r="M68" s="20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35">
      <c r="A69" s="233" t="s">
        <v>168</v>
      </c>
      <c r="B69" s="218">
        <v>236.86</v>
      </c>
      <c r="C69" s="207">
        <v>258.22000000000003</v>
      </c>
      <c r="D69" s="207">
        <v>25.42</v>
      </c>
      <c r="E69" s="207">
        <v>25.42</v>
      </c>
      <c r="F69" s="228">
        <v>49.38</v>
      </c>
      <c r="G69" s="228">
        <v>25.42</v>
      </c>
      <c r="H69" s="207"/>
      <c r="I69" s="227"/>
      <c r="J69" s="227"/>
      <c r="K69" s="227"/>
      <c r="L69" s="227"/>
      <c r="M69" s="209"/>
    </row>
    <row r="70" spans="1:26" ht="15" hidden="1" customHeight="1" x14ac:dyDescent="0.35">
      <c r="A70" s="204"/>
      <c r="B70" s="218"/>
      <c r="C70" s="207"/>
      <c r="D70" s="207"/>
      <c r="E70" s="207"/>
      <c r="F70" s="207"/>
      <c r="G70" s="207"/>
      <c r="H70" s="207"/>
      <c r="I70" s="227"/>
      <c r="J70" s="227"/>
      <c r="K70" s="227"/>
      <c r="L70" s="227"/>
      <c r="M70" s="209"/>
    </row>
    <row r="71" spans="1:26" ht="12.75" customHeight="1" x14ac:dyDescent="0.35">
      <c r="A71" s="233" t="s">
        <v>169</v>
      </c>
      <c r="B71" s="218">
        <v>25.42</v>
      </c>
      <c r="C71" s="207">
        <v>25.42</v>
      </c>
      <c r="D71" s="207">
        <v>25.42</v>
      </c>
      <c r="E71" s="207">
        <v>25.42</v>
      </c>
      <c r="F71" s="228">
        <v>25.42</v>
      </c>
      <c r="G71" s="228">
        <v>25.42</v>
      </c>
      <c r="H71" s="207"/>
      <c r="I71" s="207"/>
      <c r="J71" s="207"/>
      <c r="K71" s="227"/>
      <c r="L71" s="227"/>
      <c r="M71" s="209"/>
    </row>
    <row r="72" spans="1:26" ht="12.75" customHeight="1" x14ac:dyDescent="0.35">
      <c r="A72" s="242" t="s">
        <v>170</v>
      </c>
      <c r="B72" s="243">
        <v>25.42</v>
      </c>
      <c r="C72" s="244">
        <v>25.42</v>
      </c>
      <c r="D72" s="244">
        <v>25.42</v>
      </c>
      <c r="E72" s="244">
        <v>25.42</v>
      </c>
      <c r="F72" s="245">
        <v>25.42</v>
      </c>
      <c r="G72" s="228">
        <v>25.42</v>
      </c>
      <c r="H72" s="207"/>
      <c r="I72" s="207"/>
      <c r="J72" s="207"/>
      <c r="K72" s="246"/>
      <c r="L72" s="246"/>
      <c r="M72" s="247"/>
    </row>
    <row r="73" spans="1:26" ht="15.75" hidden="1" customHeight="1" x14ac:dyDescent="0.35">
      <c r="A73" s="248" t="s">
        <v>171</v>
      </c>
      <c r="B73" s="249"/>
      <c r="C73" s="250"/>
      <c r="D73" s="251"/>
      <c r="E73" s="252">
        <v>14.45</v>
      </c>
      <c r="F73" s="253"/>
      <c r="G73" s="254">
        <f>SUM(G25:G72)</f>
        <v>2883.9999999999995</v>
      </c>
      <c r="H73" s="255"/>
      <c r="I73" s="256">
        <f>SUM(I25:I72)</f>
        <v>0</v>
      </c>
      <c r="J73" s="256"/>
      <c r="K73" s="256"/>
      <c r="L73" s="256"/>
      <c r="M73" s="257">
        <v>11.94</v>
      </c>
    </row>
    <row r="74" spans="1:26" ht="12.75" customHeight="1" x14ac:dyDescent="0.35">
      <c r="A74" s="258" t="s">
        <v>172</v>
      </c>
      <c r="B74" s="259">
        <f t="shared" ref="B74:D74" si="0">B25+B27+B29+B31+B33+B37+B38+B39+B41+B42+B47+B43+B44+ B45+ B46+B48+B49+B51+B52+B53+B66+B67+B69+B71+B72</f>
        <v>3314.8</v>
      </c>
      <c r="C74" s="259">
        <f t="shared" si="0"/>
        <v>3035</v>
      </c>
      <c r="D74" s="259">
        <f t="shared" si="0"/>
        <v>2991.1510000000003</v>
      </c>
      <c r="E74" s="259">
        <f>SUM(E25:E73)</f>
        <v>2781.0995999999996</v>
      </c>
      <c r="F74" s="260">
        <f t="shared" ref="F74:M74" si="1">+F25+F27+F29+F31+F33+F37+F38+F39+F41+F42+F47+F51+F52+F53+F54+F66+F67+F69+F71+F72+F43+F44+F45+F46+F48+F49</f>
        <v>2923.24</v>
      </c>
      <c r="G74" s="260">
        <f t="shared" si="1"/>
        <v>2807.5399999999995</v>
      </c>
      <c r="H74" s="260">
        <f t="shared" si="1"/>
        <v>0</v>
      </c>
      <c r="I74" s="261">
        <f t="shared" si="1"/>
        <v>0</v>
      </c>
      <c r="J74" s="261">
        <f t="shared" si="1"/>
        <v>0</v>
      </c>
      <c r="K74" s="261">
        <f t="shared" si="1"/>
        <v>0</v>
      </c>
      <c r="L74" s="261">
        <f t="shared" si="1"/>
        <v>0</v>
      </c>
      <c r="M74" s="262">
        <f t="shared" si="1"/>
        <v>0</v>
      </c>
    </row>
    <row r="75" spans="1:26" ht="14.25" customHeight="1" x14ac:dyDescent="0.35">
      <c r="B75" s="263"/>
      <c r="C75" s="263"/>
      <c r="M75" s="264"/>
      <c r="N75" s="72"/>
    </row>
    <row r="76" spans="1:26" ht="12.75" customHeight="1" x14ac:dyDescent="0.35">
      <c r="A76" s="115" t="s">
        <v>173</v>
      </c>
      <c r="B76" s="48"/>
      <c r="C76" s="48"/>
      <c r="M76" s="265"/>
    </row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>
      <c r="L80" s="48"/>
    </row>
    <row r="81" spans="12:12" ht="12.75" customHeight="1" x14ac:dyDescent="0.25">
      <c r="L81" s="48"/>
    </row>
    <row r="82" spans="12:12" ht="12.75" customHeight="1" x14ac:dyDescent="0.25">
      <c r="L82" s="48"/>
    </row>
    <row r="83" spans="12:12" ht="12.75" customHeight="1" x14ac:dyDescent="0.25"/>
    <row r="84" spans="12:12" ht="12.75" customHeight="1" x14ac:dyDescent="0.25"/>
    <row r="85" spans="12:12" ht="12.75" customHeight="1" x14ac:dyDescent="0.25"/>
    <row r="86" spans="12:12" ht="12.75" customHeight="1" x14ac:dyDescent="0.25"/>
    <row r="87" spans="12:12" ht="12.75" customHeight="1" x14ac:dyDescent="0.25"/>
    <row r="88" spans="12:12" ht="12.75" customHeight="1" x14ac:dyDescent="0.25"/>
    <row r="89" spans="12:12" ht="12.75" customHeight="1" x14ac:dyDescent="0.25"/>
    <row r="90" spans="12:12" ht="12.75" customHeight="1" x14ac:dyDescent="0.25"/>
    <row r="91" spans="12:12" ht="12.75" customHeight="1" x14ac:dyDescent="0.25"/>
    <row r="92" spans="12:12" ht="12.75" customHeight="1" x14ac:dyDescent="0.25"/>
    <row r="93" spans="12:12" ht="12.75" customHeight="1" x14ac:dyDescent="0.25"/>
    <row r="94" spans="12:12" ht="12.75" customHeight="1" x14ac:dyDescent="0.25"/>
    <row r="95" spans="12:12" ht="12.75" customHeight="1" x14ac:dyDescent="0.25"/>
    <row r="96" spans="12:12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4">
    <mergeCell ref="I56:I62"/>
    <mergeCell ref="J56:J62"/>
    <mergeCell ref="K56:K62"/>
    <mergeCell ref="L56:L62"/>
  </mergeCells>
  <printOptions horizontalCentered="1"/>
  <pageMargins left="0.19685039370078741" right="0.19685039370078741" top="0.98425196850393704" bottom="0.19685039370078741" header="0" footer="0"/>
  <pageSetup paperSize="9" orientation="landscape"/>
  <headerFooter>
    <oddHeader>&amp;CCUSTO DE CONSUMO DE ÁGUA 2023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45.08984375" customWidth="1"/>
    <col min="2" max="13" width="14.453125" customWidth="1"/>
    <col min="14" max="14" width="19.36328125" customWidth="1"/>
    <col min="15" max="15" width="8.453125" customWidth="1"/>
    <col min="16" max="16" width="12.453125" customWidth="1"/>
    <col min="17" max="26" width="8.4531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spans="1:26" ht="12.75" customHeight="1" x14ac:dyDescent="0.25"/>
    <row r="50" spans="1:26" ht="12.75" customHeight="1" x14ac:dyDescent="0.3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  <row r="51" spans="1:26" ht="17.25" customHeight="1" x14ac:dyDescent="0.35">
      <c r="A51" s="459" t="s">
        <v>174</v>
      </c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5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7.25" customHeight="1" x14ac:dyDescent="0.35">
      <c r="A52" s="266"/>
      <c r="B52" s="267" t="s">
        <v>56</v>
      </c>
      <c r="C52" s="268" t="s">
        <v>57</v>
      </c>
      <c r="D52" s="268" t="s">
        <v>58</v>
      </c>
      <c r="E52" s="268" t="s">
        <v>59</v>
      </c>
      <c r="F52" s="268" t="s">
        <v>60</v>
      </c>
      <c r="G52" s="268" t="s">
        <v>61</v>
      </c>
      <c r="H52" s="268" t="s">
        <v>62</v>
      </c>
      <c r="I52" s="268" t="s">
        <v>63</v>
      </c>
      <c r="J52" s="268" t="s">
        <v>64</v>
      </c>
      <c r="K52" s="268" t="s">
        <v>65</v>
      </c>
      <c r="L52" s="268" t="s">
        <v>66</v>
      </c>
      <c r="M52" s="269" t="s">
        <v>67</v>
      </c>
      <c r="N52" s="270" t="s">
        <v>89</v>
      </c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 ht="1.5" customHeight="1" x14ac:dyDescent="0.35">
      <c r="A53" s="271" t="s">
        <v>96</v>
      </c>
      <c r="B53" s="272" t="s">
        <v>56</v>
      </c>
      <c r="C53" s="133" t="s">
        <v>57</v>
      </c>
      <c r="D53" s="133" t="s">
        <v>58</v>
      </c>
      <c r="E53" s="133" t="s">
        <v>59</v>
      </c>
      <c r="F53" s="133" t="s">
        <v>60</v>
      </c>
      <c r="G53" s="133" t="s">
        <v>61</v>
      </c>
      <c r="H53" s="133" t="s">
        <v>62</v>
      </c>
      <c r="I53" s="133" t="s">
        <v>63</v>
      </c>
      <c r="J53" s="133" t="s">
        <v>64</v>
      </c>
      <c r="K53" s="133" t="s">
        <v>65</v>
      </c>
      <c r="L53" s="133" t="s">
        <v>66</v>
      </c>
      <c r="M53" s="134" t="s">
        <v>67</v>
      </c>
      <c r="N53" s="273" t="s">
        <v>89</v>
      </c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</row>
    <row r="54" spans="1:26" ht="18" customHeight="1" x14ac:dyDescent="0.35">
      <c r="A54" s="274" t="s">
        <v>175</v>
      </c>
      <c r="B54" s="275">
        <f>(+'DADOS 2024 I'!O47-'DADOS 2024 I'!N47)</f>
        <v>0</v>
      </c>
      <c r="C54" s="275">
        <f>(+'DADOS 2024 I'!P47-'DADOS 2024 I'!O47)</f>
        <v>0</v>
      </c>
      <c r="D54" s="275">
        <f>(+'DADOS 2024 I'!Q47-'DADOS 2024 I'!P47)</f>
        <v>0</v>
      </c>
      <c r="E54" s="275">
        <f>(+'DADOS 2024 I'!R47-'DADOS 2024 I'!Q47)</f>
        <v>0</v>
      </c>
      <c r="F54" s="275">
        <f>(+'DADOS 2024 I'!S47-'DADOS 2024 I'!R47)</f>
        <v>0</v>
      </c>
      <c r="G54" s="275">
        <f>(+'DADOS 2024 I'!T47-'DADOS 2024 I'!S47)</f>
        <v>0</v>
      </c>
      <c r="H54" s="275">
        <f>(+'DADOS 2024 I'!U47-'DADOS 2024 I'!T47)</f>
        <v>0</v>
      </c>
      <c r="I54" s="275">
        <f>(+'DADOS 2024 I'!V47-'DADOS 2024 I'!U47)</f>
        <v>0</v>
      </c>
      <c r="J54" s="275">
        <f>(+'DADOS 2024 I'!W47-'DADOS 2024 I'!V47)</f>
        <v>0</v>
      </c>
      <c r="K54" s="275">
        <f>(+'DADOS 2024 I'!X47-'DADOS 2024 I'!W47)</f>
        <v>0</v>
      </c>
      <c r="L54" s="275">
        <f>(+'DADOS 2024 I'!Y47-'DADOS 2024 I'!X47)</f>
        <v>0</v>
      </c>
      <c r="M54" s="275">
        <f>(+'DADOS 2024 I'!Z47-'DADOS 2024 I'!Y47)</f>
        <v>0</v>
      </c>
      <c r="N54" s="276">
        <f>+AVERAGE(B54:M54)</f>
        <v>0</v>
      </c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5" hidden="1" customHeight="1" x14ac:dyDescent="0.35">
      <c r="A55" s="277" t="s">
        <v>40</v>
      </c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9"/>
      <c r="N55" s="280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.5" customHeight="1" x14ac:dyDescent="0.35">
      <c r="A56" s="281" t="s">
        <v>96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284" t="s">
        <v>89</v>
      </c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</row>
    <row r="57" spans="1:26" ht="15" customHeight="1" x14ac:dyDescent="0.35">
      <c r="A57" s="277" t="s">
        <v>109</v>
      </c>
      <c r="B57" s="285">
        <f>(+'DADOS 2024 I'!O50-'DADOS 2024 I'!N50)</f>
        <v>0</v>
      </c>
      <c r="C57" s="285">
        <f>(+'DADOS 2024 I'!P50-'DADOS 2024 I'!O50)</f>
        <v>0</v>
      </c>
      <c r="D57" s="285">
        <f>(+'DADOS 2024 I'!Q50-'DADOS 2024 I'!P50)</f>
        <v>0</v>
      </c>
      <c r="E57" s="285">
        <f>(+'DADOS 2024 I'!R50-'DADOS 2024 I'!Q50)</f>
        <v>0</v>
      </c>
      <c r="F57" s="285">
        <f>(+'DADOS 2024 I'!S50-'DADOS 2024 I'!R50)</f>
        <v>0</v>
      </c>
      <c r="G57" s="285">
        <f>(+'DADOS 2024 I'!T50-'DADOS 2024 I'!S50)</f>
        <v>0</v>
      </c>
      <c r="H57" s="285">
        <f>(+'DADOS 2024 I'!U50-'DADOS 2024 I'!T50)</f>
        <v>0</v>
      </c>
      <c r="I57" s="285">
        <f>(+'DADOS 2024 I'!V50-'DADOS 2024 I'!U50)</f>
        <v>0</v>
      </c>
      <c r="J57" s="285">
        <f>(+'DADOS 2024 I'!W50-'DADOS 2024 I'!V50)</f>
        <v>0</v>
      </c>
      <c r="K57" s="285">
        <f>(+'DADOS 2024 I'!X50-'DADOS 2024 I'!W50)</f>
        <v>0</v>
      </c>
      <c r="L57" s="285">
        <f>(+'DADOS 2024 I'!Y50-'DADOS 2024 I'!X50)</f>
        <v>0</v>
      </c>
      <c r="M57" s="285">
        <f>(+'DADOS 2024 I'!Z50-'DADOS 2024 I'!Y50)</f>
        <v>0</v>
      </c>
      <c r="N57" s="280">
        <f>+AVERAGE(B57:M57)</f>
        <v>0</v>
      </c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.5" customHeight="1" x14ac:dyDescent="0.35">
      <c r="A58" s="281" t="s">
        <v>96</v>
      </c>
      <c r="B58" s="282"/>
      <c r="C58" s="282">
        <v>0</v>
      </c>
      <c r="D58" s="282"/>
      <c r="E58" s="282"/>
      <c r="F58" s="282"/>
      <c r="G58" s="285">
        <f>(+'DADOS 2024 I'!T51-'DADOS 2024 I'!S51)</f>
        <v>0</v>
      </c>
      <c r="H58" s="282"/>
      <c r="I58" s="278">
        <f>+'DADOS 2024 I'!V53-'DADOS 2024 I'!U53</f>
        <v>0</v>
      </c>
      <c r="J58" s="282"/>
      <c r="K58" s="282"/>
      <c r="L58" s="282"/>
      <c r="M58" s="283"/>
      <c r="N58" s="284">
        <f>+AVERAGE(B59:M59)</f>
        <v>-3073.75</v>
      </c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 spans="1:26" ht="15" customHeight="1" x14ac:dyDescent="0.35">
      <c r="A59" s="277" t="s">
        <v>176</v>
      </c>
      <c r="B59" s="285">
        <f>(+'DADOS 2024 I'!O52-'DADOS 2024 I'!N52)</f>
        <v>38</v>
      </c>
      <c r="C59" s="285">
        <f>(+'DADOS 2024 I'!P52-'DADOS 2024 I'!O52)</f>
        <v>3</v>
      </c>
      <c r="D59" s="285">
        <f>(+'DADOS 2024 I'!Q52-'DADOS 2024 I'!P52)</f>
        <v>3</v>
      </c>
      <c r="E59" s="285">
        <f>(+'DADOS 2024 I'!R52-'DADOS 2024 I'!Q52)</f>
        <v>0</v>
      </c>
      <c r="F59" s="285">
        <f>(+'DADOS 2024 I'!S52-'DADOS 2024 I'!R52)</f>
        <v>1</v>
      </c>
      <c r="G59" s="285">
        <f>(+'DADOS 2024 I'!T52-'DADOS 2024 I'!S52)</f>
        <v>4</v>
      </c>
      <c r="H59" s="285">
        <f>(+'DADOS 2024 I'!U52-'DADOS 2024 I'!T52)</f>
        <v>-36934</v>
      </c>
      <c r="I59" s="285">
        <f>(+'DADOS 2024 I'!V52-'DADOS 2024 I'!U52)</f>
        <v>0</v>
      </c>
      <c r="J59" s="285">
        <f>(+'DADOS 2024 I'!W52-'DADOS 2024 I'!V52)</f>
        <v>0</v>
      </c>
      <c r="K59" s="285">
        <f>(+'DADOS 2024 I'!X52-'DADOS 2024 I'!W52)</f>
        <v>0</v>
      </c>
      <c r="L59" s="285">
        <f>(+'DADOS 2024 I'!Y52-'DADOS 2024 I'!X52)</f>
        <v>0</v>
      </c>
      <c r="M59" s="285">
        <f>(+'DADOS 2024 I'!Z52-'DADOS 2024 I'!Y52)</f>
        <v>0</v>
      </c>
      <c r="N59" s="280">
        <f>+AVERAGE(B59:M59)</f>
        <v>-3073.75</v>
      </c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.5" customHeight="1" x14ac:dyDescent="0.35">
      <c r="A60" s="281" t="s">
        <v>96</v>
      </c>
      <c r="B60" s="282"/>
      <c r="C60" s="282"/>
      <c r="D60" s="282"/>
      <c r="E60" s="282"/>
      <c r="F60" s="282"/>
      <c r="G60" s="282"/>
      <c r="H60" s="282">
        <v>0</v>
      </c>
      <c r="I60" s="282"/>
      <c r="J60" s="282"/>
      <c r="K60" s="285">
        <f>(+'DADOS 2024 I'!X53-'DADOS 2024 I'!W53)</f>
        <v>0</v>
      </c>
      <c r="L60" s="282"/>
      <c r="M60" s="283"/>
      <c r="N60" s="284" t="s">
        <v>89</v>
      </c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</row>
    <row r="61" spans="1:26" ht="15" customHeight="1" x14ac:dyDescent="0.35">
      <c r="A61" s="277" t="s">
        <v>177</v>
      </c>
      <c r="B61" s="285">
        <f>(+'DADOS 2024 I'!O54-'DADOS 2024 I'!N54)</f>
        <v>2</v>
      </c>
      <c r="C61" s="285">
        <f>(+'DADOS 2024 I'!P54-'DADOS 2024 I'!O54)</f>
        <v>11</v>
      </c>
      <c r="D61" s="285">
        <f>(+'DADOS 2024 I'!Q54-'DADOS 2024 I'!P54)</f>
        <v>17</v>
      </c>
      <c r="E61" s="285">
        <f>(+'DADOS 2024 I'!R54-'DADOS 2024 I'!Q54)</f>
        <v>21</v>
      </c>
      <c r="F61" s="285">
        <f>(+'DADOS 2024 I'!S54-'DADOS 2024 I'!R54)</f>
        <v>20</v>
      </c>
      <c r="G61" s="285">
        <f>(+'DADOS 2024 I'!T54-'DADOS 2024 I'!S54)</f>
        <v>50</v>
      </c>
      <c r="H61" s="285">
        <f>(+'DADOS 2024 I'!U54-'DADOS 2024 I'!T54)</f>
        <v>-36616</v>
      </c>
      <c r="I61" s="285">
        <f>(+'DADOS 2024 I'!V54-'DADOS 2024 I'!U54)</f>
        <v>0</v>
      </c>
      <c r="J61" s="285">
        <f>(+'DADOS 2024 I'!W54-'DADOS 2024 I'!V54)</f>
        <v>0</v>
      </c>
      <c r="K61" s="285">
        <f>(+'DADOS 2024 I'!X54-'DADOS 2024 I'!W54)</f>
        <v>0</v>
      </c>
      <c r="L61" s="285">
        <f>(+'DADOS 2024 I'!Y54-'DADOS 2024 I'!X54)</f>
        <v>0</v>
      </c>
      <c r="M61" s="285">
        <f>(+'DADOS 2024 I'!Z54-'DADOS 2024 I'!Y54)</f>
        <v>0</v>
      </c>
      <c r="N61" s="280">
        <f>+AVERAGE(B61:M61)</f>
        <v>-3041.25</v>
      </c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2.75" customHeight="1" x14ac:dyDescent="0.35">
      <c r="A62" s="286" t="s">
        <v>47</v>
      </c>
      <c r="B62" s="285">
        <f>(+'DADOS 2024 I'!O55-'DADOS 2024 I'!N55)</f>
        <v>0</v>
      </c>
      <c r="C62" s="285">
        <f>(+'DADOS 2024 I'!P55-'DADOS 2024 I'!O55)</f>
        <v>0</v>
      </c>
      <c r="D62" s="285">
        <f>(+'DADOS 2024 I'!Q55-'DADOS 2024 I'!P55)</f>
        <v>0</v>
      </c>
      <c r="E62" s="285">
        <f>(+'DADOS 2024 I'!R55-'DADOS 2024 I'!Q55)</f>
        <v>0</v>
      </c>
      <c r="F62" s="285">
        <f>(+'DADOS 2024 I'!S55-'DADOS 2024 I'!R55)</f>
        <v>0</v>
      </c>
      <c r="G62" s="285">
        <f>(+'DADOS 2024 I'!T55-'DADOS 2024 I'!S55)</f>
        <v>0</v>
      </c>
      <c r="H62" s="285">
        <f>(+'DADOS 2024 I'!U55-'DADOS 2024 I'!T55)</f>
        <v>0</v>
      </c>
      <c r="I62" s="285">
        <f>(+'DADOS 2024 I'!V55-'DADOS 2024 I'!U55)</f>
        <v>0</v>
      </c>
      <c r="J62" s="285">
        <f>(+'DADOS 2024 I'!W55-'DADOS 2024 I'!V55)</f>
        <v>0</v>
      </c>
      <c r="K62" s="285">
        <f>(+'DADOS 2024 I'!X55-'DADOS 2024 I'!W55)</f>
        <v>0</v>
      </c>
      <c r="L62" s="285">
        <f>(+'DADOS 2024 I'!Y55-'DADOS 2024 I'!X55)</f>
        <v>0</v>
      </c>
      <c r="M62" s="285">
        <f>(+'DADOS 2024 I'!Z55-'DADOS 2024 I'!Y55)</f>
        <v>0</v>
      </c>
      <c r="N62" s="287">
        <f>(+'DADOS 2024 I'!AA57-'DADOS 2024 I'!Z57)/10</f>
        <v>0</v>
      </c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</row>
    <row r="63" spans="1:26" ht="12.75" hidden="1" customHeight="1" x14ac:dyDescent="0.35">
      <c r="A63" s="288" t="s">
        <v>172</v>
      </c>
      <c r="B63" s="289">
        <f>+'DADOS 2024 I'!O53-'DADOS 2024 I'!N53</f>
        <v>72</v>
      </c>
      <c r="C63" s="289">
        <f>+'DADOS 2024 I'!P53-'DADOS 2024 I'!O53</f>
        <v>50</v>
      </c>
      <c r="D63" s="289">
        <f>+'DADOS 2024 I'!Q53-'DADOS 2024 I'!P53</f>
        <v>107</v>
      </c>
      <c r="E63" s="289">
        <f>+'DADOS 2024 I'!R53-'DADOS 2024 I'!Q53</f>
        <v>22</v>
      </c>
      <c r="F63" s="289">
        <f>+'DADOS 2024 I'!S53-'DADOS 2024 I'!R53</f>
        <v>73</v>
      </c>
      <c r="G63" s="289">
        <f>+'DADOS 2024 I'!T53-'DADOS 2024 I'!S53</f>
        <v>336</v>
      </c>
      <c r="H63" s="285">
        <f>(+'DADOS 2024 I'!U56-'DADOS 2024 I'!T56)</f>
        <v>0</v>
      </c>
      <c r="I63" s="289"/>
      <c r="J63" s="289">
        <f>+'DADOS 2024 I'!W53-'DADOS 2024 I'!V53</f>
        <v>0</v>
      </c>
      <c r="K63" s="289">
        <f>+'DADOS 2024 I'!X53-'DADOS 2024 I'!W53</f>
        <v>0</v>
      </c>
      <c r="L63" s="289">
        <f>+'DADOS 2024 I'!Y53-'DADOS 2024 I'!X53</f>
        <v>0</v>
      </c>
      <c r="M63" s="290">
        <f>+'DADOS 2024 I'!Z53-'DADOS 2024 I'!Y53</f>
        <v>0</v>
      </c>
      <c r="N63" s="280">
        <f t="shared" ref="N63:N66" si="0">+AVERAGE(B63:M63)</f>
        <v>60</v>
      </c>
      <c r="O63" s="143"/>
      <c r="P63" s="182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ht="15.75" hidden="1" customHeight="1" x14ac:dyDescent="0.35">
      <c r="A64" s="281" t="s">
        <v>178</v>
      </c>
      <c r="B64" s="291">
        <v>462</v>
      </c>
      <c r="C64" s="291">
        <v>462</v>
      </c>
      <c r="D64" s="291">
        <v>462</v>
      </c>
      <c r="E64" s="291">
        <v>462</v>
      </c>
      <c r="F64" s="291">
        <v>462</v>
      </c>
      <c r="G64" s="291">
        <v>462</v>
      </c>
      <c r="H64" s="285">
        <f>(+'DADOS 2024 I'!U57-'DADOS 2024 I'!T57)</f>
        <v>-316356</v>
      </c>
      <c r="I64" s="291"/>
      <c r="J64" s="291">
        <v>462</v>
      </c>
      <c r="K64" s="291">
        <v>462</v>
      </c>
      <c r="L64" s="291">
        <v>462</v>
      </c>
      <c r="M64" s="292">
        <v>462</v>
      </c>
      <c r="N64" s="280">
        <f t="shared" si="0"/>
        <v>-28339.636363636364</v>
      </c>
    </row>
    <row r="65" spans="1:26" ht="12.75" customHeight="1" x14ac:dyDescent="0.35">
      <c r="A65" s="286" t="s">
        <v>48</v>
      </c>
      <c r="B65" s="285">
        <f>(+'DADOS 2024 I'!O58-'DADOS 2024 I'!N58)</f>
        <v>0</v>
      </c>
      <c r="C65" s="285">
        <f>(+'DADOS 2024 I'!P58-'DADOS 2024 I'!O58)</f>
        <v>0</v>
      </c>
      <c r="D65" s="285">
        <f>(+'DADOS 2024 I'!Q58-'DADOS 2024 I'!P58)</f>
        <v>0</v>
      </c>
      <c r="E65" s="285">
        <f>(+'DADOS 2024 I'!R58-'DADOS 2024 I'!Q58)</f>
        <v>0</v>
      </c>
      <c r="F65" s="285">
        <f>(+'DADOS 2024 I'!S58-'DADOS 2024 I'!R58)</f>
        <v>0</v>
      </c>
      <c r="G65" s="285">
        <f>(+'DADOS 2024 I'!T58-'DADOS 2024 I'!S58)</f>
        <v>0</v>
      </c>
      <c r="H65" s="285">
        <f>(+'DADOS 2024 I'!U58-'DADOS 2024 I'!T58)</f>
        <v>0</v>
      </c>
      <c r="I65" s="285">
        <f>(+'DADOS 2024 I'!V58-'DADOS 2024 I'!U58)</f>
        <v>0</v>
      </c>
      <c r="J65" s="285">
        <f>(+'DADOS 2024 I'!W58-'DADOS 2024 I'!V58)</f>
        <v>0</v>
      </c>
      <c r="K65" s="285">
        <f>(+'DADOS 2024 I'!X58-'DADOS 2024 I'!W58)</f>
        <v>0</v>
      </c>
      <c r="L65" s="285">
        <f>(+'DADOS 2024 I'!Y58-'DADOS 2024 I'!X58)</f>
        <v>0</v>
      </c>
      <c r="M65" s="285">
        <f>(+'DADOS 2024 I'!Z58-'DADOS 2024 I'!Y58)</f>
        <v>0</v>
      </c>
      <c r="N65" s="280">
        <f t="shared" si="0"/>
        <v>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2.75" customHeight="1" x14ac:dyDescent="0.35">
      <c r="A66" s="286" t="s">
        <v>179</v>
      </c>
      <c r="B66" s="285">
        <f>(+'DADOS 2024 I'!O59-'DADOS 2024 I'!N59)</f>
        <v>8882</v>
      </c>
      <c r="C66" s="285">
        <f>(+'DADOS 2024 I'!P59-'DADOS 2024 I'!O59)</f>
        <v>5802</v>
      </c>
      <c r="D66" s="285">
        <f>(+'DADOS 2024 I'!Q59-'DADOS 2024 I'!P59)</f>
        <v>5662</v>
      </c>
      <c r="E66" s="285">
        <f>(+'DADOS 2024 I'!R59-'DADOS 2024 I'!Q59)</f>
        <v>5243</v>
      </c>
      <c r="F66" s="285">
        <f>(+'DADOS 2024 I'!S59-'DADOS 2024 I'!R59)</f>
        <v>7458</v>
      </c>
      <c r="G66" s="285">
        <f>(+'DADOS 2024 I'!T59-'DADOS 2024 I'!S59)</f>
        <v>4932</v>
      </c>
      <c r="H66" s="285">
        <f>(+'DADOS 2024 I'!U59-'DADOS 2024 I'!T59)</f>
        <v>-367277</v>
      </c>
      <c r="I66" s="285">
        <f>(+'DADOS 2024 I'!V59-'DADOS 2024 I'!U59)</f>
        <v>0</v>
      </c>
      <c r="J66" s="285">
        <f>(+'DADOS 2024 I'!W59-'DADOS 2024 I'!V59)</f>
        <v>0</v>
      </c>
      <c r="K66" s="285">
        <f>(+'DADOS 2024 I'!X59-'DADOS 2024 I'!W59)</f>
        <v>0</v>
      </c>
      <c r="L66" s="285">
        <f>(+'DADOS 2024 I'!Y59-'DADOS 2024 I'!X59)</f>
        <v>0</v>
      </c>
      <c r="M66" s="285">
        <f>(+'DADOS 2024 I'!Z59-'DADOS 2024 I'!Y59)</f>
        <v>0</v>
      </c>
      <c r="N66" s="280">
        <f t="shared" si="0"/>
        <v>-27441.5</v>
      </c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</row>
    <row r="67" spans="1:26" ht="12.75" customHeight="1" x14ac:dyDescent="0.35">
      <c r="A67" s="286" t="s">
        <v>50</v>
      </c>
      <c r="B67" s="285">
        <f>(+'DADOS 2024 I'!O60-'DADOS 2024 I'!N60)</f>
        <v>583</v>
      </c>
      <c r="C67" s="285">
        <f>(+'DADOS 2024 I'!P60-'DADOS 2024 I'!O60)</f>
        <v>369</v>
      </c>
      <c r="D67" s="285">
        <f>(+'DADOS 2024 I'!Q60-'DADOS 2024 I'!P60)</f>
        <v>1059</v>
      </c>
      <c r="E67" s="285">
        <f>(+'DADOS 2024 I'!R60-'DADOS 2024 I'!Q60)</f>
        <v>164</v>
      </c>
      <c r="F67" s="285">
        <f>(+'DADOS 2024 I'!S60-'DADOS 2024 I'!R60)</f>
        <v>674</v>
      </c>
      <c r="G67" s="285">
        <f>(+'DADOS 2024 I'!T60-'DADOS 2024 I'!S60)</f>
        <v>3321</v>
      </c>
      <c r="H67" s="285">
        <f>(+'DADOS 2024 I'!U60-'DADOS 2024 I'!T60)</f>
        <v>-638763</v>
      </c>
      <c r="I67" s="285">
        <f>(+'DADOS 2024 I'!V60-'DADOS 2024 I'!U60)</f>
        <v>0</v>
      </c>
      <c r="J67" s="285">
        <f>(+'DADOS 2024 I'!W60-'DADOS 2024 I'!V60)</f>
        <v>0</v>
      </c>
      <c r="K67" s="285">
        <f>(+'DADOS 2024 I'!X60-'DADOS 2024 I'!W60)</f>
        <v>0</v>
      </c>
      <c r="L67" s="285">
        <f>(+'DADOS 2024 I'!Y60-'DADOS 2024 I'!X60)</f>
        <v>0</v>
      </c>
      <c r="M67" s="285">
        <f>(+'DADOS 2024 I'!Z60-'DADOS 2024 I'!Y60)</f>
        <v>0</v>
      </c>
      <c r="N67" s="287">
        <f>+'DADOS 2024 I'!AA60-'DADOS 2024 I'!Z60</f>
        <v>0</v>
      </c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</row>
    <row r="68" spans="1:26" ht="12.75" customHeight="1" x14ac:dyDescent="0.35">
      <c r="A68" s="293" t="s">
        <v>180</v>
      </c>
      <c r="B68" s="294">
        <f>(+'DADOS 2024 I'!O61-'DADOS 2024 I'!N61)</f>
        <v>0</v>
      </c>
      <c r="C68" s="294">
        <f>(+'DADOS 2024 I'!P61-'DADOS 2024 I'!O61)</f>
        <v>0</v>
      </c>
      <c r="D68" s="294">
        <f>(+'DADOS 2024 I'!Q61-'DADOS 2024 I'!P61)</f>
        <v>0</v>
      </c>
      <c r="E68" s="294">
        <f>(+'DADOS 2024 I'!R61-'DADOS 2024 I'!Q61)</f>
        <v>0</v>
      </c>
      <c r="F68" s="294">
        <f>(+'DADOS 2024 I'!S61-'DADOS 2024 I'!R61)</f>
        <v>0</v>
      </c>
      <c r="G68" s="294">
        <f>(+'DADOS 2024 I'!T61-'DADOS 2024 I'!S61)</f>
        <v>0</v>
      </c>
      <c r="H68" s="294">
        <f>(+'DADOS 2024 I'!U61-'DADOS 2024 I'!T61)</f>
        <v>-240652</v>
      </c>
      <c r="I68" s="294">
        <f>(+'DADOS 2024 I'!V61-'DADOS 2024 I'!U61)</f>
        <v>0</v>
      </c>
      <c r="J68" s="294">
        <f>(+'DADOS 2024 I'!W61-'DADOS 2024 I'!V61)</f>
        <v>0</v>
      </c>
      <c r="K68" s="294">
        <f>(+'DADOS 2024 I'!X61-'DADOS 2024 I'!W61)</f>
        <v>0</v>
      </c>
      <c r="L68" s="294">
        <f>(+'DADOS 2024 I'!Y61-'DADOS 2024 I'!X61)</f>
        <v>0</v>
      </c>
      <c r="M68" s="294">
        <f>(+'DADOS 2024 I'!Z61-'DADOS 2024 I'!Y61)</f>
        <v>0</v>
      </c>
      <c r="N68" s="295">
        <f>+AVERAGE(B68:M68)</f>
        <v>-20054.333333333332</v>
      </c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</row>
    <row r="69" spans="1:26" ht="12.75" customHeight="1" x14ac:dyDescent="0.35">
      <c r="A69" s="143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</row>
    <row r="70" spans="1:26" ht="12.75" hidden="1" customHeight="1" x14ac:dyDescent="0.35">
      <c r="A70" s="459" t="s">
        <v>181</v>
      </c>
      <c r="B70" s="454"/>
      <c r="C70" s="454"/>
      <c r="D70" s="454"/>
      <c r="E70" s="454"/>
      <c r="F70" s="454"/>
      <c r="G70" s="454"/>
      <c r="H70" s="454"/>
      <c r="I70" s="454"/>
      <c r="J70" s="454"/>
      <c r="K70" s="454"/>
      <c r="L70" s="454"/>
      <c r="M70" s="454"/>
      <c r="N70" s="455"/>
    </row>
    <row r="71" spans="1:26" ht="12.75" hidden="1" customHeight="1" x14ac:dyDescent="0.35">
      <c r="A71" s="178"/>
      <c r="B71" s="296" t="s">
        <v>56</v>
      </c>
      <c r="C71" s="297" t="s">
        <v>57</v>
      </c>
      <c r="D71" s="297" t="s">
        <v>58</v>
      </c>
      <c r="E71" s="297" t="s">
        <v>59</v>
      </c>
      <c r="F71" s="297" t="s">
        <v>60</v>
      </c>
      <c r="G71" s="297" t="s">
        <v>61</v>
      </c>
      <c r="H71" s="297" t="s">
        <v>62</v>
      </c>
      <c r="I71" s="297" t="s">
        <v>63</v>
      </c>
      <c r="J71" s="297" t="s">
        <v>64</v>
      </c>
      <c r="K71" s="297" t="s">
        <v>65</v>
      </c>
      <c r="L71" s="297" t="s">
        <v>66</v>
      </c>
      <c r="M71" s="298" t="s">
        <v>67</v>
      </c>
      <c r="N71" s="153" t="s">
        <v>89</v>
      </c>
    </row>
    <row r="72" spans="1:26" ht="12.75" hidden="1" customHeight="1" x14ac:dyDescent="0.35">
      <c r="A72" s="155" t="s">
        <v>40</v>
      </c>
      <c r="B72" s="299" t="s">
        <v>86</v>
      </c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300" t="e">
        <f t="shared" ref="N72:N76" si="1">+AVERAGE(B72:M72)</f>
        <v>#DIV/0!</v>
      </c>
    </row>
    <row r="73" spans="1:26" ht="12.75" hidden="1" customHeight="1" x14ac:dyDescent="0.35">
      <c r="A73" s="158" t="s">
        <v>109</v>
      </c>
      <c r="B73" s="301">
        <f t="shared" ref="B73:E73" si="2">+(B57/B$63)*B$76</f>
        <v>0</v>
      </c>
      <c r="C73" s="301">
        <f t="shared" si="2"/>
        <v>0</v>
      </c>
      <c r="D73" s="301">
        <f t="shared" si="2"/>
        <v>0</v>
      </c>
      <c r="E73" s="301">
        <f t="shared" si="2"/>
        <v>0</v>
      </c>
      <c r="F73" s="299"/>
      <c r="G73" s="299"/>
      <c r="H73" s="299"/>
      <c r="I73" s="299"/>
      <c r="J73" s="299"/>
      <c r="K73" s="299"/>
      <c r="L73" s="299"/>
      <c r="M73" s="299"/>
      <c r="N73" s="302">
        <f t="shared" si="1"/>
        <v>0</v>
      </c>
    </row>
    <row r="74" spans="1:26" ht="12.75" hidden="1" customHeight="1" x14ac:dyDescent="0.35">
      <c r="A74" s="158" t="s">
        <v>182</v>
      </c>
      <c r="B74" s="301">
        <f t="shared" ref="B74:E74" si="3">+(B59/B$63)*B$76</f>
        <v>0</v>
      </c>
      <c r="C74" s="301">
        <f t="shared" si="3"/>
        <v>0</v>
      </c>
      <c r="D74" s="301">
        <f t="shared" si="3"/>
        <v>0</v>
      </c>
      <c r="E74" s="301">
        <f t="shared" si="3"/>
        <v>0</v>
      </c>
      <c r="F74" s="299"/>
      <c r="G74" s="299"/>
      <c r="H74" s="299"/>
      <c r="I74" s="299"/>
      <c r="J74" s="299"/>
      <c r="K74" s="299"/>
      <c r="L74" s="299"/>
      <c r="M74" s="299"/>
      <c r="N74" s="302">
        <f t="shared" si="1"/>
        <v>0</v>
      </c>
    </row>
    <row r="75" spans="1:26" ht="12.75" hidden="1" customHeight="1" x14ac:dyDescent="0.35">
      <c r="A75" s="158" t="s">
        <v>183</v>
      </c>
      <c r="B75" s="301">
        <f t="shared" ref="B75:E75" si="4">+(B61/B$63)*B$76</f>
        <v>0</v>
      </c>
      <c r="C75" s="301">
        <f t="shared" si="4"/>
        <v>0</v>
      </c>
      <c r="D75" s="301">
        <f t="shared" si="4"/>
        <v>0</v>
      </c>
      <c r="E75" s="301">
        <f t="shared" si="4"/>
        <v>0</v>
      </c>
      <c r="F75" s="299"/>
      <c r="G75" s="299"/>
      <c r="H75" s="299"/>
      <c r="I75" s="299"/>
      <c r="J75" s="299"/>
      <c r="K75" s="299"/>
      <c r="L75" s="299"/>
      <c r="M75" s="299"/>
      <c r="N75" s="303">
        <f t="shared" si="1"/>
        <v>0</v>
      </c>
    </row>
    <row r="76" spans="1:26" ht="12.75" hidden="1" customHeight="1" x14ac:dyDescent="0.35">
      <c r="A76" s="258" t="s">
        <v>172</v>
      </c>
      <c r="B76" s="304">
        <f>+'DADOS 2024 I'!O56</f>
        <v>0</v>
      </c>
      <c r="C76" s="304">
        <f>+'DADOS 2024 I'!P56</f>
        <v>0</v>
      </c>
      <c r="D76" s="304">
        <f>+'DADOS 2024 I'!Q56</f>
        <v>0</v>
      </c>
      <c r="E76" s="304">
        <f>+'DADOS 2024 I'!R56</f>
        <v>0</v>
      </c>
      <c r="F76" s="305"/>
      <c r="G76" s="305"/>
      <c r="H76" s="305"/>
      <c r="I76" s="305"/>
      <c r="J76" s="305"/>
      <c r="K76" s="305"/>
      <c r="L76" s="305"/>
      <c r="M76" s="305"/>
      <c r="N76" s="306">
        <f t="shared" si="1"/>
        <v>0</v>
      </c>
    </row>
    <row r="77" spans="1:26" ht="12.75" hidden="1" customHeight="1" x14ac:dyDescent="0.35">
      <c r="A77" s="188" t="s">
        <v>184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175"/>
    </row>
    <row r="78" spans="1:26" ht="12.75" hidden="1" customHeight="1" x14ac:dyDescent="0.35">
      <c r="A78" s="143" t="s">
        <v>185</v>
      </c>
      <c r="B78" s="308"/>
      <c r="C78" s="48" t="s">
        <v>186</v>
      </c>
    </row>
    <row r="79" spans="1:26" ht="12.75" customHeight="1" x14ac:dyDescent="0.35">
      <c r="N79" s="264"/>
    </row>
    <row r="80" spans="1:26" ht="12.75" customHeight="1" x14ac:dyDescent="0.35">
      <c r="N80" s="309"/>
    </row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51:N51"/>
    <mergeCell ref="A70:N70"/>
  </mergeCells>
  <printOptions horizontalCentered="1" verticalCentered="1"/>
  <pageMargins left="0.78740157480314965" right="0.78740157480314965" top="0.78740157480314965" bottom="0.39370078740157483" header="0" footer="0"/>
  <pageSetup paperSize="9" orientation="landscape"/>
  <headerFooter>
    <oddHeader>&amp;CCONTROLE CONSUMO DE ENERGIA 2023 - UNIDADE MEDIDORA 16675290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27.90625" customWidth="1"/>
    <col min="2" max="6" width="15.6328125" customWidth="1"/>
    <col min="7" max="7" width="18" customWidth="1"/>
    <col min="8" max="8" width="20" customWidth="1"/>
    <col min="9" max="9" width="19.453125" customWidth="1"/>
    <col min="10" max="10" width="17.6328125" customWidth="1"/>
    <col min="11" max="11" width="18.90625" customWidth="1"/>
    <col min="12" max="12" width="18" customWidth="1"/>
    <col min="13" max="13" width="19.6328125" customWidth="1"/>
    <col min="14" max="26" width="8.453125" customWidth="1"/>
  </cols>
  <sheetData>
    <row r="1" spans="1:26" ht="12.75" customHeight="1" x14ac:dyDescent="0.65">
      <c r="A1" s="463" t="s">
        <v>187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1"/>
    </row>
    <row r="2" spans="1:26" ht="12.75" customHeight="1" x14ac:dyDescent="0.25"/>
    <row r="3" spans="1:26" ht="12.75" customHeight="1" x14ac:dyDescent="0.25"/>
    <row r="4" spans="1:26" ht="30" customHeight="1" x14ac:dyDescent="0.6">
      <c r="A4" s="464" t="s">
        <v>188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1"/>
    </row>
    <row r="5" spans="1:26" ht="30" customHeight="1" x14ac:dyDescent="0.5">
      <c r="A5" s="310"/>
      <c r="B5" s="311">
        <v>37257</v>
      </c>
      <c r="C5" s="311">
        <v>37288</v>
      </c>
      <c r="D5" s="311">
        <v>37316</v>
      </c>
      <c r="E5" s="311">
        <v>37347</v>
      </c>
      <c r="F5" s="311">
        <v>37377</v>
      </c>
      <c r="G5" s="311">
        <v>37408</v>
      </c>
      <c r="H5" s="311">
        <v>37438</v>
      </c>
      <c r="I5" s="311">
        <v>37469</v>
      </c>
      <c r="J5" s="311">
        <v>37500</v>
      </c>
      <c r="K5" s="311">
        <v>37530</v>
      </c>
      <c r="L5" s="311">
        <v>37561</v>
      </c>
      <c r="M5" s="312">
        <v>37591</v>
      </c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 spans="1:26" ht="30" customHeight="1" x14ac:dyDescent="0.5">
      <c r="A6" s="313" t="s">
        <v>189</v>
      </c>
      <c r="B6" s="314">
        <v>5223.8</v>
      </c>
      <c r="C6" s="314">
        <v>5422.3</v>
      </c>
      <c r="D6" s="315">
        <v>5590.4</v>
      </c>
      <c r="E6" s="315">
        <v>5766.3</v>
      </c>
      <c r="F6" s="315">
        <v>5930.3</v>
      </c>
      <c r="G6" s="315">
        <v>6066.2</v>
      </c>
      <c r="H6" s="315">
        <v>6184.4</v>
      </c>
      <c r="I6" s="315">
        <v>6344.3</v>
      </c>
      <c r="J6" s="315">
        <v>6536.1</v>
      </c>
      <c r="K6" s="316">
        <v>6689.6</v>
      </c>
      <c r="L6" s="317">
        <v>6876.1</v>
      </c>
      <c r="M6" s="318">
        <v>7049.6</v>
      </c>
    </row>
    <row r="7" spans="1:26" ht="30" customHeight="1" x14ac:dyDescent="0.5">
      <c r="A7" s="286" t="s">
        <v>190</v>
      </c>
      <c r="B7" s="319">
        <v>632.62</v>
      </c>
      <c r="C7" s="319">
        <v>633.02</v>
      </c>
      <c r="D7" s="320">
        <v>634.29999999999995</v>
      </c>
      <c r="E7" s="320">
        <v>634.85</v>
      </c>
      <c r="F7" s="320">
        <v>635.1</v>
      </c>
      <c r="G7" s="320">
        <v>637.5</v>
      </c>
      <c r="H7" s="320">
        <v>646.08000000000004</v>
      </c>
      <c r="I7" s="320">
        <v>661.13</v>
      </c>
      <c r="J7" s="320">
        <v>681.99</v>
      </c>
      <c r="K7" s="321">
        <v>707.61</v>
      </c>
      <c r="L7" s="322">
        <v>721.54</v>
      </c>
      <c r="M7" s="323">
        <v>746.12</v>
      </c>
    </row>
    <row r="8" spans="1:26" ht="30" customHeight="1" x14ac:dyDescent="0.5">
      <c r="A8" s="286" t="s">
        <v>191</v>
      </c>
      <c r="B8" s="319">
        <v>1016.4</v>
      </c>
      <c r="C8" s="319">
        <v>1031.97</v>
      </c>
      <c r="D8" s="320">
        <v>1049.54</v>
      </c>
      <c r="E8" s="320">
        <v>1069.01</v>
      </c>
      <c r="F8" s="320">
        <v>1089.48</v>
      </c>
      <c r="G8" s="320">
        <v>1113.75</v>
      </c>
      <c r="H8" s="320">
        <v>1134.51</v>
      </c>
      <c r="I8" s="320">
        <v>1153.3900000000001</v>
      </c>
      <c r="J8" s="320">
        <v>1198.8</v>
      </c>
      <c r="K8" s="321">
        <v>1242.49</v>
      </c>
      <c r="L8" s="322">
        <v>1298.96</v>
      </c>
      <c r="M8" s="323">
        <v>1338.46</v>
      </c>
    </row>
    <row r="9" spans="1:26" ht="30" customHeight="1" x14ac:dyDescent="0.5">
      <c r="A9" s="286" t="s">
        <v>192</v>
      </c>
      <c r="B9" s="319">
        <v>271.08999999999997</v>
      </c>
      <c r="C9" s="319">
        <v>288.5</v>
      </c>
      <c r="D9" s="320">
        <v>306.2</v>
      </c>
      <c r="E9" s="320">
        <v>321.47000000000003</v>
      </c>
      <c r="F9" s="320">
        <v>346.73</v>
      </c>
      <c r="G9" s="320">
        <v>367.1</v>
      </c>
      <c r="H9" s="320">
        <v>383.87</v>
      </c>
      <c r="I9" s="320">
        <v>404.95</v>
      </c>
      <c r="J9" s="320">
        <v>422.1</v>
      </c>
      <c r="K9" s="321">
        <v>441.11</v>
      </c>
      <c r="L9" s="322">
        <v>469.9</v>
      </c>
      <c r="M9" s="323">
        <v>487.72</v>
      </c>
    </row>
    <row r="10" spans="1:26" ht="30" customHeight="1" x14ac:dyDescent="0.5">
      <c r="A10" s="286" t="s">
        <v>193</v>
      </c>
      <c r="B10" s="319">
        <v>558.07000000000005</v>
      </c>
      <c r="C10" s="319">
        <v>608.35</v>
      </c>
      <c r="D10" s="320">
        <v>656.94</v>
      </c>
      <c r="E10" s="320">
        <v>705.35</v>
      </c>
      <c r="F10" s="320">
        <v>752.1</v>
      </c>
      <c r="G10" s="320">
        <v>799.52</v>
      </c>
      <c r="H10" s="320">
        <v>843.84</v>
      </c>
      <c r="I10" s="320">
        <v>897.82</v>
      </c>
      <c r="J10" s="320">
        <v>942.16</v>
      </c>
      <c r="K10" s="321">
        <v>983.59</v>
      </c>
      <c r="L10" s="322">
        <v>1034.77</v>
      </c>
      <c r="M10" s="323">
        <v>1086.42</v>
      </c>
    </row>
    <row r="11" spans="1:26" ht="30" customHeight="1" x14ac:dyDescent="0.5">
      <c r="A11" s="286" t="s">
        <v>194</v>
      </c>
      <c r="B11" s="319">
        <v>723</v>
      </c>
      <c r="C11" s="319">
        <v>734.69</v>
      </c>
      <c r="D11" s="320">
        <v>742.55</v>
      </c>
      <c r="E11" s="320">
        <v>749.15</v>
      </c>
      <c r="F11" s="320">
        <v>761.2</v>
      </c>
      <c r="G11" s="320">
        <v>770.52</v>
      </c>
      <c r="H11" s="320">
        <v>796.08</v>
      </c>
      <c r="I11" s="320">
        <v>813.76</v>
      </c>
      <c r="J11" s="320">
        <v>840.81</v>
      </c>
      <c r="K11" s="321">
        <v>869.84</v>
      </c>
      <c r="L11" s="322">
        <v>884.5</v>
      </c>
      <c r="M11" s="323">
        <v>892.55</v>
      </c>
    </row>
    <row r="12" spans="1:26" ht="30" customHeight="1" x14ac:dyDescent="0.5">
      <c r="A12" s="324" t="s">
        <v>195</v>
      </c>
      <c r="B12" s="325">
        <v>139.05000000000001</v>
      </c>
      <c r="C12" s="325">
        <v>149.80000000000001</v>
      </c>
      <c r="D12" s="326">
        <v>157.41</v>
      </c>
      <c r="E12" s="326">
        <v>163.02000000000001</v>
      </c>
      <c r="F12" s="326">
        <v>169.57</v>
      </c>
      <c r="G12" s="326">
        <v>177.33</v>
      </c>
      <c r="H12" s="326">
        <v>177.9</v>
      </c>
      <c r="I12" s="326">
        <v>185.36</v>
      </c>
      <c r="J12" s="326">
        <v>189.68</v>
      </c>
      <c r="K12" s="327">
        <v>198.65</v>
      </c>
      <c r="L12" s="328">
        <v>232.75</v>
      </c>
      <c r="M12" s="329">
        <v>260.45</v>
      </c>
    </row>
    <row r="13" spans="1:26" ht="30" customHeight="1" x14ac:dyDescent="0.5">
      <c r="A13" s="324" t="s">
        <v>114</v>
      </c>
      <c r="B13" s="319">
        <v>29.78</v>
      </c>
      <c r="C13" s="319">
        <v>37.5</v>
      </c>
      <c r="D13" s="320">
        <v>44.45</v>
      </c>
      <c r="E13" s="320">
        <v>47.38</v>
      </c>
      <c r="F13" s="320">
        <v>52.68</v>
      </c>
      <c r="G13" s="320">
        <v>59.42</v>
      </c>
      <c r="H13" s="320">
        <v>66.95</v>
      </c>
      <c r="I13" s="320">
        <v>75.87</v>
      </c>
      <c r="J13" s="320">
        <v>86.61</v>
      </c>
      <c r="K13" s="321">
        <v>95.47</v>
      </c>
      <c r="L13" s="322">
        <v>112.52</v>
      </c>
      <c r="M13" s="323">
        <v>115.16</v>
      </c>
    </row>
    <row r="14" spans="1:26" ht="30" customHeight="1" x14ac:dyDescent="0.5">
      <c r="A14" s="324" t="s">
        <v>196</v>
      </c>
      <c r="B14" s="319" t="s">
        <v>86</v>
      </c>
      <c r="C14" s="319" t="s">
        <v>86</v>
      </c>
      <c r="D14" s="319" t="s">
        <v>86</v>
      </c>
      <c r="E14" s="319" t="s">
        <v>86</v>
      </c>
      <c r="F14" s="319" t="s">
        <v>86</v>
      </c>
      <c r="G14" s="319" t="s">
        <v>86</v>
      </c>
      <c r="H14" s="319" t="s">
        <v>86</v>
      </c>
      <c r="I14" s="319" t="s">
        <v>86</v>
      </c>
      <c r="J14" s="319" t="s">
        <v>86</v>
      </c>
      <c r="K14" s="319" t="s">
        <v>86</v>
      </c>
      <c r="L14" s="322">
        <v>0</v>
      </c>
      <c r="M14" s="323">
        <v>5.01</v>
      </c>
    </row>
    <row r="15" spans="1:26" ht="30" customHeight="1" x14ac:dyDescent="0.5">
      <c r="A15" s="293" t="s">
        <v>116</v>
      </c>
      <c r="B15" s="330">
        <v>26.9</v>
      </c>
      <c r="C15" s="330">
        <v>30.44</v>
      </c>
      <c r="D15" s="331">
        <v>32.58</v>
      </c>
      <c r="E15" s="331">
        <v>39.97</v>
      </c>
      <c r="F15" s="331">
        <v>44.38</v>
      </c>
      <c r="G15" s="331">
        <v>52.61</v>
      </c>
      <c r="H15" s="331">
        <v>55.85</v>
      </c>
      <c r="I15" s="331">
        <v>63.58</v>
      </c>
      <c r="J15" s="331">
        <v>68.14</v>
      </c>
      <c r="K15" s="332">
        <v>74.05</v>
      </c>
      <c r="L15" s="333">
        <v>81.099999999999994</v>
      </c>
      <c r="M15" s="334">
        <v>87.73</v>
      </c>
    </row>
    <row r="16" spans="1:26" ht="30" customHeight="1" x14ac:dyDescent="0.5">
      <c r="A16" s="335" t="s">
        <v>172</v>
      </c>
      <c r="B16" s="336">
        <f t="shared" ref="B16:M16" si="0">+SUM(B6:B15)</f>
        <v>8620.7099999999991</v>
      </c>
      <c r="C16" s="336">
        <f t="shared" si="0"/>
        <v>8936.57</v>
      </c>
      <c r="D16" s="336">
        <f t="shared" si="0"/>
        <v>9214.369999999999</v>
      </c>
      <c r="E16" s="336">
        <f t="shared" si="0"/>
        <v>9496.5</v>
      </c>
      <c r="F16" s="336">
        <f t="shared" si="0"/>
        <v>9781.5400000000009</v>
      </c>
      <c r="G16" s="336">
        <f t="shared" si="0"/>
        <v>10043.950000000001</v>
      </c>
      <c r="H16" s="336">
        <f t="shared" si="0"/>
        <v>10289.480000000001</v>
      </c>
      <c r="I16" s="336">
        <f t="shared" si="0"/>
        <v>10600.160000000002</v>
      </c>
      <c r="J16" s="336">
        <f t="shared" si="0"/>
        <v>10966.39</v>
      </c>
      <c r="K16" s="336">
        <f t="shared" si="0"/>
        <v>11302.41</v>
      </c>
      <c r="L16" s="336">
        <f t="shared" si="0"/>
        <v>11712.140000000001</v>
      </c>
      <c r="M16" s="337">
        <f t="shared" si="0"/>
        <v>12069.22</v>
      </c>
    </row>
    <row r="18" spans="1:26" ht="30" customHeight="1" x14ac:dyDescent="0.6">
      <c r="A18" s="464" t="s">
        <v>197</v>
      </c>
      <c r="B18" s="450"/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1"/>
    </row>
    <row r="19" spans="1:26" ht="30" customHeight="1" x14ac:dyDescent="0.5">
      <c r="A19" s="338"/>
      <c r="B19" s="311">
        <v>37257</v>
      </c>
      <c r="C19" s="311">
        <v>37288</v>
      </c>
      <c r="D19" s="311">
        <v>37316</v>
      </c>
      <c r="E19" s="311">
        <v>37347</v>
      </c>
      <c r="F19" s="311">
        <v>37377</v>
      </c>
      <c r="G19" s="311">
        <v>37408</v>
      </c>
      <c r="H19" s="311">
        <v>37438</v>
      </c>
      <c r="I19" s="311">
        <v>37469</v>
      </c>
      <c r="J19" s="311">
        <v>37500</v>
      </c>
      <c r="K19" s="311">
        <v>37530</v>
      </c>
      <c r="L19" s="311">
        <v>37561</v>
      </c>
      <c r="M19" s="312">
        <v>37591</v>
      </c>
    </row>
    <row r="20" spans="1:26" ht="30" customHeight="1" x14ac:dyDescent="0.5">
      <c r="A20" s="339" t="s">
        <v>198</v>
      </c>
      <c r="B20" s="336">
        <v>2389.4299999999998</v>
      </c>
      <c r="C20" s="336">
        <v>2569.71</v>
      </c>
      <c r="D20" s="336">
        <v>2743.62</v>
      </c>
      <c r="E20" s="336">
        <v>2908.82</v>
      </c>
      <c r="F20" s="336">
        <v>3090.8</v>
      </c>
      <c r="G20" s="336">
        <v>3267.21</v>
      </c>
      <c r="H20" s="336">
        <v>3449.4</v>
      </c>
      <c r="I20" s="336">
        <v>3690.76</v>
      </c>
      <c r="J20" s="336">
        <v>3998.11</v>
      </c>
      <c r="K20" s="336">
        <v>4320.7299999999996</v>
      </c>
      <c r="L20" s="336">
        <v>4701.21</v>
      </c>
      <c r="M20" s="337">
        <v>5037.1099999999997</v>
      </c>
    </row>
    <row r="21" spans="1:26" ht="15.75" customHeight="1" x14ac:dyDescent="0.25"/>
    <row r="22" spans="1:26" ht="30" customHeight="1" x14ac:dyDescent="0.6">
      <c r="A22" s="464" t="s">
        <v>199</v>
      </c>
      <c r="B22" s="450"/>
      <c r="C22" s="450"/>
      <c r="D22" s="450"/>
      <c r="E22" s="450"/>
      <c r="F22" s="450"/>
      <c r="G22" s="450"/>
      <c r="H22" s="450"/>
      <c r="I22" s="450"/>
      <c r="J22" s="450"/>
      <c r="K22" s="450"/>
      <c r="L22" s="450"/>
      <c r="M22" s="451"/>
      <c r="N22" s="48"/>
    </row>
    <row r="23" spans="1:26" ht="30" customHeight="1" x14ac:dyDescent="0.5">
      <c r="A23" s="194"/>
      <c r="B23" s="340">
        <v>37257</v>
      </c>
      <c r="C23" s="311">
        <v>37288</v>
      </c>
      <c r="D23" s="311">
        <v>37316</v>
      </c>
      <c r="E23" s="311">
        <v>37347</v>
      </c>
      <c r="F23" s="311">
        <v>37377</v>
      </c>
      <c r="G23" s="311">
        <v>37408</v>
      </c>
      <c r="H23" s="311">
        <v>37438</v>
      </c>
      <c r="I23" s="311">
        <v>37469</v>
      </c>
      <c r="J23" s="311">
        <v>37500</v>
      </c>
      <c r="K23" s="311">
        <v>37530</v>
      </c>
      <c r="L23" s="311">
        <v>37561</v>
      </c>
      <c r="M23" s="312">
        <v>37591</v>
      </c>
      <c r="N23" s="4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30" customHeight="1" x14ac:dyDescent="0.5">
      <c r="A24" s="341" t="s">
        <v>40</v>
      </c>
      <c r="B24" s="326">
        <v>2166</v>
      </c>
      <c r="C24" s="326">
        <v>2578</v>
      </c>
      <c r="D24" s="326">
        <v>3013</v>
      </c>
      <c r="E24" s="326">
        <v>3425</v>
      </c>
      <c r="F24" s="326">
        <v>3851</v>
      </c>
      <c r="G24" s="326">
        <v>4234</v>
      </c>
      <c r="H24" s="326">
        <v>4592</v>
      </c>
      <c r="I24" s="326">
        <v>4978</v>
      </c>
      <c r="J24" s="326">
        <v>5300</v>
      </c>
      <c r="K24" s="326">
        <v>5705</v>
      </c>
      <c r="L24" s="326">
        <v>6163</v>
      </c>
      <c r="M24" s="342">
        <v>6593</v>
      </c>
    </row>
    <row r="25" spans="1:26" ht="30" customHeight="1" x14ac:dyDescent="0.5">
      <c r="A25" s="343" t="s">
        <v>109</v>
      </c>
      <c r="B25" s="320">
        <v>2571</v>
      </c>
      <c r="C25" s="320">
        <v>2841</v>
      </c>
      <c r="D25" s="320">
        <v>3081</v>
      </c>
      <c r="E25" s="320">
        <v>3292</v>
      </c>
      <c r="F25" s="320">
        <v>3539</v>
      </c>
      <c r="G25" s="320">
        <v>3809</v>
      </c>
      <c r="H25" s="320">
        <v>4051</v>
      </c>
      <c r="I25" s="320">
        <v>4344</v>
      </c>
      <c r="J25" s="320">
        <v>4563</v>
      </c>
      <c r="K25" s="320">
        <v>4880</v>
      </c>
      <c r="L25" s="320">
        <v>5097</v>
      </c>
      <c r="M25" s="344">
        <v>5304</v>
      </c>
    </row>
    <row r="26" spans="1:26" ht="30" customHeight="1" x14ac:dyDescent="0.5">
      <c r="A26" s="343" t="s">
        <v>182</v>
      </c>
      <c r="B26" s="320">
        <v>10031</v>
      </c>
      <c r="C26" s="320">
        <v>10787</v>
      </c>
      <c r="D26" s="320">
        <v>11486</v>
      </c>
      <c r="E26" s="320">
        <v>12193</v>
      </c>
      <c r="F26" s="320">
        <v>12924</v>
      </c>
      <c r="G26" s="320">
        <v>13636</v>
      </c>
      <c r="H26" s="320">
        <v>14269</v>
      </c>
      <c r="I26" s="320">
        <v>15035</v>
      </c>
      <c r="J26" s="320">
        <v>15614</v>
      </c>
      <c r="K26" s="320">
        <v>16295</v>
      </c>
      <c r="L26" s="320">
        <v>17065</v>
      </c>
      <c r="M26" s="344">
        <v>17748</v>
      </c>
    </row>
    <row r="27" spans="1:26" ht="30" customHeight="1" x14ac:dyDescent="0.5">
      <c r="A27" s="345" t="s">
        <v>200</v>
      </c>
      <c r="B27" s="331">
        <v>579</v>
      </c>
      <c r="C27" s="331">
        <v>657</v>
      </c>
      <c r="D27" s="331">
        <v>698</v>
      </c>
      <c r="E27" s="331">
        <v>775</v>
      </c>
      <c r="F27" s="331">
        <v>837</v>
      </c>
      <c r="G27" s="331">
        <v>901</v>
      </c>
      <c r="H27" s="331">
        <v>941</v>
      </c>
      <c r="I27" s="331">
        <v>1030</v>
      </c>
      <c r="J27" s="331">
        <v>1067</v>
      </c>
      <c r="K27" s="331">
        <v>1103</v>
      </c>
      <c r="L27" s="331">
        <v>1144</v>
      </c>
      <c r="M27" s="346">
        <v>1187</v>
      </c>
    </row>
    <row r="28" spans="1:26" ht="30" customHeight="1" x14ac:dyDescent="0.5">
      <c r="A28" s="339" t="s">
        <v>68</v>
      </c>
      <c r="B28" s="347">
        <f t="shared" ref="B28:M28" si="1">+SUM(B24:B27)</f>
        <v>15347</v>
      </c>
      <c r="C28" s="347">
        <f t="shared" si="1"/>
        <v>16863</v>
      </c>
      <c r="D28" s="347">
        <f t="shared" si="1"/>
        <v>18278</v>
      </c>
      <c r="E28" s="347">
        <f t="shared" si="1"/>
        <v>19685</v>
      </c>
      <c r="F28" s="347">
        <f t="shared" si="1"/>
        <v>21151</v>
      </c>
      <c r="G28" s="347">
        <f t="shared" si="1"/>
        <v>22580</v>
      </c>
      <c r="H28" s="347">
        <f t="shared" si="1"/>
        <v>23853</v>
      </c>
      <c r="I28" s="347">
        <f t="shared" si="1"/>
        <v>25387</v>
      </c>
      <c r="J28" s="347">
        <f t="shared" si="1"/>
        <v>26544</v>
      </c>
      <c r="K28" s="347">
        <f t="shared" si="1"/>
        <v>27983</v>
      </c>
      <c r="L28" s="347">
        <f t="shared" si="1"/>
        <v>29469</v>
      </c>
      <c r="M28" s="348">
        <f t="shared" si="1"/>
        <v>30832</v>
      </c>
    </row>
    <row r="29" spans="1:26" ht="12.75" customHeight="1" x14ac:dyDescent="0.25"/>
    <row r="30" spans="1:26" ht="12.75" customHeight="1" x14ac:dyDescent="0.6">
      <c r="A30" s="464" t="s">
        <v>201</v>
      </c>
      <c r="B30" s="450"/>
      <c r="C30" s="450"/>
      <c r="D30" s="450"/>
      <c r="E30" s="450"/>
      <c r="F30" s="450"/>
      <c r="G30" s="450"/>
      <c r="H30" s="450"/>
      <c r="I30" s="450"/>
      <c r="J30" s="450"/>
      <c r="K30" s="450"/>
      <c r="L30" s="450"/>
      <c r="M30" s="451"/>
    </row>
    <row r="31" spans="1:26" ht="12.75" customHeight="1" x14ac:dyDescent="0.5">
      <c r="A31" s="349"/>
      <c r="B31" s="350">
        <v>37257</v>
      </c>
      <c r="C31" s="350">
        <v>37288</v>
      </c>
      <c r="D31" s="350">
        <v>37316</v>
      </c>
      <c r="E31" s="350">
        <v>37347</v>
      </c>
      <c r="F31" s="350">
        <v>37377</v>
      </c>
      <c r="G31" s="350">
        <v>37408</v>
      </c>
      <c r="H31" s="350">
        <v>37438</v>
      </c>
      <c r="I31" s="350">
        <v>37469</v>
      </c>
      <c r="J31" s="350">
        <v>37500</v>
      </c>
      <c r="K31" s="350">
        <v>37530</v>
      </c>
      <c r="L31" s="350">
        <v>37561</v>
      </c>
      <c r="M31" s="351">
        <v>37591</v>
      </c>
    </row>
    <row r="32" spans="1:26" ht="12.75" customHeight="1" x14ac:dyDescent="0.5">
      <c r="A32" s="352" t="s">
        <v>202</v>
      </c>
      <c r="B32" s="315" t="s">
        <v>203</v>
      </c>
      <c r="C32" s="315" t="s">
        <v>204</v>
      </c>
      <c r="D32" s="315" t="s">
        <v>204</v>
      </c>
      <c r="E32" s="315" t="s">
        <v>205</v>
      </c>
      <c r="F32" s="315" t="s">
        <v>206</v>
      </c>
      <c r="G32" s="315" t="s">
        <v>207</v>
      </c>
      <c r="H32" s="315" t="s">
        <v>208</v>
      </c>
      <c r="I32" s="315" t="s">
        <v>206</v>
      </c>
      <c r="J32" s="315" t="s">
        <v>206</v>
      </c>
      <c r="K32" s="353" t="s">
        <v>209</v>
      </c>
      <c r="L32" s="353"/>
      <c r="M32" s="318" t="s">
        <v>210</v>
      </c>
    </row>
    <row r="33" spans="1:13" ht="12.75" customHeight="1" x14ac:dyDescent="0.5">
      <c r="A33" s="345" t="s">
        <v>211</v>
      </c>
      <c r="B33" s="331" t="s">
        <v>212</v>
      </c>
      <c r="C33" s="331" t="s">
        <v>212</v>
      </c>
      <c r="D33" s="331" t="s">
        <v>212</v>
      </c>
      <c r="E33" s="331" t="s">
        <v>212</v>
      </c>
      <c r="F33" s="331" t="s">
        <v>213</v>
      </c>
      <c r="G33" s="331" t="s">
        <v>213</v>
      </c>
      <c r="H33" s="331" t="s">
        <v>213</v>
      </c>
      <c r="I33" s="331" t="s">
        <v>213</v>
      </c>
      <c r="J33" s="331" t="s">
        <v>213</v>
      </c>
      <c r="K33" s="331" t="s">
        <v>213</v>
      </c>
      <c r="L33" s="354"/>
      <c r="M33" s="346" t="s">
        <v>213</v>
      </c>
    </row>
    <row r="34" spans="1:13" ht="12.75" customHeight="1" x14ac:dyDescent="0.25"/>
    <row r="35" spans="1:13" ht="12.75" customHeight="1" x14ac:dyDescent="0.6">
      <c r="A35" s="464" t="s">
        <v>214</v>
      </c>
      <c r="B35" s="450"/>
      <c r="C35" s="450"/>
      <c r="D35" s="450"/>
      <c r="E35" s="450"/>
      <c r="F35" s="450"/>
      <c r="G35" s="450"/>
      <c r="H35" s="450"/>
      <c r="I35" s="450"/>
      <c r="J35" s="450"/>
      <c r="K35" s="450"/>
      <c r="L35" s="450"/>
      <c r="M35" s="451"/>
    </row>
    <row r="36" spans="1:13" ht="12.75" customHeight="1" x14ac:dyDescent="0.5">
      <c r="A36" s="349"/>
      <c r="B36" s="350"/>
      <c r="C36" s="350">
        <v>37869</v>
      </c>
      <c r="D36" s="350">
        <v>37870</v>
      </c>
      <c r="E36" s="350">
        <v>37871</v>
      </c>
      <c r="F36" s="350">
        <v>37872</v>
      </c>
      <c r="G36" s="350">
        <v>37873</v>
      </c>
      <c r="H36" s="350">
        <v>37874</v>
      </c>
      <c r="I36" s="350">
        <v>37875</v>
      </c>
      <c r="J36" s="350">
        <v>37876</v>
      </c>
      <c r="K36" s="350">
        <v>37877</v>
      </c>
      <c r="L36" s="350">
        <v>37878</v>
      </c>
      <c r="M36" s="351">
        <v>37879</v>
      </c>
    </row>
    <row r="37" spans="1:13" ht="44.25" customHeight="1" x14ac:dyDescent="0.5">
      <c r="A37" s="465" t="s">
        <v>215</v>
      </c>
      <c r="B37" s="355" t="s">
        <v>216</v>
      </c>
      <c r="C37" s="356"/>
      <c r="D37" s="357"/>
      <c r="E37" s="357"/>
      <c r="F37" s="357"/>
      <c r="G37" s="357"/>
      <c r="H37" s="357"/>
      <c r="I37" s="357"/>
      <c r="J37" s="357"/>
      <c r="K37" s="357"/>
      <c r="L37" s="357"/>
      <c r="M37" s="358"/>
    </row>
    <row r="38" spans="1:13" ht="44.25" customHeight="1" x14ac:dyDescent="0.5">
      <c r="A38" s="466"/>
      <c r="B38" s="359" t="s">
        <v>217</v>
      </c>
      <c r="C38" s="360"/>
      <c r="D38" s="361"/>
      <c r="E38" s="361"/>
      <c r="F38" s="361"/>
      <c r="G38" s="361"/>
      <c r="H38" s="361"/>
      <c r="I38" s="361"/>
      <c r="J38" s="361"/>
      <c r="K38" s="361"/>
      <c r="L38" s="361"/>
      <c r="M38" s="362"/>
    </row>
    <row r="39" spans="1:13" ht="44.25" customHeight="1" x14ac:dyDescent="0.5">
      <c r="A39" s="467"/>
      <c r="B39" s="342" t="s">
        <v>218</v>
      </c>
      <c r="C39" s="363"/>
      <c r="D39" s="326"/>
      <c r="E39" s="326"/>
      <c r="F39" s="326"/>
      <c r="G39" s="326"/>
      <c r="H39" s="326"/>
      <c r="I39" s="326"/>
      <c r="J39" s="326"/>
      <c r="K39" s="364"/>
      <c r="L39" s="364"/>
      <c r="M39" s="329"/>
    </row>
    <row r="40" spans="1:13" ht="12.75" customHeight="1" x14ac:dyDescent="0.5">
      <c r="A40" s="365" t="s">
        <v>219</v>
      </c>
      <c r="B40" s="348"/>
      <c r="C40" s="366">
        <v>28</v>
      </c>
      <c r="D40" s="347">
        <v>28</v>
      </c>
      <c r="E40" s="347">
        <v>28</v>
      </c>
      <c r="F40" s="347">
        <v>28</v>
      </c>
      <c r="G40" s="347">
        <v>28</v>
      </c>
      <c r="H40" s="347">
        <v>28</v>
      </c>
      <c r="I40" s="347">
        <v>28</v>
      </c>
      <c r="J40" s="347">
        <v>28</v>
      </c>
      <c r="K40" s="347">
        <v>28</v>
      </c>
      <c r="L40" s="347">
        <v>28</v>
      </c>
      <c r="M40" s="348">
        <v>28</v>
      </c>
    </row>
    <row r="41" spans="1:13" ht="12.75" customHeight="1" x14ac:dyDescent="0.25"/>
    <row r="42" spans="1:13" ht="12.75" customHeight="1" x14ac:dyDescent="0.25"/>
    <row r="43" spans="1:13" ht="12.75" customHeight="1" x14ac:dyDescent="0.25"/>
    <row r="44" spans="1:13" ht="12.75" customHeight="1" x14ac:dyDescent="0.25"/>
    <row r="45" spans="1:13" ht="12.75" customHeight="1" x14ac:dyDescent="0.25"/>
    <row r="46" spans="1:13" ht="12.75" customHeight="1" x14ac:dyDescent="0.25"/>
    <row r="47" spans="1:13" ht="12.75" customHeight="1" x14ac:dyDescent="0.25"/>
    <row r="48" spans="1:13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35:M35"/>
    <mergeCell ref="A37:A39"/>
    <mergeCell ref="A1:M1"/>
    <mergeCell ref="A4:M4"/>
    <mergeCell ref="A18:M18"/>
    <mergeCell ref="A22:M22"/>
    <mergeCell ref="A30:M30"/>
  </mergeCells>
  <printOptions horizontalCentered="1"/>
  <pageMargins left="0" right="0" top="1.7716535433070868" bottom="0.39370078740157483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6328125" defaultRowHeight="15" customHeight="1" x14ac:dyDescent="0.25"/>
  <cols>
    <col min="1" max="1" width="27.90625" customWidth="1"/>
    <col min="2" max="2" width="19.08984375" customWidth="1"/>
    <col min="3" max="3" width="18" customWidth="1"/>
    <col min="4" max="4" width="19.08984375" customWidth="1"/>
    <col min="5" max="5" width="18.90625" customWidth="1"/>
    <col min="6" max="6" width="18.36328125" customWidth="1"/>
    <col min="7" max="7" width="18" customWidth="1"/>
    <col min="8" max="8" width="20" customWidth="1"/>
    <col min="9" max="9" width="19.453125" customWidth="1"/>
    <col min="10" max="10" width="17.6328125" customWidth="1"/>
    <col min="11" max="11" width="18.90625" customWidth="1"/>
    <col min="12" max="12" width="18" customWidth="1"/>
    <col min="13" max="13" width="19.6328125" customWidth="1"/>
    <col min="14" max="26" width="8.453125" customWidth="1"/>
  </cols>
  <sheetData>
    <row r="1" spans="1:26" ht="12.75" customHeight="1" x14ac:dyDescent="0.65">
      <c r="A1" s="463" t="s">
        <v>220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1"/>
    </row>
    <row r="2" spans="1:26" ht="12.75" customHeight="1" x14ac:dyDescent="0.25"/>
    <row r="3" spans="1:26" ht="12.75" customHeight="1" x14ac:dyDescent="0.25"/>
    <row r="4" spans="1:26" ht="30" customHeight="1" x14ac:dyDescent="0.6">
      <c r="A4" s="464" t="s">
        <v>188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1"/>
    </row>
    <row r="5" spans="1:26" ht="30" customHeight="1" x14ac:dyDescent="0.5">
      <c r="A5" s="367"/>
      <c r="B5" s="350">
        <v>37257</v>
      </c>
      <c r="C5" s="350">
        <v>37288</v>
      </c>
      <c r="D5" s="350">
        <v>37316</v>
      </c>
      <c r="E5" s="350">
        <v>37347</v>
      </c>
      <c r="F5" s="368">
        <v>38106</v>
      </c>
      <c r="G5" s="368">
        <v>38135</v>
      </c>
      <c r="H5" s="368">
        <v>38167</v>
      </c>
      <c r="I5" s="368">
        <v>38197</v>
      </c>
      <c r="J5" s="368">
        <v>38228</v>
      </c>
      <c r="K5" s="368">
        <v>38259</v>
      </c>
      <c r="L5" s="368">
        <v>38289</v>
      </c>
      <c r="M5" s="369">
        <v>38320</v>
      </c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 spans="1:26" ht="30" customHeight="1" x14ac:dyDescent="0.5">
      <c r="A6" s="313" t="s">
        <v>189</v>
      </c>
      <c r="B6" s="314">
        <v>7230</v>
      </c>
      <c r="C6" s="314">
        <v>7433.1</v>
      </c>
      <c r="D6" s="314">
        <v>7552.8</v>
      </c>
      <c r="E6" s="314">
        <v>7769.7</v>
      </c>
      <c r="F6" s="314">
        <v>7921</v>
      </c>
      <c r="G6" s="314">
        <v>8050.6</v>
      </c>
      <c r="H6" s="314">
        <v>8180.9</v>
      </c>
      <c r="I6" s="315">
        <v>8297.5</v>
      </c>
      <c r="J6" s="315">
        <v>8431.9</v>
      </c>
      <c r="K6" s="316">
        <v>8574.2000000000007</v>
      </c>
      <c r="L6" s="317">
        <v>8723.2999999999993</v>
      </c>
      <c r="M6" s="318">
        <v>8837.2000000000007</v>
      </c>
    </row>
    <row r="7" spans="1:26" ht="30" customHeight="1" x14ac:dyDescent="0.5">
      <c r="A7" s="286" t="s">
        <v>190</v>
      </c>
      <c r="B7" s="319">
        <v>759.34</v>
      </c>
      <c r="C7" s="319">
        <v>836.95</v>
      </c>
      <c r="D7" s="319">
        <v>866.98</v>
      </c>
      <c r="E7" s="319">
        <v>930.13</v>
      </c>
      <c r="F7" s="319">
        <v>946.82</v>
      </c>
      <c r="G7" s="319">
        <v>959.66</v>
      </c>
      <c r="H7" s="319">
        <v>977.92</v>
      </c>
      <c r="I7" s="320">
        <v>1009.44</v>
      </c>
      <c r="J7" s="320">
        <v>1021.74</v>
      </c>
      <c r="K7" s="321">
        <v>1096.8499999999999</v>
      </c>
      <c r="L7" s="322">
        <v>1110.49</v>
      </c>
      <c r="M7" s="323">
        <v>1127.83</v>
      </c>
    </row>
    <row r="8" spans="1:26" ht="30" customHeight="1" x14ac:dyDescent="0.5">
      <c r="A8" s="286" t="s">
        <v>191</v>
      </c>
      <c r="B8" s="319">
        <v>1354.98</v>
      </c>
      <c r="C8" s="319">
        <v>1382.27</v>
      </c>
      <c r="D8" s="319">
        <v>1404.47</v>
      </c>
      <c r="E8" s="319">
        <v>1448.72</v>
      </c>
      <c r="F8" s="319">
        <v>1503.07</v>
      </c>
      <c r="G8" s="319">
        <v>1548.23</v>
      </c>
      <c r="H8" s="319">
        <v>1620</v>
      </c>
      <c r="I8" s="320">
        <v>1702.33</v>
      </c>
      <c r="J8" s="320">
        <v>1769.68</v>
      </c>
      <c r="K8" s="321">
        <v>1858.39</v>
      </c>
      <c r="L8" s="322">
        <v>1918.82</v>
      </c>
      <c r="M8" s="323">
        <v>2000.65</v>
      </c>
    </row>
    <row r="9" spans="1:26" ht="30" customHeight="1" x14ac:dyDescent="0.5">
      <c r="A9" s="286" t="s">
        <v>192</v>
      </c>
      <c r="B9" s="319">
        <v>508.69</v>
      </c>
      <c r="C9" s="319">
        <v>527.1</v>
      </c>
      <c r="D9" s="319">
        <v>550.66</v>
      </c>
      <c r="E9" s="319">
        <v>597.78</v>
      </c>
      <c r="F9" s="319">
        <v>622.20000000000005</v>
      </c>
      <c r="G9" s="319">
        <v>648.19000000000005</v>
      </c>
      <c r="H9" s="319">
        <v>672.71</v>
      </c>
      <c r="I9" s="320">
        <v>699.09</v>
      </c>
      <c r="J9" s="320">
        <v>720.38</v>
      </c>
      <c r="K9" s="321">
        <v>738.56</v>
      </c>
      <c r="L9" s="322">
        <v>760.08</v>
      </c>
      <c r="M9" s="323">
        <v>760.08</v>
      </c>
    </row>
    <row r="10" spans="1:26" ht="30" customHeight="1" x14ac:dyDescent="0.5">
      <c r="A10" s="286" t="s">
        <v>193</v>
      </c>
      <c r="B10" s="319">
        <v>1146.05</v>
      </c>
      <c r="C10" s="319">
        <v>1205.1099999999999</v>
      </c>
      <c r="D10" s="319">
        <v>1247.68</v>
      </c>
      <c r="E10" s="319">
        <v>1303.6099999999999</v>
      </c>
      <c r="F10" s="319">
        <v>1355.07</v>
      </c>
      <c r="G10" s="319">
        <v>1404.93</v>
      </c>
      <c r="H10" s="319">
        <v>1451.26</v>
      </c>
      <c r="I10" s="320">
        <v>1504.02</v>
      </c>
      <c r="J10" s="320">
        <v>1553.4</v>
      </c>
      <c r="K10" s="321">
        <v>1607.84</v>
      </c>
      <c r="L10" s="322">
        <v>1661.58</v>
      </c>
      <c r="M10" s="323">
        <v>1705.81</v>
      </c>
    </row>
    <row r="11" spans="1:26" ht="30" customHeight="1" x14ac:dyDescent="0.5">
      <c r="A11" s="286" t="s">
        <v>194</v>
      </c>
      <c r="B11" s="319">
        <v>899.74</v>
      </c>
      <c r="C11" s="319">
        <v>906.86</v>
      </c>
      <c r="D11" s="319">
        <v>918.95</v>
      </c>
      <c r="E11" s="319">
        <v>925.36</v>
      </c>
      <c r="F11" s="319">
        <v>945.68</v>
      </c>
      <c r="G11" s="319">
        <v>950.9</v>
      </c>
      <c r="H11" s="319">
        <v>964.62</v>
      </c>
      <c r="I11" s="320">
        <v>971.84</v>
      </c>
      <c r="J11" s="320">
        <v>982.5</v>
      </c>
      <c r="K11" s="321">
        <v>1016.27</v>
      </c>
      <c r="L11" s="322">
        <v>1025.05</v>
      </c>
      <c r="M11" s="323">
        <v>1029.24</v>
      </c>
    </row>
    <row r="12" spans="1:26" ht="30" customHeight="1" x14ac:dyDescent="0.5">
      <c r="A12" s="286" t="s">
        <v>195</v>
      </c>
      <c r="B12" s="319">
        <v>284.10000000000002</v>
      </c>
      <c r="C12" s="319">
        <v>310.7</v>
      </c>
      <c r="D12" s="319">
        <v>331.78</v>
      </c>
      <c r="E12" s="319">
        <v>396.61</v>
      </c>
      <c r="F12" s="319">
        <v>455.99</v>
      </c>
      <c r="G12" s="319">
        <v>484.52</v>
      </c>
      <c r="H12" s="319">
        <v>510.93</v>
      </c>
      <c r="I12" s="320">
        <v>546.51</v>
      </c>
      <c r="J12" s="320">
        <v>584.65</v>
      </c>
      <c r="K12" s="321">
        <v>638.62</v>
      </c>
      <c r="L12" s="322">
        <v>680.75</v>
      </c>
      <c r="M12" s="323">
        <v>711.15</v>
      </c>
    </row>
    <row r="13" spans="1:26" ht="30" customHeight="1" x14ac:dyDescent="0.5">
      <c r="A13" s="286" t="s">
        <v>114</v>
      </c>
      <c r="B13" s="319">
        <v>126.4</v>
      </c>
      <c r="C13" s="319">
        <v>138.53</v>
      </c>
      <c r="D13" s="319">
        <v>147.53</v>
      </c>
      <c r="E13" s="319">
        <v>158.77000000000001</v>
      </c>
      <c r="F13" s="319">
        <v>163.9</v>
      </c>
      <c r="G13" s="319">
        <v>168.27</v>
      </c>
      <c r="H13" s="319">
        <v>177.02</v>
      </c>
      <c r="I13" s="320">
        <v>188.16</v>
      </c>
      <c r="J13" s="320">
        <v>205.76</v>
      </c>
      <c r="K13" s="321">
        <v>229.61</v>
      </c>
      <c r="L13" s="322">
        <v>248.02</v>
      </c>
      <c r="M13" s="323">
        <v>262.52</v>
      </c>
    </row>
    <row r="14" spans="1:26" ht="30" customHeight="1" x14ac:dyDescent="0.5">
      <c r="A14" s="286" t="s">
        <v>196</v>
      </c>
      <c r="B14" s="319">
        <v>8.83</v>
      </c>
      <c r="C14" s="319">
        <v>8.98</v>
      </c>
      <c r="D14" s="319">
        <v>9.26</v>
      </c>
      <c r="E14" s="319">
        <v>9.85</v>
      </c>
      <c r="F14" s="319">
        <v>13.92</v>
      </c>
      <c r="G14" s="319">
        <v>24.76</v>
      </c>
      <c r="H14" s="319">
        <v>35.5</v>
      </c>
      <c r="I14" s="319">
        <v>36.74</v>
      </c>
      <c r="J14" s="320">
        <v>44.88</v>
      </c>
      <c r="K14" s="319">
        <v>57.57</v>
      </c>
      <c r="L14" s="322">
        <v>64.52</v>
      </c>
      <c r="M14" s="323">
        <v>66.94</v>
      </c>
    </row>
    <row r="15" spans="1:26" ht="30" customHeight="1" x14ac:dyDescent="0.5">
      <c r="A15" s="293" t="s">
        <v>116</v>
      </c>
      <c r="B15" s="330">
        <v>94.22</v>
      </c>
      <c r="C15" s="330">
        <v>101.26</v>
      </c>
      <c r="D15" s="330">
        <v>107.65</v>
      </c>
      <c r="E15" s="330">
        <v>113.38</v>
      </c>
      <c r="F15" s="330">
        <v>119.26</v>
      </c>
      <c r="G15" s="330">
        <v>124.22</v>
      </c>
      <c r="H15" s="330">
        <v>130.05000000000001</v>
      </c>
      <c r="I15" s="331">
        <v>133.35</v>
      </c>
      <c r="J15" s="331">
        <v>137.03</v>
      </c>
      <c r="K15" s="332">
        <v>141.87</v>
      </c>
      <c r="L15" s="333">
        <v>145.16999999999999</v>
      </c>
      <c r="M15" s="334">
        <v>146.28</v>
      </c>
    </row>
    <row r="16" spans="1:26" ht="30" customHeight="1" x14ac:dyDescent="0.5">
      <c r="A16" s="370" t="s">
        <v>172</v>
      </c>
      <c r="B16" s="371">
        <f t="shared" ref="B16:M16" si="0">+SUM(B6:B15)</f>
        <v>12412.349999999999</v>
      </c>
      <c r="C16" s="371">
        <f t="shared" si="0"/>
        <v>12850.860000000004</v>
      </c>
      <c r="D16" s="371">
        <f t="shared" si="0"/>
        <v>13137.760000000002</v>
      </c>
      <c r="E16" s="371">
        <f t="shared" si="0"/>
        <v>13653.910000000002</v>
      </c>
      <c r="F16" s="371">
        <f t="shared" si="0"/>
        <v>14046.91</v>
      </c>
      <c r="G16" s="371">
        <f t="shared" si="0"/>
        <v>14364.28</v>
      </c>
      <c r="H16" s="371">
        <f t="shared" si="0"/>
        <v>14720.91</v>
      </c>
      <c r="I16" s="371">
        <f t="shared" si="0"/>
        <v>15088.980000000001</v>
      </c>
      <c r="J16" s="371">
        <f t="shared" si="0"/>
        <v>15451.919999999998</v>
      </c>
      <c r="K16" s="371">
        <f t="shared" si="0"/>
        <v>15959.780000000002</v>
      </c>
      <c r="L16" s="371">
        <f t="shared" si="0"/>
        <v>16337.779999999999</v>
      </c>
      <c r="M16" s="372">
        <f t="shared" si="0"/>
        <v>16647.699999999997</v>
      </c>
    </row>
    <row r="18" spans="1:26" ht="30" customHeight="1" x14ac:dyDescent="0.6">
      <c r="A18" s="464" t="s">
        <v>197</v>
      </c>
      <c r="B18" s="450"/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1"/>
    </row>
    <row r="19" spans="1:26" ht="30" customHeight="1" x14ac:dyDescent="0.5">
      <c r="A19" s="349"/>
      <c r="B19" s="350">
        <v>37257</v>
      </c>
      <c r="C19" s="350">
        <v>37288</v>
      </c>
      <c r="D19" s="350">
        <v>37316</v>
      </c>
      <c r="E19" s="350">
        <v>37347</v>
      </c>
      <c r="F19" s="368">
        <v>38106</v>
      </c>
      <c r="G19" s="368">
        <v>38135</v>
      </c>
      <c r="H19" s="368">
        <v>38167</v>
      </c>
      <c r="I19" s="368">
        <v>38197</v>
      </c>
      <c r="J19" s="368">
        <v>38228</v>
      </c>
      <c r="K19" s="368">
        <v>38259</v>
      </c>
      <c r="L19" s="368">
        <v>38289</v>
      </c>
      <c r="M19" s="369">
        <v>38320</v>
      </c>
    </row>
    <row r="20" spans="1:26" ht="30" customHeight="1" x14ac:dyDescent="0.5">
      <c r="A20" s="339" t="s">
        <v>198</v>
      </c>
      <c r="B20" s="336">
        <v>5356.19</v>
      </c>
      <c r="C20" s="336">
        <v>5773.03</v>
      </c>
      <c r="D20" s="336">
        <v>5923.09</v>
      </c>
      <c r="E20" s="336">
        <v>6201.61</v>
      </c>
      <c r="F20" s="347">
        <v>6404.69</v>
      </c>
      <c r="G20" s="336">
        <v>6551.44</v>
      </c>
      <c r="H20" s="336">
        <v>6725.99</v>
      </c>
      <c r="I20" s="336">
        <v>6911.17</v>
      </c>
      <c r="J20" s="347">
        <v>7096.66</v>
      </c>
      <c r="K20" s="336">
        <v>7403.01</v>
      </c>
      <c r="L20" s="336">
        <v>7607.14</v>
      </c>
      <c r="M20" s="337">
        <v>7781.23</v>
      </c>
    </row>
    <row r="21" spans="1:26" ht="15.75" customHeight="1" x14ac:dyDescent="0.25"/>
    <row r="22" spans="1:26" ht="30" customHeight="1" x14ac:dyDescent="0.6">
      <c r="A22" s="464" t="s">
        <v>199</v>
      </c>
      <c r="B22" s="450"/>
      <c r="C22" s="450"/>
      <c r="D22" s="450"/>
      <c r="E22" s="450"/>
      <c r="F22" s="450"/>
      <c r="G22" s="450"/>
      <c r="H22" s="450"/>
      <c r="I22" s="450"/>
      <c r="J22" s="450"/>
      <c r="K22" s="450"/>
      <c r="L22" s="450"/>
      <c r="M22" s="451"/>
      <c r="N22" s="48"/>
    </row>
    <row r="23" spans="1:26" ht="30" customHeight="1" x14ac:dyDescent="0.5">
      <c r="A23" s="63"/>
      <c r="B23" s="373">
        <v>37257</v>
      </c>
      <c r="C23" s="350">
        <v>37288</v>
      </c>
      <c r="D23" s="350">
        <v>37316</v>
      </c>
      <c r="E23" s="350">
        <v>37347</v>
      </c>
      <c r="F23" s="368">
        <v>38106</v>
      </c>
      <c r="G23" s="368">
        <v>38135</v>
      </c>
      <c r="H23" s="368">
        <v>38167</v>
      </c>
      <c r="I23" s="368">
        <v>38197</v>
      </c>
      <c r="J23" s="368">
        <v>38228</v>
      </c>
      <c r="K23" s="368">
        <v>38259</v>
      </c>
      <c r="L23" s="368">
        <v>38289</v>
      </c>
      <c r="M23" s="369">
        <v>38320</v>
      </c>
      <c r="N23" s="48"/>
      <c r="O23" s="374" t="s">
        <v>221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30" customHeight="1" x14ac:dyDescent="0.5">
      <c r="A24" s="352" t="s">
        <v>40</v>
      </c>
      <c r="B24" s="315">
        <v>7065</v>
      </c>
      <c r="C24" s="315">
        <v>7533</v>
      </c>
      <c r="D24" s="315">
        <v>7871</v>
      </c>
      <c r="E24" s="315">
        <v>8287</v>
      </c>
      <c r="F24" s="315">
        <v>8678</v>
      </c>
      <c r="G24" s="315">
        <v>9077</v>
      </c>
      <c r="H24" s="315">
        <v>9454</v>
      </c>
      <c r="I24" s="315">
        <v>9790</v>
      </c>
      <c r="J24" s="315">
        <v>10161</v>
      </c>
      <c r="K24" s="315">
        <v>10571</v>
      </c>
      <c r="L24" s="315">
        <v>11010</v>
      </c>
      <c r="M24" s="375">
        <v>11837</v>
      </c>
    </row>
    <row r="25" spans="1:26" ht="30" customHeight="1" x14ac:dyDescent="0.5">
      <c r="A25" s="343" t="s">
        <v>109</v>
      </c>
      <c r="B25" s="320">
        <v>5571</v>
      </c>
      <c r="C25" s="320">
        <v>5865</v>
      </c>
      <c r="D25" s="320">
        <v>6095</v>
      </c>
      <c r="E25" s="320">
        <v>6375</v>
      </c>
      <c r="F25" s="320">
        <v>6606</v>
      </c>
      <c r="G25" s="320">
        <v>6866</v>
      </c>
      <c r="H25" s="320">
        <v>7091</v>
      </c>
      <c r="I25" s="320">
        <v>7297</v>
      </c>
      <c r="J25" s="320">
        <v>7533</v>
      </c>
      <c r="K25" s="320">
        <v>7780</v>
      </c>
      <c r="L25" s="320">
        <v>8083</v>
      </c>
      <c r="M25" s="344">
        <v>8206</v>
      </c>
    </row>
    <row r="26" spans="1:26" ht="30" customHeight="1" x14ac:dyDescent="0.5">
      <c r="A26" s="343" t="s">
        <v>182</v>
      </c>
      <c r="B26" s="320">
        <v>18534</v>
      </c>
      <c r="C26" s="320">
        <v>19329</v>
      </c>
      <c r="D26" s="320">
        <v>19916</v>
      </c>
      <c r="E26" s="320">
        <v>20680</v>
      </c>
      <c r="F26" s="320">
        <v>21354</v>
      </c>
      <c r="G26" s="320">
        <v>22036</v>
      </c>
      <c r="H26" s="320">
        <v>22701</v>
      </c>
      <c r="I26" s="320">
        <v>23283</v>
      </c>
      <c r="J26" s="320">
        <v>23938</v>
      </c>
      <c r="K26" s="320">
        <v>24638</v>
      </c>
      <c r="L26" s="320">
        <v>25485</v>
      </c>
      <c r="M26" s="344">
        <v>26212</v>
      </c>
    </row>
    <row r="27" spans="1:26" ht="30" customHeight="1" x14ac:dyDescent="0.5">
      <c r="A27" s="345" t="s">
        <v>200</v>
      </c>
      <c r="B27" s="331">
        <v>1234</v>
      </c>
      <c r="C27" s="331">
        <v>1278</v>
      </c>
      <c r="D27" s="331">
        <v>1308</v>
      </c>
      <c r="E27" s="331">
        <v>1387</v>
      </c>
      <c r="F27" s="331">
        <v>1447</v>
      </c>
      <c r="G27" s="331">
        <v>1492</v>
      </c>
      <c r="H27" s="331">
        <v>1525</v>
      </c>
      <c r="I27" s="331">
        <v>1554</v>
      </c>
      <c r="J27" s="331">
        <v>1592</v>
      </c>
      <c r="K27" s="331">
        <v>1635</v>
      </c>
      <c r="L27" s="331">
        <v>1740</v>
      </c>
      <c r="M27" s="346">
        <v>1876</v>
      </c>
    </row>
    <row r="28" spans="1:26" ht="30" customHeight="1" x14ac:dyDescent="0.5">
      <c r="A28" s="376" t="s">
        <v>68</v>
      </c>
      <c r="B28" s="377">
        <f t="shared" ref="B28:H28" si="1">+SUM(B24:B27)</f>
        <v>32404</v>
      </c>
      <c r="C28" s="377">
        <f t="shared" si="1"/>
        <v>34005</v>
      </c>
      <c r="D28" s="377">
        <f t="shared" si="1"/>
        <v>35190</v>
      </c>
      <c r="E28" s="377">
        <f t="shared" si="1"/>
        <v>36729</v>
      </c>
      <c r="F28" s="377">
        <f t="shared" si="1"/>
        <v>38085</v>
      </c>
      <c r="G28" s="377">
        <f t="shared" si="1"/>
        <v>39471</v>
      </c>
      <c r="H28" s="377">
        <f t="shared" si="1"/>
        <v>40771</v>
      </c>
      <c r="I28" s="377">
        <v>41924</v>
      </c>
      <c r="J28" s="377">
        <f t="shared" ref="J28:M28" si="2">+SUM(J24:J27)</f>
        <v>43224</v>
      </c>
      <c r="K28" s="377">
        <f t="shared" si="2"/>
        <v>44624</v>
      </c>
      <c r="L28" s="377">
        <f t="shared" si="2"/>
        <v>46318</v>
      </c>
      <c r="M28" s="378">
        <f t="shared" si="2"/>
        <v>48131</v>
      </c>
    </row>
    <row r="29" spans="1:26" ht="12.75" customHeight="1" x14ac:dyDescent="0.25"/>
    <row r="30" spans="1:26" ht="12.75" hidden="1" customHeight="1" x14ac:dyDescent="0.6">
      <c r="A30" s="464" t="s">
        <v>201</v>
      </c>
      <c r="B30" s="450"/>
      <c r="C30" s="450"/>
      <c r="D30" s="450"/>
      <c r="E30" s="450"/>
      <c r="F30" s="450"/>
      <c r="G30" s="450"/>
      <c r="H30" s="450"/>
      <c r="I30" s="450"/>
      <c r="J30" s="450"/>
      <c r="K30" s="450"/>
      <c r="L30" s="450"/>
      <c r="M30" s="451"/>
    </row>
    <row r="31" spans="1:26" ht="12.75" hidden="1" customHeight="1" x14ac:dyDescent="0.5">
      <c r="A31" s="349"/>
      <c r="B31" s="350">
        <v>37257</v>
      </c>
      <c r="C31" s="350">
        <v>37288</v>
      </c>
      <c r="D31" s="350">
        <v>37316</v>
      </c>
      <c r="E31" s="350">
        <v>37347</v>
      </c>
      <c r="F31" s="379">
        <v>38106</v>
      </c>
      <c r="G31" s="379">
        <v>38135</v>
      </c>
      <c r="H31" s="379">
        <v>38167</v>
      </c>
      <c r="I31" s="379">
        <v>38197</v>
      </c>
      <c r="J31" s="379">
        <v>38228</v>
      </c>
      <c r="K31" s="379">
        <v>38259</v>
      </c>
      <c r="L31" s="379">
        <v>38289</v>
      </c>
      <c r="M31" s="380">
        <v>38320</v>
      </c>
    </row>
    <row r="32" spans="1:26" ht="12.75" hidden="1" customHeight="1" x14ac:dyDescent="0.5">
      <c r="A32" s="352" t="s">
        <v>202</v>
      </c>
      <c r="B32" s="315" t="s">
        <v>81</v>
      </c>
      <c r="C32" s="315" t="s">
        <v>81</v>
      </c>
      <c r="D32" s="315" t="s">
        <v>82</v>
      </c>
      <c r="E32" s="315"/>
      <c r="F32" s="315"/>
      <c r="G32" s="315"/>
      <c r="H32" s="315"/>
      <c r="I32" s="315"/>
      <c r="J32" s="315"/>
      <c r="K32" s="353"/>
      <c r="L32" s="353"/>
      <c r="M32" s="318"/>
    </row>
    <row r="33" spans="1:13" ht="12.75" hidden="1" customHeight="1" x14ac:dyDescent="0.5">
      <c r="A33" s="345" t="s">
        <v>211</v>
      </c>
      <c r="B33" s="331" t="s">
        <v>83</v>
      </c>
      <c r="C33" s="331" t="s">
        <v>83</v>
      </c>
      <c r="D33" s="331" t="s">
        <v>83</v>
      </c>
      <c r="E33" s="331"/>
      <c r="F33" s="331"/>
      <c r="G33" s="331"/>
      <c r="H33" s="331"/>
      <c r="I33" s="331"/>
      <c r="J33" s="331"/>
      <c r="K33" s="331"/>
      <c r="L33" s="354"/>
      <c r="M33" s="346"/>
    </row>
    <row r="34" spans="1:13" ht="12.75" hidden="1" customHeight="1" x14ac:dyDescent="0.25"/>
    <row r="35" spans="1:13" ht="12.75" hidden="1" customHeight="1" x14ac:dyDescent="0.6">
      <c r="A35" s="464" t="s">
        <v>214</v>
      </c>
      <c r="B35" s="450"/>
      <c r="C35" s="450"/>
      <c r="D35" s="450"/>
      <c r="E35" s="450"/>
      <c r="F35" s="450"/>
      <c r="G35" s="450"/>
      <c r="H35" s="450"/>
      <c r="I35" s="450"/>
      <c r="J35" s="450"/>
      <c r="K35" s="450"/>
      <c r="L35" s="450"/>
      <c r="M35" s="451"/>
    </row>
    <row r="36" spans="1:13" ht="12.75" hidden="1" customHeight="1" x14ac:dyDescent="0.5">
      <c r="A36" s="349"/>
      <c r="B36" s="350"/>
      <c r="C36" s="350">
        <v>37869</v>
      </c>
      <c r="D36" s="350">
        <v>37870</v>
      </c>
      <c r="E36" s="350">
        <v>37871</v>
      </c>
      <c r="F36" s="350">
        <v>37872</v>
      </c>
      <c r="G36" s="350">
        <v>37873</v>
      </c>
      <c r="H36" s="350">
        <v>37874</v>
      </c>
      <c r="I36" s="350">
        <v>37875</v>
      </c>
      <c r="J36" s="350">
        <v>37876</v>
      </c>
      <c r="K36" s="350">
        <v>37877</v>
      </c>
      <c r="L36" s="350">
        <v>37878</v>
      </c>
      <c r="M36" s="351">
        <v>37879</v>
      </c>
    </row>
    <row r="37" spans="1:13" ht="44.25" hidden="1" customHeight="1" x14ac:dyDescent="0.5">
      <c r="A37" s="465" t="s">
        <v>215</v>
      </c>
      <c r="B37" s="355" t="s">
        <v>216</v>
      </c>
      <c r="C37" s="356"/>
      <c r="D37" s="357"/>
      <c r="E37" s="357"/>
      <c r="F37" s="357"/>
      <c r="G37" s="357"/>
      <c r="H37" s="357"/>
      <c r="I37" s="357"/>
      <c r="J37" s="357"/>
      <c r="K37" s="357"/>
      <c r="L37" s="357"/>
      <c r="M37" s="358"/>
    </row>
    <row r="38" spans="1:13" ht="44.25" hidden="1" customHeight="1" x14ac:dyDescent="0.5">
      <c r="A38" s="466"/>
      <c r="B38" s="359" t="s">
        <v>217</v>
      </c>
      <c r="C38" s="360"/>
      <c r="D38" s="361"/>
      <c r="E38" s="361"/>
      <c r="F38" s="361"/>
      <c r="G38" s="361"/>
      <c r="H38" s="361"/>
      <c r="I38" s="361"/>
      <c r="J38" s="361"/>
      <c r="K38" s="361"/>
      <c r="L38" s="361"/>
      <c r="M38" s="362"/>
    </row>
    <row r="39" spans="1:13" ht="44.25" hidden="1" customHeight="1" x14ac:dyDescent="0.5">
      <c r="A39" s="467"/>
      <c r="B39" s="342" t="s">
        <v>218</v>
      </c>
      <c r="C39" s="363"/>
      <c r="D39" s="326"/>
      <c r="E39" s="326"/>
      <c r="F39" s="326"/>
      <c r="G39" s="326"/>
      <c r="H39" s="326"/>
      <c r="I39" s="326"/>
      <c r="J39" s="326"/>
      <c r="K39" s="364"/>
      <c r="L39" s="364"/>
      <c r="M39" s="329"/>
    </row>
    <row r="40" spans="1:13" ht="12.75" hidden="1" customHeight="1" x14ac:dyDescent="0.5">
      <c r="A40" s="365" t="s">
        <v>219</v>
      </c>
      <c r="B40" s="348"/>
      <c r="C40" s="366"/>
      <c r="D40" s="347"/>
      <c r="E40" s="347"/>
      <c r="F40" s="347"/>
      <c r="G40" s="347"/>
      <c r="H40" s="347"/>
      <c r="I40" s="347"/>
      <c r="J40" s="347"/>
      <c r="K40" s="347"/>
      <c r="L40" s="347"/>
      <c r="M40" s="348"/>
    </row>
    <row r="41" spans="1:13" ht="12.75" customHeight="1" x14ac:dyDescent="0.25"/>
    <row r="42" spans="1:13" ht="12.75" customHeight="1" x14ac:dyDescent="0.25"/>
    <row r="43" spans="1:13" ht="12.75" customHeight="1" x14ac:dyDescent="0.25"/>
    <row r="44" spans="1:13" ht="12.75" customHeight="1" x14ac:dyDescent="0.25"/>
    <row r="45" spans="1:13" ht="12.75" customHeight="1" x14ac:dyDescent="0.25"/>
    <row r="46" spans="1:13" ht="12.75" customHeight="1" x14ac:dyDescent="0.25"/>
    <row r="47" spans="1:13" ht="12.75" customHeight="1" x14ac:dyDescent="0.25"/>
    <row r="48" spans="1:13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35:M35"/>
    <mergeCell ref="A37:A39"/>
    <mergeCell ref="A1:M1"/>
    <mergeCell ref="A4:M4"/>
    <mergeCell ref="A18:M18"/>
    <mergeCell ref="A22:M22"/>
    <mergeCell ref="A30:M30"/>
  </mergeCells>
  <printOptions horizontalCentered="1"/>
  <pageMargins left="0.39370078740157483" right="0.39370078740157483" top="0.59055118110236227" bottom="0.39370078740157483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328125" defaultRowHeight="15" customHeight="1" x14ac:dyDescent="0.25"/>
  <cols>
    <col min="1" max="1" width="11.453125" customWidth="1"/>
    <col min="2" max="2" width="16.453125" customWidth="1"/>
    <col min="3" max="4" width="11" customWidth="1"/>
    <col min="5" max="5" width="12.453125" customWidth="1"/>
    <col min="6" max="8" width="13.453125" customWidth="1"/>
    <col min="9" max="9" width="11" customWidth="1"/>
    <col min="10" max="26" width="8.453125" customWidth="1"/>
  </cols>
  <sheetData>
    <row r="1" spans="1:26" ht="12.75" customHeight="1" x14ac:dyDescent="0.3">
      <c r="A1" s="468" t="s">
        <v>222</v>
      </c>
      <c r="B1" s="450"/>
      <c r="C1" s="450"/>
      <c r="D1" s="450"/>
      <c r="E1" s="450"/>
      <c r="F1" s="450"/>
      <c r="G1" s="450"/>
      <c r="H1" s="450"/>
      <c r="I1" s="451"/>
    </row>
    <row r="2" spans="1:26" ht="12.75" customHeight="1" x14ac:dyDescent="0.3">
      <c r="A2" s="381"/>
      <c r="B2" s="382"/>
      <c r="C2" s="382"/>
      <c r="D2" s="382"/>
      <c r="E2" s="382"/>
      <c r="F2" s="382"/>
      <c r="G2" s="382"/>
      <c r="H2" s="382"/>
      <c r="I2" s="383"/>
    </row>
    <row r="3" spans="1:26" ht="12.75" customHeight="1" x14ac:dyDescent="0.3">
      <c r="A3" s="381"/>
      <c r="B3" s="382" t="s">
        <v>223</v>
      </c>
      <c r="C3" s="382">
        <v>2003</v>
      </c>
      <c r="D3" s="382">
        <v>2004</v>
      </c>
      <c r="E3" s="382">
        <v>2005</v>
      </c>
      <c r="F3" s="382">
        <v>2006</v>
      </c>
      <c r="G3" s="382">
        <v>2007</v>
      </c>
      <c r="H3" s="382">
        <v>2008</v>
      </c>
      <c r="I3" s="383" t="s">
        <v>172</v>
      </c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</row>
    <row r="4" spans="1:26" ht="12.75" customHeight="1" x14ac:dyDescent="0.3">
      <c r="A4" s="381" t="s">
        <v>224</v>
      </c>
      <c r="B4" s="384">
        <v>156.77000000000001</v>
      </c>
      <c r="C4" s="384">
        <v>466.4</v>
      </c>
      <c r="D4" s="384">
        <v>493.52</v>
      </c>
      <c r="E4" s="384">
        <f>97.7+43.71+34.32+31.4+35.11+35.91+34.38+30.87+31.9</f>
        <v>375.29999999999995</v>
      </c>
      <c r="F4" s="384">
        <f>49.92+26.64+33.53+33.11+34.51+55.65+56.61+20.35+22.39+23.49+23.34+24.48</f>
        <v>404.02</v>
      </c>
      <c r="G4" s="384">
        <f>21.18+29.72+53.23+63.53+30.53+65.58+76.67+79.4+84.32+69.5+71.29+54.47</f>
        <v>699.42000000000007</v>
      </c>
      <c r="H4" s="384">
        <f>53.58+63.38+62.5+58.44+56.02+65.25+64.6+69.74</f>
        <v>493.51</v>
      </c>
      <c r="I4" s="385">
        <f>+SUM(B4:H4)</f>
        <v>3088.9400000000005</v>
      </c>
    </row>
    <row r="5" spans="1:26" ht="12.75" customHeight="1" x14ac:dyDescent="0.3">
      <c r="A5" s="381"/>
      <c r="B5" s="384"/>
      <c r="C5" s="384"/>
      <c r="D5" s="384"/>
      <c r="E5" s="384"/>
      <c r="F5" s="384"/>
      <c r="G5" s="384"/>
      <c r="H5" s="384"/>
      <c r="I5" s="385"/>
    </row>
    <row r="6" spans="1:26" ht="12.75" customHeight="1" x14ac:dyDescent="0.3">
      <c r="A6" s="381"/>
      <c r="B6" s="382" t="s">
        <v>223</v>
      </c>
      <c r="C6" s="382">
        <v>2003</v>
      </c>
      <c r="D6" s="382">
        <v>2004</v>
      </c>
      <c r="E6" s="382" t="s">
        <v>225</v>
      </c>
      <c r="F6" s="382"/>
      <c r="G6" s="382"/>
      <c r="H6" s="382"/>
      <c r="I6" s="383" t="s">
        <v>172</v>
      </c>
    </row>
    <row r="7" spans="1:26" ht="12.75" customHeight="1" x14ac:dyDescent="0.3">
      <c r="A7" s="381" t="s">
        <v>226</v>
      </c>
      <c r="B7" s="384">
        <v>555.66</v>
      </c>
      <c r="C7" s="384">
        <v>1708.26</v>
      </c>
      <c r="D7" s="384">
        <v>1963.74</v>
      </c>
      <c r="E7" s="384">
        <f>926.25+186.12+183.53+195.48+205.5+225.78+188.42</f>
        <v>2111.08</v>
      </c>
      <c r="F7" s="384"/>
      <c r="G7" s="384"/>
      <c r="H7" s="384"/>
      <c r="I7" s="385">
        <f>+SUM(B7:E7)</f>
        <v>6338.74</v>
      </c>
    </row>
    <row r="8" spans="1:26" ht="12.75" customHeight="1" x14ac:dyDescent="0.3">
      <c r="A8" s="381"/>
      <c r="B8" s="384"/>
      <c r="C8" s="384"/>
      <c r="D8" s="384"/>
      <c r="E8" s="384"/>
      <c r="F8" s="384"/>
      <c r="G8" s="384"/>
      <c r="H8" s="384"/>
      <c r="I8" s="385"/>
    </row>
    <row r="9" spans="1:26" ht="12.75" customHeight="1" x14ac:dyDescent="0.3">
      <c r="A9" s="381"/>
      <c r="B9" s="72"/>
      <c r="C9" s="72"/>
      <c r="D9" s="72"/>
      <c r="E9" s="386" t="s">
        <v>172</v>
      </c>
      <c r="F9" s="386"/>
      <c r="G9" s="386"/>
      <c r="H9" s="386"/>
      <c r="I9" s="387">
        <f>+I7+I4</f>
        <v>9427.68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12.75" customHeight="1" x14ac:dyDescent="0.25">
      <c r="A10" s="388" t="s">
        <v>227</v>
      </c>
      <c r="B10" s="48"/>
      <c r="C10" s="48"/>
      <c r="D10" s="48"/>
      <c r="E10" s="48"/>
      <c r="F10" s="48"/>
      <c r="G10" s="48"/>
      <c r="H10" s="48"/>
      <c r="I10" s="124"/>
    </row>
    <row r="11" spans="1:26" ht="12.75" customHeight="1" x14ac:dyDescent="0.25">
      <c r="A11" s="389" t="s">
        <v>228</v>
      </c>
      <c r="B11" s="48"/>
      <c r="C11" s="48"/>
      <c r="D11" s="48"/>
      <c r="E11" s="48"/>
      <c r="F11" s="48"/>
      <c r="G11" s="48"/>
      <c r="H11" s="48"/>
      <c r="I11" s="124"/>
    </row>
    <row r="12" spans="1:26" ht="12.75" customHeight="1" x14ac:dyDescent="0.25">
      <c r="A12" s="388" t="s">
        <v>229</v>
      </c>
      <c r="B12" s="48"/>
      <c r="C12" s="48"/>
      <c r="D12" s="48"/>
      <c r="E12" s="48"/>
      <c r="F12" s="48"/>
      <c r="G12" s="48"/>
      <c r="H12" s="48"/>
      <c r="I12" s="124"/>
    </row>
    <row r="13" spans="1:26" ht="12.75" customHeight="1" x14ac:dyDescent="0.3">
      <c r="A13" s="381"/>
      <c r="B13" s="48"/>
      <c r="C13" s="48"/>
      <c r="D13" s="48"/>
      <c r="E13" s="48"/>
      <c r="F13" s="48"/>
      <c r="G13" s="48"/>
      <c r="H13" s="48"/>
      <c r="I13" s="124"/>
    </row>
    <row r="14" spans="1:26" ht="12.75" customHeight="1" x14ac:dyDescent="0.3">
      <c r="A14" s="390">
        <f>-I9</f>
        <v>-9427.68</v>
      </c>
      <c r="B14" s="9" t="s">
        <v>230</v>
      </c>
      <c r="C14" s="48"/>
      <c r="D14" s="48"/>
      <c r="E14" s="48"/>
      <c r="F14" s="48"/>
      <c r="G14" s="48"/>
      <c r="H14" s="48"/>
      <c r="I14" s="124"/>
    </row>
    <row r="15" spans="1:26" ht="12.75" customHeight="1" x14ac:dyDescent="0.3">
      <c r="A15" s="390">
        <v>700</v>
      </c>
      <c r="B15" s="391" t="s">
        <v>231</v>
      </c>
      <c r="C15" s="48"/>
      <c r="D15" s="48"/>
      <c r="E15" s="48"/>
      <c r="F15" s="48"/>
      <c r="G15" s="48"/>
      <c r="H15" s="48"/>
      <c r="I15" s="124"/>
    </row>
    <row r="16" spans="1:26" ht="12.75" customHeight="1" x14ac:dyDescent="0.3">
      <c r="A16" s="392">
        <f>+A15-I9</f>
        <v>-8727.68</v>
      </c>
      <c r="B16" s="393" t="s">
        <v>232</v>
      </c>
      <c r="C16" s="394"/>
      <c r="D16" s="394"/>
      <c r="E16" s="394"/>
      <c r="F16" s="394"/>
      <c r="G16" s="394"/>
      <c r="H16" s="394"/>
      <c r="I16" s="395"/>
    </row>
    <row r="17" spans="1:1" ht="12.75" customHeight="1" x14ac:dyDescent="0.3">
      <c r="A17" s="382"/>
    </row>
    <row r="18" spans="1:1" ht="12.75" customHeight="1" x14ac:dyDescent="0.3">
      <c r="A18" s="382"/>
    </row>
    <row r="19" spans="1:1" ht="12.75" customHeight="1" x14ac:dyDescent="0.3">
      <c r="A19" s="382"/>
    </row>
    <row r="20" spans="1:1" ht="12.75" customHeight="1" x14ac:dyDescent="0.3">
      <c r="A20" s="382"/>
    </row>
    <row r="21" spans="1:1" ht="12.75" customHeight="1" x14ac:dyDescent="0.3">
      <c r="A21" s="382"/>
    </row>
    <row r="22" spans="1:1" ht="12.75" customHeight="1" x14ac:dyDescent="0.3">
      <c r="A22" s="382"/>
    </row>
    <row r="23" spans="1:1" ht="12.75" customHeight="1" x14ac:dyDescent="0.3">
      <c r="A23" s="382"/>
    </row>
    <row r="24" spans="1:1" ht="12.75" customHeight="1" x14ac:dyDescent="0.3">
      <c r="A24" s="382"/>
    </row>
    <row r="25" spans="1:1" ht="12.75" customHeight="1" x14ac:dyDescent="0.3">
      <c r="A25" s="382"/>
    </row>
    <row r="26" spans="1:1" ht="12.75" customHeight="1" x14ac:dyDescent="0.3">
      <c r="A26" s="382"/>
    </row>
    <row r="27" spans="1:1" ht="12.75" customHeight="1" x14ac:dyDescent="0.3">
      <c r="A27" s="382"/>
    </row>
    <row r="28" spans="1:1" ht="12.75" customHeight="1" x14ac:dyDescent="0.3">
      <c r="A28" s="382"/>
    </row>
    <row r="29" spans="1:1" ht="12.75" customHeight="1" x14ac:dyDescent="0.3">
      <c r="A29" s="382"/>
    </row>
    <row r="30" spans="1:1" ht="12.75" customHeight="1" x14ac:dyDescent="0.3">
      <c r="A30" s="382"/>
    </row>
    <row r="31" spans="1:1" ht="12.75" customHeight="1" x14ac:dyDescent="0.3">
      <c r="A31" s="382"/>
    </row>
    <row r="32" spans="1:1" ht="12.75" customHeight="1" x14ac:dyDescent="0.3">
      <c r="A32" s="382"/>
    </row>
    <row r="33" spans="1:1" ht="12.75" customHeight="1" x14ac:dyDescent="0.3">
      <c r="A33" s="382"/>
    </row>
    <row r="34" spans="1:1" ht="12.75" customHeight="1" x14ac:dyDescent="0.3">
      <c r="A34" s="382"/>
    </row>
    <row r="35" spans="1:1" ht="12.75" customHeight="1" x14ac:dyDescent="0.3">
      <c r="A35" s="382"/>
    </row>
    <row r="36" spans="1:1" ht="12.75" customHeight="1" x14ac:dyDescent="0.3">
      <c r="A36" s="382"/>
    </row>
    <row r="37" spans="1:1" ht="12.75" customHeight="1" x14ac:dyDescent="0.3">
      <c r="A37" s="382"/>
    </row>
    <row r="38" spans="1:1" ht="12.75" customHeight="1" x14ac:dyDescent="0.3">
      <c r="A38" s="382"/>
    </row>
    <row r="39" spans="1:1" ht="12.75" customHeight="1" x14ac:dyDescent="0.3">
      <c r="A39" s="382"/>
    </row>
    <row r="40" spans="1:1" ht="12.75" customHeight="1" x14ac:dyDescent="0.3">
      <c r="A40" s="382"/>
    </row>
    <row r="41" spans="1:1" ht="12.75" customHeight="1" x14ac:dyDescent="0.3">
      <c r="A41" s="382"/>
    </row>
    <row r="42" spans="1:1" ht="12.75" customHeight="1" x14ac:dyDescent="0.3">
      <c r="A42" s="382"/>
    </row>
    <row r="43" spans="1:1" ht="12.75" customHeight="1" x14ac:dyDescent="0.3">
      <c r="A43" s="382"/>
    </row>
    <row r="44" spans="1:1" ht="12.75" customHeight="1" x14ac:dyDescent="0.3">
      <c r="A44" s="382"/>
    </row>
    <row r="45" spans="1:1" ht="12.75" customHeight="1" x14ac:dyDescent="0.3">
      <c r="A45" s="382"/>
    </row>
    <row r="46" spans="1:1" ht="12.75" customHeight="1" x14ac:dyDescent="0.3">
      <c r="A46" s="382"/>
    </row>
    <row r="47" spans="1:1" ht="12.75" customHeight="1" x14ac:dyDescent="0.3">
      <c r="A47" s="382"/>
    </row>
    <row r="48" spans="1:1" ht="12.75" customHeight="1" x14ac:dyDescent="0.3">
      <c r="A48" s="382"/>
    </row>
    <row r="49" spans="1:1" ht="12.75" customHeight="1" x14ac:dyDescent="0.3">
      <c r="A49" s="382"/>
    </row>
    <row r="50" spans="1:1" ht="12.75" customHeight="1" x14ac:dyDescent="0.3">
      <c r="A50" s="382"/>
    </row>
    <row r="51" spans="1:1" ht="12.75" customHeight="1" x14ac:dyDescent="0.3">
      <c r="A51" s="382"/>
    </row>
    <row r="52" spans="1:1" ht="12.75" customHeight="1" x14ac:dyDescent="0.3">
      <c r="A52" s="382"/>
    </row>
    <row r="53" spans="1:1" ht="12.75" customHeight="1" x14ac:dyDescent="0.3">
      <c r="A53" s="382"/>
    </row>
    <row r="54" spans="1:1" ht="12.75" customHeight="1" x14ac:dyDescent="0.3">
      <c r="A54" s="382"/>
    </row>
    <row r="55" spans="1:1" ht="12.75" customHeight="1" x14ac:dyDescent="0.3">
      <c r="A55" s="382"/>
    </row>
    <row r="56" spans="1:1" ht="12.75" customHeight="1" x14ac:dyDescent="0.3">
      <c r="A56" s="382"/>
    </row>
    <row r="57" spans="1:1" ht="12.75" customHeight="1" x14ac:dyDescent="0.3">
      <c r="A57" s="382"/>
    </row>
    <row r="58" spans="1:1" ht="12.75" customHeight="1" x14ac:dyDescent="0.3">
      <c r="A58" s="382"/>
    </row>
    <row r="59" spans="1:1" ht="12.75" customHeight="1" x14ac:dyDescent="0.3">
      <c r="A59" s="382"/>
    </row>
    <row r="60" spans="1:1" ht="12.75" customHeight="1" x14ac:dyDescent="0.3">
      <c r="A60" s="382"/>
    </row>
    <row r="61" spans="1:1" ht="12.75" customHeight="1" x14ac:dyDescent="0.3">
      <c r="A61" s="382"/>
    </row>
    <row r="62" spans="1:1" ht="12.75" customHeight="1" x14ac:dyDescent="0.3">
      <c r="A62" s="382"/>
    </row>
    <row r="63" spans="1:1" ht="12.75" customHeight="1" x14ac:dyDescent="0.3">
      <c r="A63" s="382"/>
    </row>
    <row r="64" spans="1:1" ht="12.75" customHeight="1" x14ac:dyDescent="0.3">
      <c r="A64" s="382"/>
    </row>
    <row r="65" spans="1:1" ht="12.75" customHeight="1" x14ac:dyDescent="0.3">
      <c r="A65" s="382"/>
    </row>
    <row r="66" spans="1:1" ht="12.75" customHeight="1" x14ac:dyDescent="0.3">
      <c r="A66" s="382"/>
    </row>
    <row r="67" spans="1:1" ht="12.75" customHeight="1" x14ac:dyDescent="0.3">
      <c r="A67" s="382"/>
    </row>
    <row r="68" spans="1:1" ht="12.75" customHeight="1" x14ac:dyDescent="0.3">
      <c r="A68" s="382"/>
    </row>
    <row r="69" spans="1:1" ht="12.75" customHeight="1" x14ac:dyDescent="0.3">
      <c r="A69" s="382"/>
    </row>
    <row r="70" spans="1:1" ht="12.75" customHeight="1" x14ac:dyDescent="0.3">
      <c r="A70" s="382"/>
    </row>
    <row r="71" spans="1:1" ht="12.75" customHeight="1" x14ac:dyDescent="0.3">
      <c r="A71" s="382"/>
    </row>
    <row r="72" spans="1:1" ht="12.75" customHeight="1" x14ac:dyDescent="0.3">
      <c r="A72" s="382"/>
    </row>
    <row r="73" spans="1:1" ht="12.75" customHeight="1" x14ac:dyDescent="0.3">
      <c r="A73" s="382"/>
    </row>
    <row r="74" spans="1:1" ht="12.75" customHeight="1" x14ac:dyDescent="0.3">
      <c r="A74" s="382"/>
    </row>
    <row r="75" spans="1:1" ht="12.75" customHeight="1" x14ac:dyDescent="0.3">
      <c r="A75" s="382"/>
    </row>
    <row r="76" spans="1:1" ht="12.75" customHeight="1" x14ac:dyDescent="0.3">
      <c r="A76" s="382"/>
    </row>
    <row r="77" spans="1:1" ht="12.75" customHeight="1" x14ac:dyDescent="0.3">
      <c r="A77" s="382"/>
    </row>
    <row r="78" spans="1:1" ht="12.75" customHeight="1" x14ac:dyDescent="0.3">
      <c r="A78" s="382"/>
    </row>
    <row r="79" spans="1:1" ht="12.75" customHeight="1" x14ac:dyDescent="0.3">
      <c r="A79" s="382"/>
    </row>
    <row r="80" spans="1:1" ht="12.75" customHeight="1" x14ac:dyDescent="0.3">
      <c r="A80" s="382"/>
    </row>
    <row r="81" spans="1:1" ht="12.75" customHeight="1" x14ac:dyDescent="0.3">
      <c r="A81" s="382"/>
    </row>
    <row r="82" spans="1:1" ht="12.75" customHeight="1" x14ac:dyDescent="0.3">
      <c r="A82" s="382"/>
    </row>
    <row r="83" spans="1:1" ht="12.75" customHeight="1" x14ac:dyDescent="0.3">
      <c r="A83" s="382"/>
    </row>
    <row r="84" spans="1:1" ht="12.75" customHeight="1" x14ac:dyDescent="0.3">
      <c r="A84" s="382"/>
    </row>
    <row r="85" spans="1:1" ht="12.75" customHeight="1" x14ac:dyDescent="0.3">
      <c r="A85" s="382"/>
    </row>
    <row r="86" spans="1:1" ht="12.75" customHeight="1" x14ac:dyDescent="0.3">
      <c r="A86" s="382"/>
    </row>
    <row r="87" spans="1:1" ht="12.75" customHeight="1" x14ac:dyDescent="0.3">
      <c r="A87" s="382"/>
    </row>
    <row r="88" spans="1:1" ht="12.75" customHeight="1" x14ac:dyDescent="0.3">
      <c r="A88" s="382"/>
    </row>
    <row r="89" spans="1:1" ht="12.75" customHeight="1" x14ac:dyDescent="0.3">
      <c r="A89" s="382"/>
    </row>
    <row r="90" spans="1:1" ht="12.75" customHeight="1" x14ac:dyDescent="0.3">
      <c r="A90" s="382"/>
    </row>
    <row r="91" spans="1:1" ht="12.75" customHeight="1" x14ac:dyDescent="0.3">
      <c r="A91" s="382"/>
    </row>
    <row r="92" spans="1:1" ht="12.75" customHeight="1" x14ac:dyDescent="0.3">
      <c r="A92" s="382"/>
    </row>
    <row r="93" spans="1:1" ht="12.75" customHeight="1" x14ac:dyDescent="0.3">
      <c r="A93" s="382"/>
    </row>
    <row r="94" spans="1:1" ht="12.75" customHeight="1" x14ac:dyDescent="0.3">
      <c r="A94" s="382"/>
    </row>
    <row r="95" spans="1:1" ht="12.75" customHeight="1" x14ac:dyDescent="0.3">
      <c r="A95" s="382"/>
    </row>
    <row r="96" spans="1:1" ht="12.75" customHeight="1" x14ac:dyDescent="0.3">
      <c r="A96" s="382"/>
    </row>
    <row r="97" spans="1:1" ht="12.75" customHeight="1" x14ac:dyDescent="0.3">
      <c r="A97" s="382"/>
    </row>
    <row r="98" spans="1:1" ht="12.75" customHeight="1" x14ac:dyDescent="0.3">
      <c r="A98" s="382"/>
    </row>
    <row r="99" spans="1:1" ht="12.75" customHeight="1" x14ac:dyDescent="0.3">
      <c r="A99" s="382"/>
    </row>
    <row r="100" spans="1:1" ht="12.75" customHeight="1" x14ac:dyDescent="0.3">
      <c r="A100" s="382"/>
    </row>
    <row r="101" spans="1:1" ht="12.75" customHeight="1" x14ac:dyDescent="0.3">
      <c r="A101" s="382"/>
    </row>
    <row r="102" spans="1:1" ht="12.75" customHeight="1" x14ac:dyDescent="0.3">
      <c r="A102" s="382"/>
    </row>
    <row r="103" spans="1:1" ht="12.75" customHeight="1" x14ac:dyDescent="0.3">
      <c r="A103" s="382"/>
    </row>
    <row r="104" spans="1:1" ht="12.75" customHeight="1" x14ac:dyDescent="0.3">
      <c r="A104" s="382"/>
    </row>
    <row r="105" spans="1:1" ht="12.75" customHeight="1" x14ac:dyDescent="0.3">
      <c r="A105" s="382"/>
    </row>
    <row r="106" spans="1:1" ht="12.75" customHeight="1" x14ac:dyDescent="0.3">
      <c r="A106" s="382"/>
    </row>
    <row r="107" spans="1:1" ht="12.75" customHeight="1" x14ac:dyDescent="0.3">
      <c r="A107" s="382"/>
    </row>
    <row r="108" spans="1:1" ht="12.75" customHeight="1" x14ac:dyDescent="0.3">
      <c r="A108" s="382"/>
    </row>
    <row r="109" spans="1:1" ht="12.75" customHeight="1" x14ac:dyDescent="0.3">
      <c r="A109" s="382"/>
    </row>
    <row r="110" spans="1:1" ht="12.75" customHeight="1" x14ac:dyDescent="0.3">
      <c r="A110" s="382"/>
    </row>
    <row r="111" spans="1:1" ht="12.75" customHeight="1" x14ac:dyDescent="0.3">
      <c r="A111" s="382"/>
    </row>
    <row r="112" spans="1:1" ht="12.75" customHeight="1" x14ac:dyDescent="0.3">
      <c r="A112" s="382"/>
    </row>
    <row r="113" spans="1:1" ht="12.75" customHeight="1" x14ac:dyDescent="0.3">
      <c r="A113" s="382"/>
    </row>
    <row r="114" spans="1:1" ht="12.75" customHeight="1" x14ac:dyDescent="0.3">
      <c r="A114" s="382"/>
    </row>
    <row r="115" spans="1:1" ht="12.75" customHeight="1" x14ac:dyDescent="0.3">
      <c r="A115" s="382"/>
    </row>
    <row r="116" spans="1:1" ht="12.75" customHeight="1" x14ac:dyDescent="0.3">
      <c r="A116" s="382"/>
    </row>
    <row r="117" spans="1:1" ht="12.75" customHeight="1" x14ac:dyDescent="0.3">
      <c r="A117" s="382"/>
    </row>
    <row r="118" spans="1:1" ht="12.75" customHeight="1" x14ac:dyDescent="0.3">
      <c r="A118" s="382"/>
    </row>
    <row r="119" spans="1:1" ht="12.75" customHeight="1" x14ac:dyDescent="0.3">
      <c r="A119" s="382"/>
    </row>
    <row r="120" spans="1:1" ht="12.75" customHeight="1" x14ac:dyDescent="0.3">
      <c r="A120" s="382"/>
    </row>
    <row r="121" spans="1:1" ht="12.75" customHeight="1" x14ac:dyDescent="0.3">
      <c r="A121" s="382"/>
    </row>
    <row r="122" spans="1:1" ht="12.75" customHeight="1" x14ac:dyDescent="0.3">
      <c r="A122" s="382"/>
    </row>
    <row r="123" spans="1:1" ht="12.75" customHeight="1" x14ac:dyDescent="0.3">
      <c r="A123" s="382"/>
    </row>
    <row r="124" spans="1:1" ht="12.75" customHeight="1" x14ac:dyDescent="0.3">
      <c r="A124" s="382"/>
    </row>
    <row r="125" spans="1:1" ht="12.75" customHeight="1" x14ac:dyDescent="0.3">
      <c r="A125" s="382"/>
    </row>
    <row r="126" spans="1:1" ht="12.75" customHeight="1" x14ac:dyDescent="0.3">
      <c r="A126" s="382"/>
    </row>
    <row r="127" spans="1:1" ht="12.75" customHeight="1" x14ac:dyDescent="0.3">
      <c r="A127" s="382"/>
    </row>
    <row r="128" spans="1:1" ht="12.75" customHeight="1" x14ac:dyDescent="0.3">
      <c r="A128" s="382"/>
    </row>
    <row r="129" spans="1:1" ht="12.75" customHeight="1" x14ac:dyDescent="0.3">
      <c r="A129" s="382"/>
    </row>
    <row r="130" spans="1:1" ht="12.75" customHeight="1" x14ac:dyDescent="0.3">
      <c r="A130" s="382"/>
    </row>
    <row r="131" spans="1:1" ht="12.75" customHeight="1" x14ac:dyDescent="0.3">
      <c r="A131" s="382"/>
    </row>
    <row r="132" spans="1:1" ht="12.75" customHeight="1" x14ac:dyDescent="0.3">
      <c r="A132" s="382"/>
    </row>
    <row r="133" spans="1:1" ht="12.75" customHeight="1" x14ac:dyDescent="0.3">
      <c r="A133" s="382"/>
    </row>
    <row r="134" spans="1:1" ht="12.75" customHeight="1" x14ac:dyDescent="0.3">
      <c r="A134" s="382"/>
    </row>
    <row r="135" spans="1:1" ht="12.75" customHeight="1" x14ac:dyDescent="0.3">
      <c r="A135" s="382"/>
    </row>
    <row r="136" spans="1:1" ht="12.75" customHeight="1" x14ac:dyDescent="0.3">
      <c r="A136" s="382"/>
    </row>
    <row r="137" spans="1:1" ht="12.75" customHeight="1" x14ac:dyDescent="0.3">
      <c r="A137" s="382"/>
    </row>
    <row r="138" spans="1:1" ht="12.75" customHeight="1" x14ac:dyDescent="0.3">
      <c r="A138" s="382"/>
    </row>
    <row r="139" spans="1:1" ht="12.75" customHeight="1" x14ac:dyDescent="0.3">
      <c r="A139" s="382"/>
    </row>
    <row r="140" spans="1:1" ht="12.75" customHeight="1" x14ac:dyDescent="0.3">
      <c r="A140" s="382"/>
    </row>
    <row r="141" spans="1:1" ht="12.75" customHeight="1" x14ac:dyDescent="0.3">
      <c r="A141" s="382"/>
    </row>
    <row r="142" spans="1:1" ht="12.75" customHeight="1" x14ac:dyDescent="0.3">
      <c r="A142" s="382"/>
    </row>
    <row r="143" spans="1:1" ht="12.75" customHeight="1" x14ac:dyDescent="0.3">
      <c r="A143" s="382"/>
    </row>
    <row r="144" spans="1:1" ht="12.75" customHeight="1" x14ac:dyDescent="0.3">
      <c r="A144" s="382"/>
    </row>
    <row r="145" spans="1:1" ht="12.75" customHeight="1" x14ac:dyDescent="0.3">
      <c r="A145" s="382"/>
    </row>
    <row r="146" spans="1:1" ht="12.75" customHeight="1" x14ac:dyDescent="0.3">
      <c r="A146" s="382"/>
    </row>
    <row r="147" spans="1:1" ht="12.75" customHeight="1" x14ac:dyDescent="0.3">
      <c r="A147" s="382"/>
    </row>
    <row r="148" spans="1:1" ht="12.75" customHeight="1" x14ac:dyDescent="0.3">
      <c r="A148" s="382"/>
    </row>
    <row r="149" spans="1:1" ht="12.75" customHeight="1" x14ac:dyDescent="0.3">
      <c r="A149" s="382"/>
    </row>
    <row r="150" spans="1:1" ht="12.75" customHeight="1" x14ac:dyDescent="0.3">
      <c r="A150" s="382"/>
    </row>
    <row r="151" spans="1:1" ht="12.75" customHeight="1" x14ac:dyDescent="0.3">
      <c r="A151" s="382"/>
    </row>
    <row r="152" spans="1:1" ht="12.75" customHeight="1" x14ac:dyDescent="0.3">
      <c r="A152" s="382"/>
    </row>
    <row r="153" spans="1:1" ht="12.75" customHeight="1" x14ac:dyDescent="0.3">
      <c r="A153" s="382"/>
    </row>
    <row r="154" spans="1:1" ht="12.75" customHeight="1" x14ac:dyDescent="0.3">
      <c r="A154" s="382"/>
    </row>
    <row r="155" spans="1:1" ht="12.75" customHeight="1" x14ac:dyDescent="0.3">
      <c r="A155" s="382"/>
    </row>
    <row r="156" spans="1:1" ht="12.75" customHeight="1" x14ac:dyDescent="0.3">
      <c r="A156" s="382"/>
    </row>
    <row r="157" spans="1:1" ht="12.75" customHeight="1" x14ac:dyDescent="0.3">
      <c r="A157" s="382"/>
    </row>
    <row r="158" spans="1:1" ht="12.75" customHeight="1" x14ac:dyDescent="0.3">
      <c r="A158" s="382"/>
    </row>
    <row r="159" spans="1:1" ht="12.75" customHeight="1" x14ac:dyDescent="0.3">
      <c r="A159" s="382"/>
    </row>
    <row r="160" spans="1:1" ht="12.75" customHeight="1" x14ac:dyDescent="0.3">
      <c r="A160" s="382"/>
    </row>
    <row r="161" spans="1:1" ht="12.75" customHeight="1" x14ac:dyDescent="0.3">
      <c r="A161" s="382"/>
    </row>
    <row r="162" spans="1:1" ht="12.75" customHeight="1" x14ac:dyDescent="0.3">
      <c r="A162" s="382"/>
    </row>
    <row r="163" spans="1:1" ht="12.75" customHeight="1" x14ac:dyDescent="0.3">
      <c r="A163" s="382"/>
    </row>
    <row r="164" spans="1:1" ht="12.75" customHeight="1" x14ac:dyDescent="0.3">
      <c r="A164" s="382"/>
    </row>
    <row r="165" spans="1:1" ht="12.75" customHeight="1" x14ac:dyDescent="0.3">
      <c r="A165" s="382"/>
    </row>
    <row r="166" spans="1:1" ht="12.75" customHeight="1" x14ac:dyDescent="0.3">
      <c r="A166" s="382"/>
    </row>
    <row r="167" spans="1:1" ht="12.75" customHeight="1" x14ac:dyDescent="0.3">
      <c r="A167" s="382"/>
    </row>
    <row r="168" spans="1:1" ht="12.75" customHeight="1" x14ac:dyDescent="0.3">
      <c r="A168" s="382"/>
    </row>
    <row r="169" spans="1:1" ht="12.75" customHeight="1" x14ac:dyDescent="0.3">
      <c r="A169" s="382"/>
    </row>
    <row r="170" spans="1:1" ht="12.75" customHeight="1" x14ac:dyDescent="0.3">
      <c r="A170" s="382"/>
    </row>
    <row r="171" spans="1:1" ht="12.75" customHeight="1" x14ac:dyDescent="0.3">
      <c r="A171" s="382"/>
    </row>
    <row r="172" spans="1:1" ht="12.75" customHeight="1" x14ac:dyDescent="0.3">
      <c r="A172" s="382"/>
    </row>
    <row r="173" spans="1:1" ht="12.75" customHeight="1" x14ac:dyDescent="0.3">
      <c r="A173" s="382"/>
    </row>
    <row r="174" spans="1:1" ht="12.75" customHeight="1" x14ac:dyDescent="0.3">
      <c r="A174" s="382"/>
    </row>
    <row r="175" spans="1:1" ht="12.75" customHeight="1" x14ac:dyDescent="0.3">
      <c r="A175" s="382"/>
    </row>
    <row r="176" spans="1:1" ht="12.75" customHeight="1" x14ac:dyDescent="0.3">
      <c r="A176" s="382"/>
    </row>
    <row r="177" spans="1:1" ht="12.75" customHeight="1" x14ac:dyDescent="0.3">
      <c r="A177" s="382"/>
    </row>
    <row r="178" spans="1:1" ht="12.75" customHeight="1" x14ac:dyDescent="0.3">
      <c r="A178" s="382"/>
    </row>
    <row r="179" spans="1:1" ht="12.75" customHeight="1" x14ac:dyDescent="0.3">
      <c r="A179" s="382"/>
    </row>
    <row r="180" spans="1:1" ht="12.75" customHeight="1" x14ac:dyDescent="0.3">
      <c r="A180" s="382"/>
    </row>
    <row r="181" spans="1:1" ht="12.75" customHeight="1" x14ac:dyDescent="0.3">
      <c r="A181" s="382"/>
    </row>
    <row r="182" spans="1:1" ht="12.75" customHeight="1" x14ac:dyDescent="0.3">
      <c r="A182" s="382"/>
    </row>
    <row r="183" spans="1:1" ht="12.75" customHeight="1" x14ac:dyDescent="0.3">
      <c r="A183" s="382"/>
    </row>
    <row r="184" spans="1:1" ht="12.75" customHeight="1" x14ac:dyDescent="0.3">
      <c r="A184" s="382"/>
    </row>
    <row r="185" spans="1:1" ht="12.75" customHeight="1" x14ac:dyDescent="0.3">
      <c r="A185" s="382"/>
    </row>
    <row r="186" spans="1:1" ht="12.75" customHeight="1" x14ac:dyDescent="0.3">
      <c r="A186" s="382"/>
    </row>
    <row r="187" spans="1:1" ht="12.75" customHeight="1" x14ac:dyDescent="0.3">
      <c r="A187" s="382"/>
    </row>
    <row r="188" spans="1:1" ht="12.75" customHeight="1" x14ac:dyDescent="0.3">
      <c r="A188" s="382"/>
    </row>
    <row r="189" spans="1:1" ht="12.75" customHeight="1" x14ac:dyDescent="0.3">
      <c r="A189" s="382"/>
    </row>
    <row r="190" spans="1:1" ht="12.75" customHeight="1" x14ac:dyDescent="0.3">
      <c r="A190" s="382"/>
    </row>
    <row r="191" spans="1:1" ht="12.75" customHeight="1" x14ac:dyDescent="0.3">
      <c r="A191" s="382"/>
    </row>
    <row r="192" spans="1:1" ht="12.75" customHeight="1" x14ac:dyDescent="0.3">
      <c r="A192" s="382"/>
    </row>
    <row r="193" spans="1:1" ht="12.75" customHeight="1" x14ac:dyDescent="0.3">
      <c r="A193" s="382"/>
    </row>
    <row r="194" spans="1:1" ht="12.75" customHeight="1" x14ac:dyDescent="0.3">
      <c r="A194" s="382"/>
    </row>
    <row r="195" spans="1:1" ht="12.75" customHeight="1" x14ac:dyDescent="0.3">
      <c r="A195" s="382"/>
    </row>
    <row r="196" spans="1:1" ht="12.75" customHeight="1" x14ac:dyDescent="0.3">
      <c r="A196" s="382"/>
    </row>
    <row r="197" spans="1:1" ht="12.75" customHeight="1" x14ac:dyDescent="0.3">
      <c r="A197" s="382"/>
    </row>
    <row r="198" spans="1:1" ht="12.75" customHeight="1" x14ac:dyDescent="0.3">
      <c r="A198" s="382"/>
    </row>
    <row r="199" spans="1:1" ht="12.75" customHeight="1" x14ac:dyDescent="0.3">
      <c r="A199" s="382"/>
    </row>
    <row r="200" spans="1:1" ht="12.75" customHeight="1" x14ac:dyDescent="0.3">
      <c r="A200" s="382"/>
    </row>
    <row r="201" spans="1:1" ht="12.75" customHeight="1" x14ac:dyDescent="0.3">
      <c r="A201" s="382"/>
    </row>
    <row r="202" spans="1:1" ht="12.75" customHeight="1" x14ac:dyDescent="0.3">
      <c r="A202" s="382"/>
    </row>
    <row r="203" spans="1:1" ht="12.75" customHeight="1" x14ac:dyDescent="0.3">
      <c r="A203" s="382"/>
    </row>
    <row r="204" spans="1:1" ht="12.75" customHeight="1" x14ac:dyDescent="0.3">
      <c r="A204" s="382"/>
    </row>
    <row r="205" spans="1:1" ht="12.75" customHeight="1" x14ac:dyDescent="0.3">
      <c r="A205" s="382"/>
    </row>
    <row r="206" spans="1:1" ht="12.75" customHeight="1" x14ac:dyDescent="0.3">
      <c r="A206" s="382"/>
    </row>
    <row r="207" spans="1:1" ht="12.75" customHeight="1" x14ac:dyDescent="0.3">
      <c r="A207" s="382"/>
    </row>
    <row r="208" spans="1:1" ht="12.75" customHeight="1" x14ac:dyDescent="0.3">
      <c r="A208" s="382"/>
    </row>
    <row r="209" spans="1:1" ht="12.75" customHeight="1" x14ac:dyDescent="0.3">
      <c r="A209" s="382"/>
    </row>
    <row r="210" spans="1:1" ht="12.75" customHeight="1" x14ac:dyDescent="0.3">
      <c r="A210" s="382"/>
    </row>
    <row r="211" spans="1:1" ht="12.75" customHeight="1" x14ac:dyDescent="0.3">
      <c r="A211" s="382"/>
    </row>
    <row r="212" spans="1:1" ht="12.75" customHeight="1" x14ac:dyDescent="0.3">
      <c r="A212" s="382"/>
    </row>
    <row r="213" spans="1:1" ht="12.75" customHeight="1" x14ac:dyDescent="0.3">
      <c r="A213" s="382"/>
    </row>
    <row r="214" spans="1:1" ht="12.75" customHeight="1" x14ac:dyDescent="0.3">
      <c r="A214" s="382"/>
    </row>
    <row r="215" spans="1:1" ht="12.75" customHeight="1" x14ac:dyDescent="0.3">
      <c r="A215" s="382"/>
    </row>
    <row r="216" spans="1:1" ht="12.75" customHeight="1" x14ac:dyDescent="0.3">
      <c r="A216" s="382"/>
    </row>
    <row r="217" spans="1:1" ht="12.75" customHeight="1" x14ac:dyDescent="0.3">
      <c r="A217" s="382"/>
    </row>
    <row r="218" spans="1:1" ht="12.75" customHeight="1" x14ac:dyDescent="0.3">
      <c r="A218" s="382"/>
    </row>
    <row r="219" spans="1:1" ht="12.75" customHeight="1" x14ac:dyDescent="0.3">
      <c r="A219" s="382"/>
    </row>
    <row r="220" spans="1:1" ht="12.75" customHeight="1" x14ac:dyDescent="0.3">
      <c r="A220" s="382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I1"/>
  </mergeCells>
  <printOptions horizontalCentered="1"/>
  <pageMargins left="0.78740157480314965" right="0.78740157480314965" top="0.98425196850393704" bottom="0.9842519685039370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DADOS 2024 I</vt:lpstr>
      <vt:lpstr>DESEMP BOMBA I</vt:lpstr>
      <vt:lpstr>GRÁFICO ÁGUA 2024 I</vt:lpstr>
      <vt:lpstr>GRÁFICO ´ÁGUA 2024</vt:lpstr>
      <vt:lpstr>CUSTO ÁGUA 2024 I</vt:lpstr>
      <vt:lpstr>GRÁFICO ENERGIA REF 2023 I </vt:lpstr>
      <vt:lpstr>TABELA ANOTAÇÕES 2003</vt:lpstr>
      <vt:lpstr>TABELA ANOTAÇÕES 2004</vt:lpstr>
      <vt:lpstr>LOURDES</vt:lpstr>
      <vt:lpstr>PADRÃO 2010</vt:lpstr>
      <vt:lpstr>Abaixo de Zero</vt:lpstr>
      <vt:lpstr>Masp</vt:lpstr>
      <vt:lpstr>Galpão 03</vt:lpstr>
      <vt:lpstr>Metal Printing</vt:lpstr>
      <vt:lpstr>Galpão 06 - Piso Térreo</vt:lpstr>
      <vt:lpstr>Galpão 06 - Piso Intermediário</vt:lpstr>
      <vt:lpstr>Galpão 07 - Piso Inferior</vt:lpstr>
      <vt:lpstr>Galpão 07 - Piso Superior</vt:lpstr>
      <vt:lpstr> Nek Packing</vt:lpstr>
      <vt:lpstr>Galpão 08 - Piso Superior</vt:lpstr>
      <vt:lpstr>Galpão 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Wladimir L. Vianna</cp:lastModifiedBy>
  <dcterms:created xsi:type="dcterms:W3CDTF">2024-01-30T11:30:46Z</dcterms:created>
  <dcterms:modified xsi:type="dcterms:W3CDTF">2024-06-28T21:12:33Z</dcterms:modified>
</cp:coreProperties>
</file>