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Workshop_Evaluations" sheetId="2" r:id="rId6"/>
    <sheet state="visible" name="Workshop_Settings" sheetId="3" r:id="rId7"/>
    <sheet state="visible" name="activity_plan" sheetId="4" r:id="rId8"/>
    <sheet state="visible" name="certificate_logs" sheetId="5" r:id="rId9"/>
    <sheet state="visible" name="cert_templates" sheetId="6" r:id="rId10"/>
    <sheet state="visible" name="council_members" sheetId="7" r:id="rId11"/>
    <sheet state="visible" name="evaluation_criteria" sheetId="8" r:id="rId12"/>
    <sheet state="visible" name="attendance_logs" sheetId="9" r:id="rId13"/>
    <sheet state="visible" name="evaluations" sheetId="10" r:id="rId14"/>
    <sheet state="visible" name="สำเนาของ council_members" sheetId="11" r:id="rId15"/>
    <sheet state="visible" name="settings" sheetId="12" r:id="rId16"/>
    <sheet state="visible" name="departments" sheetId="13" r:id="rId17"/>
    <sheet state="visible" name="council_import" sheetId="14" r:id="rId18"/>
    <sheet state="visible" name="std68" sheetId="15" r:id="rId19"/>
    <sheet state="visible" name="config" sheetId="16" r:id="rId20"/>
    <sheet state="visible" name="ctfc" sheetId="17" r:id="rId21"/>
    <sheet state="visible" name="ชีต10" sheetId="18" r:id="rId22"/>
    <sheet state="visible" name="Applications" sheetId="19" r:id="rId23"/>
  </sheets>
  <definedNames>
    <definedName hidden="1" localSheetId="0" name="_xlnm._FilterDatabase">students!$J$1:$M$11</definedName>
    <definedName hidden="1" localSheetId="6" name="_xlnm._FilterDatabase">council_members!$A$1:$K$102</definedName>
    <definedName hidden="1" localSheetId="8" name="_xlnm._FilterDatabase">attendance_logs!$A$1:$F$2109</definedName>
    <definedName hidden="1" localSheetId="10" name="_xlnm._FilterDatabase">'สำเนาของ council_members'!$A$1:$G$115</definedName>
    <definedName hidden="1" localSheetId="16" name="_xlnm._FilterDatabase">ctfc!$C$2:$AA$105</definedName>
    <definedName hidden="1" localSheetId="17" name="_xlnm._FilterDatabase">'ชีต10'!$A$1:$H$103</definedName>
    <definedName hidden="1" localSheetId="18" name="_xlnm._FilterDatabase">Applications!$A$1:$Q$66</definedName>
  </definedNames>
  <calcPr/>
</workbook>
</file>

<file path=xl/sharedStrings.xml><?xml version="1.0" encoding="utf-8"?>
<sst xmlns="http://schemas.openxmlformats.org/spreadsheetml/2006/main" count="32949" uniqueCount="12104">
  <si>
    <t>student_code</t>
  </si>
  <si>
    <t>fullname</t>
  </si>
  <si>
    <t>class_general</t>
  </si>
  <si>
    <t>class_religion</t>
  </si>
  <si>
    <t>gender</t>
  </si>
  <si>
    <t>image_url</t>
  </si>
  <si>
    <t>608001</t>
  </si>
  <si>
    <t>ด.ญ.ขวัญข้าว อุ่นใจ</t>
  </si>
  <si>
    <t>ม.t/s</t>
  </si>
  <si>
    <t>อก.s/t</t>
  </si>
  <si>
    <t>https://lh3.googleusercontent.com/d/1TQjq3qIl3qw0AamOXZeHee-6MkRmSruC</t>
  </si>
  <si>
    <t>23788</t>
  </si>
  <si>
    <t>นายฮูซัยฟี เจะเลาะ</t>
  </si>
  <si>
    <t>608002</t>
  </si>
  <si>
    <t>ด.ช.เพชรแท้ ใจดี</t>
  </si>
  <si>
    <t>https://lh3.googleusercontent.com/d/1hDqupdc2umNvCcIkP-1TXjOd2lds3pKd</t>
  </si>
  <si>
    <t>fdgnhkldfjgljdlf</t>
  </si>
  <si>
    <t>23381</t>
  </si>
  <si>
    <t>นายอิซรอฟ ตาเยะ</t>
  </si>
  <si>
    <t>ชั้นสามัญ ม.5/6 ชั้นศาสนา อป.2/6</t>
  </si>
  <si>
    <t>https://azizstan.net/student_image/23381.jpg</t>
  </si>
  <si>
    <t>608003</t>
  </si>
  <si>
    <t>ด.ญ.ฟ้าใหม่ ยิ้มแย้ม</t>
  </si>
  <si>
    <t>https://lh3.googleusercontent.com/d/1FVmvvvrz8NjTXA0FxMy8Yc930mO_oHPq</t>
  </si>
  <si>
    <t>hfdgkdhgkdfhg'</t>
  </si>
  <si>
    <t>23629</t>
  </si>
  <si>
    <t>นายอาเดล มาตัดสา</t>
  </si>
  <si>
    <t>ชั้นสามัญ ม.5/1 ชั้นศาสนา อก.3/1</t>
  </si>
  <si>
    <t>https://azizstan.net/student_image/23629.jpg</t>
  </si>
  <si>
    <t>608004</t>
  </si>
  <si>
    <t>ด.ช.กล้าหาญ จริงใจ</t>
  </si>
  <si>
    <t>https://lh3.googleusercontent.com/d/1YAbNo-yGHqmqAQa3LYFqf1IeY3ijKO1O</t>
  </si>
  <si>
    <t>kfjhgkdfjaglda</t>
  </si>
  <si>
    <t>25925</t>
  </si>
  <si>
    <t>นายซีรอจญ์ ฮัดญีสิดดิก</t>
  </si>
  <si>
    <t>ชั้นสามัญ ม.5/8 ชั้นศาสนา อป.2/8</t>
  </si>
  <si>
    <t>https://azizstan.net/student_image/25925.jpg</t>
  </si>
  <si>
    <t>608005</t>
  </si>
  <si>
    <t>ด.ญ.น้ำใส รุ่งเรือง</t>
  </si>
  <si>
    <t>https://lh3.googleusercontent.com/d/1SduHwJCFk2znzrBIiTFrKeToWmu9Fvll</t>
  </si>
  <si>
    <t>23358</t>
  </si>
  <si>
    <t>น.ส.เบนาซี ดาระโจะ</t>
  </si>
  <si>
    <t>ชั้นสามัญ ม.5/3 ชั้นศาสนา อป.1/3</t>
  </si>
  <si>
    <t>https://azizstan.net/student_image/23358.jpg</t>
  </si>
  <si>
    <t>608006</t>
  </si>
  <si>
    <t>ด.ช.ตั้งใจ เรียนดี</t>
  </si>
  <si>
    <t>https://lh3.googleusercontent.com/d/1vsO2GrNCRyAwuPgxOzT56fZlIL7746JG</t>
  </si>
  <si>
    <t>23771</t>
  </si>
  <si>
    <t>น.ส.นูรฟิสรี เหตุหาก</t>
  </si>
  <si>
    <t>https://azizstan.net/student_image/23771.jpg</t>
  </si>
  <si>
    <t>608007</t>
  </si>
  <si>
    <t>ด.ญ.ใจใส พาเพลิน</t>
  </si>
  <si>
    <t>https://lh3.googleusercontent.com/d/1CUqFU9EWj7bJoSFDymhiYQ--95HGoy4s</t>
  </si>
  <si>
    <t>23739</t>
  </si>
  <si>
    <t>น.ส.นัซรินทร์ ดาราแม</t>
  </si>
  <si>
    <t>https://azizstan.net/student_image/23739.jpg</t>
  </si>
  <si>
    <t>608008</t>
  </si>
  <si>
    <t>ด.ช.แสนดี อดทน</t>
  </si>
  <si>
    <t>https://lh3.googleusercontent.com/d/1nyauULfp-kUlwAdcT-Bh0XJPd1Hs6m65</t>
  </si>
  <si>
    <t>23818</t>
  </si>
  <si>
    <t>น.ส.นัชวา อภิบาลแบ</t>
  </si>
  <si>
    <t>ชั้นสามัญ ม.5/4 ชั้นศาสนา อก.3/18</t>
  </si>
  <si>
    <t>https://azizstan.net/student_image/23818.jpg</t>
  </si>
  <si>
    <t>608009</t>
  </si>
  <si>
    <t>ด.ญ.สายรุ้ง พาใจ</t>
  </si>
  <si>
    <t>https://lh3.googleusercontent.com/d/1ky0hYv2l8qP-N-VOmEU3qzWJm0vR00_R</t>
  </si>
  <si>
    <t>25683</t>
  </si>
  <si>
    <t>น.ส.นริสรา เป๊าะซา</t>
  </si>
  <si>
    <t>https://azizstan.net/student_image/25683.jpg</t>
  </si>
  <si>
    <t>608010</t>
  </si>
  <si>
    <t>ด.ช.มีชัย ขยันเรียน</t>
  </si>
  <si>
    <t>https://lh3.googleusercontent.com/d/1HcKbbCuCTZgznnu6He2x7S01MYCtStN7</t>
  </si>
  <si>
    <t>25982</t>
  </si>
  <si>
    <t>น.ส.ซารีนา หมัดอาด้ำ</t>
  </si>
  <si>
    <t>https://azizstan.net/student_image/25982.jpg</t>
  </si>
  <si>
    <t>608011</t>
  </si>
  <si>
    <t>ด.ญ.ยิ้มหวาน สุขใจ</t>
  </si>
  <si>
    <t>https://lh3.googleusercontent.com/d/19aq_ZtZzkspggL5nsks6BkOW1OLRK0br</t>
  </si>
  <si>
    <t>608012</t>
  </si>
  <si>
    <t>ด.ช.เด่นชัย รักดี</t>
  </si>
  <si>
    <t>https://lh3.googleusercontent.com/d/1U8LMVVMk1qIOkB8DnXx8RFv_H-hZnl8c</t>
  </si>
  <si>
    <t>608013</t>
  </si>
  <si>
    <t>ด.ญ.ดาวใส แก้มแดง</t>
  </si>
  <si>
    <t>https://lh3.googleusercontent.com/d/1mIE2TMAEvpDo4t3cxMi_nDK8kZsz6ua6</t>
  </si>
  <si>
    <t>608014</t>
  </si>
  <si>
    <t>ด.ช.ภักดี ยอดเยี่ยม</t>
  </si>
  <si>
    <t>https://lh3.googleusercontent.com/d/1Oq_8WiKg24OSBrVS2NrcBaCNGo9T1McK</t>
  </si>
  <si>
    <t>608015</t>
  </si>
  <si>
    <t>ด.ญ.รื่นรมย์ มั่นใจ</t>
  </si>
  <si>
    <t>https://lh3.googleusercontent.com/d/1LElFpsUKZasYqiiQOvkHbWcDdX6rQDkl</t>
  </si>
  <si>
    <t>Timestamp</t>
  </si>
  <si>
    <t>Name</t>
  </si>
  <si>
    <t>Department</t>
  </si>
  <si>
    <t>Q1-Atmosphere</t>
  </si>
  <si>
    <t>Q2-Time</t>
  </si>
  <si>
    <t>Q3-Confidence</t>
  </si>
  <si>
    <t>Q4-Knowledge</t>
  </si>
  <si>
    <t>Q5-Trainer</t>
  </si>
  <si>
    <t>Q6-QA</t>
  </si>
  <si>
    <t>Improvement Comment</t>
  </si>
  <si>
    <t>New Topics Request</t>
  </si>
  <si>
    <t>System Title</t>
  </si>
  <si>
    <t>Subtitle</t>
  </si>
  <si>
    <t>Trainer Name</t>
  </si>
  <si>
    <t>Primary Color</t>
  </si>
  <si>
    <t>Secondary Color</t>
  </si>
  <si>
    <t>Logo URL</t>
  </si>
  <si>
    <t>id</t>
  </si>
  <si>
    <t>activity_name</t>
  </si>
  <si>
    <t>activity_date</t>
  </si>
  <si>
    <t>start_time</t>
  </si>
  <si>
    <t>location</t>
  </si>
  <si>
    <t>description</t>
  </si>
  <si>
    <t>status</t>
  </si>
  <si>
    <t>theme_color</t>
  </si>
  <si>
    <t>file_url</t>
  </si>
  <si>
    <t>2</t>
  </si>
  <si>
    <t>เลือกตั้งประธานสภานักเรียน 68269</t>
  </si>
  <si>
    <t>2025-12-11</t>
  </si>
  <si>
    <t>09:00</t>
  </si>
  <si>
    <t>โรงเรียนมูลนิธิอาซิซสถาน</t>
  </si>
  <si>
    <t>completed</t>
  </si>
  <si>
    <t>green</t>
  </si>
  <si>
    <t>3</t>
  </si>
  <si>
    <t>กิจกรรมYLA2025</t>
  </si>
  <si>
    <t>2026-01-21</t>
  </si>
  <si>
    <t>17:30</t>
  </si>
  <si>
    <t>เป็นกิจกรรมที่จะช่วยปูพื้นฐานการเป็นสภานักเรียน ฝึกภาวะความเป็นผู้นำ และผู้ตามที่มีคุณภาพ เป็นกิจกรรมที่ให้สภานักเรียนได้พูดคุยวางแผนถึงกิจกรรมหรือโครงการที่จะจัด เป็นกิจกรรมที่สภานักเรียนจะมาสรรหาสมาชิกในฝ่ายต่างๆ</t>
  </si>
  <si>
    <t>pending</t>
  </si>
  <si>
    <t>blue</t>
  </si>
  <si>
    <t>https://drive.google.com/file/d/1XbF87Y1pHk_ksyTqaD_j8FFWGCbruCPq/view?usp=sharing</t>
  </si>
  <si>
    <t>4</t>
  </si>
  <si>
    <t>กิจกรรมส่งเสริมคุณะรรม จิรยธรรม(เอี๊ยะติกั๊ฟ)</t>
  </si>
  <si>
    <t>2026-03-19</t>
  </si>
  <si>
    <t>08:00</t>
  </si>
  <si>
    <t>รัฐเคดาร์ ประเทศมาเลเซีย</t>
  </si>
  <si>
    <t>กิจกรรมส่งเสริมคุณธรรม จริยธรรม (เอี๊ยะติกั๊ฟ) เป็นกิจกรรมที่จัดขึ้นเพื่อเปิดโอกาสให้สมาชิกสภานักเรียนชายได้เข้าร่วมการเอี๊ยะติกั๊ฟในช่วง 10 วันสุดท้ายของเดือนรอมฎอน ณ มัสยิด...... รัฐเคดาร์ ประเทศมาเลเซีย
กิจกรรมนี้มุ่งเน้นการปลูกฝังคุณธรรม จริยธรรม และวินัยในตนเอง ผ่านการปฏิบัติศาสนกิจอย่างเข้มข้น เช่น การละหมาด การอ่านอัลกุรอาน การซิกิรุลลอฮฺ การฟังบรรยายศาสนา และการใช้ชีวิตร่วมกันตามหลักอิสลาม
นอกจากนี้ ยังเป็นการส่งเสริมให้นักเรียนใช้เวลาว่างในช่วงเดือนรอมฎอนอย่างเกิดประโยชน์ เสริมสร้างจิตสำนึกด้านศาสนา ความรับผิดชอบ ความสามัคคี และการเป็นแบบอย่างที่ดีแก่เพื่อนนักเรียนและสังคมโดยรวม</t>
  </si>
  <si>
    <t>5</t>
  </si>
  <si>
    <t>อบรมการเขียนใบโครงการ Young Project Architects Workshop</t>
  </si>
  <si>
    <t>20:00</t>
  </si>
  <si>
    <t>ห้องประชุมอาคาร 5 โรงเรียนมูลนิธิอาซิ:สถาน</t>
  </si>
  <si>
    <t>รายละเอียดโดยย่อ: โครงการอบรมเชิงปฏิบัติการ "Young Project Architects" มุ่งเน้นพัฒนาทักษะการเขียนใบเสนอโครงการที่ถูกต้องครบถ้วนทั้ง 11 องค์ประกอบ การบริหารงบประมาณ และการวางแผนงาน (PDCA) สำหรับคณะกรรมการสภานักเรียน ผ่านกิจกรรม Workshop เพื่อให้ได้ร่างโครงการจริงที่พร้อมเสนอขออนุมัติ
หัวข้อการประเมินผู้เข้าร่วมโครงการ:
การตรงต่อเวลา (Punctuality)
การรักษาเวลาในการทำกิจกรรม (Time Management)
การให้ความร่วมมือในกิจกรรมกลุ่ม (Cooperation)
การมีส่วนร่วมและการแสดงความคิดเห็น (Participation)
ภาวะความเป็นผู้นำ (Leadership)
ความรับผิดชอบต่อหน้าที่ที่ได้รับมอบหมาย (Responsibility)
เกณฑ์การผ่าน: ผู้เข้าร่วมโครงการจะต้องได้รับผลการประเมินในหัวข้อดังกล่าว เฉลี่ยอยู่ในระดับ 4 ดาว ขึ้นไป จึงจะถือว่าผ่านเกณฑ์การอบรมและ ได้รับเกียรติบัตร จากโครงการ</t>
  </si>
  <si>
    <t>purple</t>
  </si>
  <si>
    <t>https://kruhambal.my.canva.site/ypa</t>
  </si>
  <si>
    <t>6</t>
  </si>
  <si>
    <t>ค่ายปรับพื้นฐานม4  4-8</t>
  </si>
  <si>
    <t>2026-05-04</t>
  </si>
  <si>
    <t>pink</t>
  </si>
  <si>
    <t>7</t>
  </si>
  <si>
    <t xml:space="preserve">ค่ายปรับพื้นฐานม.4 </t>
  </si>
  <si>
    <t>ร.ร.มูลนิธิอาซิซสถาน</t>
  </si>
  <si>
    <t>8</t>
  </si>
  <si>
    <t>ค่ายปรับพื้นฐานม4 4-8พค</t>
  </si>
  <si>
    <t>uuid</t>
  </si>
  <si>
    <t>member_id</t>
  </si>
  <si>
    <t>member_name</t>
  </si>
  <si>
    <t>template_name</t>
  </si>
  <si>
    <t>created_at</t>
  </si>
  <si>
    <t>0bf8604e-3cdf-42ef-819e-d98bd0d3d23a</t>
  </si>
  <si>
    <t>นายอัซซูวา ยาโงะ</t>
  </si>
  <si>
    <t>วันครู</t>
  </si>
  <si>
    <t>https://drive.google.com/file/d/1AYJ00OF4Kr3SnArP8tsqVvgqg4gSyCU4/view?usp=drivesdk</t>
  </si>
  <si>
    <t>cd2c5e95-a0aa-4b4b-b5e1-8c807bf8a3c7</t>
  </si>
  <si>
    <t>นายมูฮัมหมัดคอเล็ฎ เจะเละ</t>
  </si>
  <si>
    <t>https://drive.google.com/file/d/1g_R3MY5eoMVgrGKWP8JXeyXbtKoq3WiX/view?usp=drivesdk</t>
  </si>
  <si>
    <t>ab97f870-f60c-41f8-bfb2-7083dbed305a</t>
  </si>
  <si>
    <t>นายซาบูดีน สิริเต๊ะ</t>
  </si>
  <si>
    <t>https://drive.google.com/file/d/172H0FbDqjjyA_QV5lm1XShFzjaPNRK97/view?usp=drivesdk</t>
  </si>
  <si>
    <t>cf417272-53bc-474e-abdc-548ba477bd90</t>
  </si>
  <si>
    <t>เด็กชายฮิซมาน หีมใบ</t>
  </si>
  <si>
    <t>https://drive.google.com/file/d/1DDQm1wp3jlXt49KsYNClY8UUxuiNxX0Z/view?usp=drivesdk</t>
  </si>
  <si>
    <t>646b73bc-912e-4484-bc19-bf3eff5c81cf</t>
  </si>
  <si>
    <t>นายคัสราฟีย์ สามะ</t>
  </si>
  <si>
    <t>https://drive.google.com/file/d/19X8DukdQQdwSrFPWfLGAwZfVgRyDUjpW/view?usp=drivesdk</t>
  </si>
  <si>
    <t>0df9aa72-0426-4cc4-9090-75f47c6f3162</t>
  </si>
  <si>
    <t>เด็กชายบัดรี เจะหะ</t>
  </si>
  <si>
    <t>https://drive.google.com/file/d/1RzflS43Xijk6MNxmPXPBxVwiaVHj2UMi/view?usp=drivesdk</t>
  </si>
  <si>
    <t>fd9f4f31-bd36-4946-9a48-c5035c647749</t>
  </si>
  <si>
    <t>นายแวฮาซิร หะยีสะอิ</t>
  </si>
  <si>
    <t>https://drive.google.com/file/d/153eMIk9fsCHL-oY5udytbfy-e_51uqKq/view?usp=drivesdk</t>
  </si>
  <si>
    <t>16b95751-935a-49f0-b018-5fa799626a21</t>
  </si>
  <si>
    <t>นายซาการียา ยอยเหาะ</t>
  </si>
  <si>
    <t>https://drive.google.com/file/d/1EQoEW6u0t-MXkiy2dPO6L0INVU8j1xH1/view?usp=drivesdk</t>
  </si>
  <si>
    <t>bd7224c0-1f7c-4ed4-b041-812fe9f01f2c</t>
  </si>
  <si>
    <t>นายอัสซีซัน บินเตล็บ</t>
  </si>
  <si>
    <t>https://drive.google.com/file/d/1-s54sMzYIgbuiekTuloCcX0waRX5wbT1/view?usp=drivesdk</t>
  </si>
  <si>
    <t>d5fbfefc-39ac-4a1f-848b-13ef7b20da74</t>
  </si>
  <si>
    <t>https://drive.google.com/file/d/10qM43pFthnNxC6BdgnEmczGv05Qwh58g/view?usp=drivesdk</t>
  </si>
  <si>
    <t>20aecd0e-c99f-4d14-8c9d-eda722e55069</t>
  </si>
  <si>
    <t>https://drive.google.com/file/d/1BbcGXdTntnAYRx_OpQaBl6iPd7AE4-YL/view?usp=drivesdk</t>
  </si>
  <si>
    <t>64011015-2dff-40f5-ac53-7766bc6cd0cd</t>
  </si>
  <si>
    <t>https://drive.google.com/file/d/1badKiM5VN0_xgZL2VXb1yE2m6moklAuF/view?usp=drivesdk</t>
  </si>
  <si>
    <t>3cd51dda-3f55-4bbb-a001-3bc9f1f9574f</t>
  </si>
  <si>
    <t>นายเจษฎากร อภิพัฒน์พลากร</t>
  </si>
  <si>
    <t>https://drive.google.com/file/d/1iIxu6r1lGmooK6Lqh9yfz9vmCqSKTHjs/view?usp=drivesdk</t>
  </si>
  <si>
    <t>00c3c4d5-7df8-4463-8d53-6d1dc3532ed3</t>
  </si>
  <si>
    <t>นายมูฮัมหมัดไฟศอล เฆดา</t>
  </si>
  <si>
    <t>https://drive.google.com/file/d/1ZJbFAnnlhSI4-Pi70e_XAAt5EirvTUJR/view?usp=drivesdk</t>
  </si>
  <si>
    <t>2f3464e8-01bf-47f3-a5f9-7027d97bd6e4</t>
  </si>
  <si>
    <t>นายวิทยา อาหมัด</t>
  </si>
  <si>
    <t>https://drive.google.com/file/d/1eDTE5Veo9ikcOs4bMIOQIt1xgzRQzEVI/view?usp=drivesdk</t>
  </si>
  <si>
    <t>0cf55061-beb4-4480-9b02-783147abae95</t>
  </si>
  <si>
    <t>นายซัควาน หะยีอาแว</t>
  </si>
  <si>
    <t>https://drive.google.com/file/d/1wsTDiMjmWEHYAG_IsSj7hWdg8kj1W1jm/view?usp=drivesdk</t>
  </si>
  <si>
    <t>52258f9e-bb09-4533-a88a-858a022be49f</t>
  </si>
  <si>
    <t>นายอับดุลมุตตอเล็บ เหมหมัด</t>
  </si>
  <si>
    <t>https://drive.google.com/file/d/15_OyDnAIlpU07OLnbANxFyJKc7Odt79e/view?usp=drivesdk</t>
  </si>
  <si>
    <t>56308262-6d36-4dae-921c-a89675503ec9</t>
  </si>
  <si>
    <t>นายอามีร เจ๊ะโซะ</t>
  </si>
  <si>
    <t>https://drive.google.com/file/d/1m7gRUlXmzYeQUlGWra0PjSIk3W0OHgR8/view?usp=drivesdk</t>
  </si>
  <si>
    <t>116dafc2-b25a-4126-9a4b-ac3c2714408c</t>
  </si>
  <si>
    <t>นายอัฟฟาน เซะมิง</t>
  </si>
  <si>
    <t>https://drive.google.com/file/d/1ksk_14R--zPwnzjw7yCg6NqUXdEOwagw/view?usp=drivesdk</t>
  </si>
  <si>
    <t>f37aac0a-db44-496f-8faa-49d6b8fd840b</t>
  </si>
  <si>
    <t>นายอารีฟ อับดุลลาเตะ</t>
  </si>
  <si>
    <t>https://drive.google.com/file/d/1CB-HKUsfByeF8j4WgpTwoQVZCVA32VHz/view?usp=drivesdk</t>
  </si>
  <si>
    <t>2cbfb310-bce7-4e41-9278-707fb0750030</t>
  </si>
  <si>
    <t>https://drive.google.com/file/d/1P_bQFe4UOEupmJzNWbg7iMrDc3FNxI1l/view?usp=drivesdk</t>
  </si>
  <si>
    <t>069b4315-c287-48cb-92b9-545b23de3260</t>
  </si>
  <si>
    <t>นายมูฮำหมัดจัฟรี ตาเยะ</t>
  </si>
  <si>
    <t>https://drive.google.com/file/d/1b2IGARnHAo7eVY4pCTRXw6QHKgEHj2Y3/view?usp=drivesdk</t>
  </si>
  <si>
    <t>857199a8-b74a-47c6-af5b-b27318d2048b</t>
  </si>
  <si>
    <t>นายจักรินทร์ เหมสัน</t>
  </si>
  <si>
    <t>https://drive.google.com/file/d/1GP8VbbeZu3zbA4xQhZBhem7YatX_B8xK/view?usp=drivesdk</t>
  </si>
  <si>
    <t>b279a2c7-75ee-4e9e-b138-5666813bdc66</t>
  </si>
  <si>
    <t>นายอนัส เจะหมาด</t>
  </si>
  <si>
    <t>https://drive.google.com/file/d/1pYy-JgtdV9_Qo1rRGwynlyJrOgajh0sV/view?usp=drivesdk</t>
  </si>
  <si>
    <t>64592677-ffbb-41e7-ba02-dc3e0b92f9bf</t>
  </si>
  <si>
    <t>นายชารีฟ แซมาลี</t>
  </si>
  <si>
    <t>https://drive.google.com/file/d/1mRRILaK6FXAMBee71Rx_LSbRpUCbTfvt/view?usp=drivesdk</t>
  </si>
  <si>
    <t>e1869739-c642-4fca-b293-fd838e008a66</t>
  </si>
  <si>
    <t>นายฟิตดุลยา เจ๊ะหะ</t>
  </si>
  <si>
    <t>https://drive.google.com/file/d/1tt2p7vvUgZYSwVKBgH5jO0tTkMJdvpSH/view?usp=drivesdk</t>
  </si>
  <si>
    <t>b4d72641-1e07-461e-a855-160279cfe275</t>
  </si>
  <si>
    <t>นายลุฐฟีย์ บือราเฮง</t>
  </si>
  <si>
    <t>https://drive.google.com/file/d/1mmdpOgW-e4k1HWRep1b9Vfc7G1ZF8Sp5/view?usp=drivesdk</t>
  </si>
  <si>
    <t>3d69e6b7-f016-4027-84fe-62ff6304db96</t>
  </si>
  <si>
    <t>นายอิคลาศ แวสุหลง</t>
  </si>
  <si>
    <t>https://drive.google.com/file/d/1YQyfEjcJLP1teZTJN2I__Z3F4T4fQcvX/view?usp=drivesdk</t>
  </si>
  <si>
    <t>5374fa7b-eca7-4551-b28d-b69566d2551f</t>
  </si>
  <si>
    <t>นายนินิสฟูร์ สะแต</t>
  </si>
  <si>
    <t>https://drive.google.com/file/d/1PX6GSF-2AHV1usSBmlRKvOttlNEwo2Mf/view?usp=drivesdk</t>
  </si>
  <si>
    <t>4f9df211-212f-4f0d-af04-858d4970f714</t>
  </si>
  <si>
    <t>นายฮาฟิซ อิจิ</t>
  </si>
  <si>
    <t>https://drive.google.com/file/d/1b0wTj1yAVtnVyz90Iuv3jbBf4AZ2n5Ft/view?usp=drivesdk</t>
  </si>
  <si>
    <t>012b5abf-0aab-41b9-b40b-d512daa86263</t>
  </si>
  <si>
    <t>นายนูรูดีน ใบโสะดำ</t>
  </si>
  <si>
    <t>https://drive.google.com/file/d/1aeetJTK8EKFj6kZcMP9yt1105AlfJ1o5/view?usp=drivesdk</t>
  </si>
  <si>
    <t>2dab9be7-1003-4db9-a4ca-89476b2eea40</t>
  </si>
  <si>
    <t>นายอัรฟาน มะเด็ง</t>
  </si>
  <si>
    <t>https://drive.google.com/file/d/1ojpqoM7HJ9Hu5GrMnYd3hUhCYCaMTwLH/view?usp=drivesdk</t>
  </si>
  <si>
    <t>6e52cf34-5211-4d10-a477-c444db434fcc</t>
  </si>
  <si>
    <t>เด็กชายอาลีฟ หะยีมิง</t>
  </si>
  <si>
    <t>https://drive.google.com/file/d/1GTKHghaDRzJ9kng9k9LEew_XDLd2j84A/view?usp=drivesdk</t>
  </si>
  <si>
    <t>956dea79-a594-427a-b501-7f2685580f26</t>
  </si>
  <si>
    <t>นายมูฮัมหมัดซาซูวัน คาเร็ง</t>
  </si>
  <si>
    <t>https://drive.google.com/file/d/1G3ThqWP--DVOnGd3jaIVYtrtwM48MDj3/view?usp=drivesdk</t>
  </si>
  <si>
    <t>8f48fa01-b704-4978-8378-86163fc4c5a6</t>
  </si>
  <si>
    <t>นายรัชชานนท์ เชาว์ช่าง</t>
  </si>
  <si>
    <t>https://drive.google.com/file/d/1ec4FHiS8xkjj202XJOUE1HdSe8cenBQb/view?usp=drivesdk</t>
  </si>
  <si>
    <t>529390d3-15e5-4e9b-9139-1fbad577df23</t>
  </si>
  <si>
    <t>เด็กชายอัฟฎอล หะยีจิ</t>
  </si>
  <si>
    <t>https://drive.google.com/file/d/1FE-K-ctSwfhZdnDHqEXhHKXMd6Jo-8VN/view?usp=drivesdk</t>
  </si>
  <si>
    <t>0360b978-9539-44fb-927e-6c551491c348</t>
  </si>
  <si>
    <t>นายมูฮัมหมัดฟิรดาว อาแวกือจิ</t>
  </si>
  <si>
    <t>https://drive.google.com/file/d/12n0rLmmJtjXLpeGqVA1s75BZ7zCOCW0u/view?usp=drivesdk</t>
  </si>
  <si>
    <t>c9f763fd-b533-4c3f-9413-b86619d86a4f</t>
  </si>
  <si>
    <t>นายฟิรฮาน หัตถประดิษฐ์</t>
  </si>
  <si>
    <t>https://drive.google.com/file/d/1RrZUdMCRUbep1RMUQMJXEAkVJno4efFN/view?usp=drivesdk</t>
  </si>
  <si>
    <t>67417b5d-16c5-4dca-89b4-753682441178</t>
  </si>
  <si>
    <t>นายนัศรุจน์ ทันยุภัก</t>
  </si>
  <si>
    <t>https://drive.google.com/file/d/1C5qLbtXy18q5nRSeZ8dDLmQzDQZIFq5V/view?usp=drivesdk</t>
  </si>
  <si>
    <t>c6b37459-e354-49f5-b1d1-b803478420d1</t>
  </si>
  <si>
    <t>นายมูฮัมหมัดนีซัมมุดดีน อามะ</t>
  </si>
  <si>
    <t>https://drive.google.com/file/d/15IXzwHrYtzWAFdtysCfAQ-d4JZDom9z6/view?usp=drivesdk</t>
  </si>
  <si>
    <t>8da57378-2048-4e38-8c53-522dc8341504</t>
  </si>
  <si>
    <t>นายอาลาวีย์ สลำเหม</t>
  </si>
  <si>
    <t>https://drive.google.com/file/d/193UrfNBzvXwrW4YpCGbgIb5D7--xEhr3/view?usp=drivesdk</t>
  </si>
  <si>
    <t>61774655-20c8-4a73-bc76-10eb9dbf0717</t>
  </si>
  <si>
    <t>นายอัชรอฟ อับดุลวาฮับ</t>
  </si>
  <si>
    <t>https://drive.google.com/file/d/1ceEsVwNvPT1PKnFjc_4ngBumh7GpqSCv/view?usp=drivesdk</t>
  </si>
  <si>
    <t>ae00f6e6-458e-4c0e-bea2-ee0bedc924b9</t>
  </si>
  <si>
    <t>นายฮีซาม กาแบ</t>
  </si>
  <si>
    <t>https://drive.google.com/file/d/1zwTYwkS9Wa5obGd1noPrSy_OGmvVX4Ul/view?usp=drivesdk</t>
  </si>
  <si>
    <t>fc0b2d12-8537-4d5f-9a00-d17a2b6b25e4</t>
  </si>
  <si>
    <t>นายอิสกันดาร์ ลาเตะ</t>
  </si>
  <si>
    <t>https://drive.google.com/file/d/1K1GX0Kxy1ANrQlzF8m0Bb-rcwoiyRQI-/view?usp=drivesdk</t>
  </si>
  <si>
    <t>101f35b9-77e1-47db-8dd8-73485f45c442</t>
  </si>
  <si>
    <t>นางสาวซอลีฮะห์ สาเมาะ</t>
  </si>
  <si>
    <t>https://drive.google.com/file/d/1oRCTEoRJHbFyLqsFKlw37qL5qHgfDDmU/view?usp=drivesdk</t>
  </si>
  <si>
    <t>da1f8aa1-5051-4476-9183-439990f85ceb</t>
  </si>
  <si>
    <t>นางสาวอาตีน่า มาลารัตน์</t>
  </si>
  <si>
    <t>https://drive.google.com/file/d/1zi1EelKyXaXITqajd5VxyKjFC3kyWs6S/view?usp=drivesdk</t>
  </si>
  <si>
    <t>3620d0d1-a4b7-45e7-8f10-c19148078d6f</t>
  </si>
  <si>
    <t>นางสาวอิมตีนาน อารง</t>
  </si>
  <si>
    <t>https://drive.google.com/file/d/1WZEH2es79uUQQk5d5mxJhTsG5tj4zpH_/view?usp=drivesdk</t>
  </si>
  <si>
    <t>b3d90649-86c5-43b5-98dd-0bc37fcaf6f0</t>
  </si>
  <si>
    <t>นางสาวฟาตีเม๊าะ ดอเลาะ</t>
  </si>
  <si>
    <t>https://drive.google.com/file/d/1E3cAQ_HXZTUoB1g2kbb22-bQD3nbYa7u/view?usp=drivesdk</t>
  </si>
  <si>
    <t>0f16bfc0-e77b-43ba-9a65-65032e563253</t>
  </si>
  <si>
    <t>นางสาวสาธิตา ดอแนเล๊าะ</t>
  </si>
  <si>
    <t>https://drive.google.com/file/d/1ewKqNZRd4bha67uYB5nSmwZdSfmc23HQ/view?usp=drivesdk</t>
  </si>
  <si>
    <t>2750fac5-e6e4-4292-ba0a-63ef05072bce</t>
  </si>
  <si>
    <t>นางสาวนัตตรีเซีย สองเมือง</t>
  </si>
  <si>
    <t>https://drive.google.com/file/d/1hvHjJXxd2Jx9wl3nQo8RF49SjrFU8cyd/view?usp=drivesdk</t>
  </si>
  <si>
    <t>b1b9139b-84e3-405b-a733-ad91ed097d55</t>
  </si>
  <si>
    <t>นางสาวนาดียา แซแม็ง</t>
  </si>
  <si>
    <t>https://drive.google.com/file/d/1xGzBgePscXX4Zm1D0WdE594W8KALzS0J/view?usp=drivesdk</t>
  </si>
  <si>
    <t>27ce1055-9434-4cd4-8ce1-99c14375b496</t>
  </si>
  <si>
    <t>นางสาวซูไรนีย์ วันยี</t>
  </si>
  <si>
    <t>https://drive.google.com/file/d/1prdC1hGFAGHDrSp-O2egtJZV9QaD2-nl/view?usp=drivesdk</t>
  </si>
  <si>
    <t>46a18a23-b866-403a-a376-bbcf5a03ebb3</t>
  </si>
  <si>
    <t>นางสาวซัลมี ฮามะ</t>
  </si>
  <si>
    <t>https://drive.google.com/file/d/1HwSG3uFPC4HLT8koE-RxQ2PdGaNdxO8K/view?usp=drivesdk</t>
  </si>
  <si>
    <t>67729dbd-be36-4873-8733-d02e2eb225ce</t>
  </si>
  <si>
    <t>นางสาวนาซูฮา แดวอ</t>
  </si>
  <si>
    <t>https://drive.google.com/file/d/1SSlQp6j4v1xJg7Hnq_b0eb0L2uywCE2u/view?usp=drivesdk</t>
  </si>
  <si>
    <t>8bc32d79-7c79-4e1f-af87-9cc2f363ebf4</t>
  </si>
  <si>
    <t>นางสาวนัจมีญร์ ดายี</t>
  </si>
  <si>
    <t>https://drive.google.com/file/d/1ihVD29ITdGpei_ZZxvDKJgqtiRF-isiq/view?usp=drivesdk</t>
  </si>
  <si>
    <t>3ebd4c55-a186-438e-b2e6-57a251c6ddac</t>
  </si>
  <si>
    <t>เด็กหญิงญานูรี สาหลำ</t>
  </si>
  <si>
    <t>https://drive.google.com/file/d/1unltHUW0ifUFIF5BfN-isUNhI23pdEzd/view?usp=drivesdk</t>
  </si>
  <si>
    <t>01a16639-ec2c-4ffa-8d57-9887b91ef739</t>
  </si>
  <si>
    <t>นางสาวซูรัยดา บากาประเสริฐ</t>
  </si>
  <si>
    <t>https://drive.google.com/file/d/1lpg3piYKgqivjzJgnR9HKY4G-q5K10Hx/view?usp=drivesdk</t>
  </si>
  <si>
    <t>9e289f2e-cc02-4df8-8864-0cfd9a3d3667</t>
  </si>
  <si>
    <t>นางสาวนัชวา อภิบาลแบ</t>
  </si>
  <si>
    <t>https://drive.google.com/file/d/1dEOAAGO6q_N3cyhq28eRZD_xUDfwl4oF/view?usp=drivesdk</t>
  </si>
  <si>
    <t>b013c10e-e3d8-4957-8aa2-7518a5f976c3</t>
  </si>
  <si>
    <t>นางสาวโศรายา จินตารา</t>
  </si>
  <si>
    <t>https://drive.google.com/file/d/1avTR6bF7MYWKs9IxKToe5bPfLaRwKKsi/view?usp=drivesdk</t>
  </si>
  <si>
    <t>2c29923b-233b-4652-81a5-ed9354f03e2c</t>
  </si>
  <si>
    <t>นางสาวมุสลีมะฮ์ สมาน</t>
  </si>
  <si>
    <t>https://drive.google.com/file/d/1rhvpOPAV9ReBT-9__LfWah762Y-D2ooq/view?usp=drivesdk</t>
  </si>
  <si>
    <t>12c68da3-2559-48f6-b37d-3252c12309d5</t>
  </si>
  <si>
    <t>นางสาวนารีตา สาแมแน็ง</t>
  </si>
  <si>
    <t>https://drive.google.com/file/d/10qqhQA5JYwq25Mr9eOXaPOHGGynHmH2x/view?usp=drivesdk</t>
  </si>
  <si>
    <t>225385b1-74cc-4a5e-a18d-145f28da9493</t>
  </si>
  <si>
    <t>นางสาวนิฟาติน ดาโอ๊ะ</t>
  </si>
  <si>
    <t>https://drive.google.com/file/d/1ozuqtp0uDHPpAfz5oKZcxJMRhkUQx_9r/view?usp=drivesdk</t>
  </si>
  <si>
    <t>0a7bf2c2-8c8a-429c-9d4a-6acd0a770ad5</t>
  </si>
  <si>
    <t>นางสาววาสินี สันบากอ</t>
  </si>
  <si>
    <t>https://drive.google.com/file/d/16r_ke6XKHiCJLnND6Cy1_y4Ymg0YfQUv/view?usp=drivesdk</t>
  </si>
  <si>
    <t>37f9c518-4ada-4f4c-afd3-2499b8a65425</t>
  </si>
  <si>
    <t>นางสาวนูรฮายาตี สุหลง</t>
  </si>
  <si>
    <t>https://drive.google.com/file/d/1g0kbSCRZnE8Ot26hQwbestXHB9HbxSED/view?usp=drivesdk</t>
  </si>
  <si>
    <t>1adbd819-3063-4685-b11f-2dcaf07e608a</t>
  </si>
  <si>
    <t>นางสาวฟิรดาว ยาลอ</t>
  </si>
  <si>
    <t>https://drive.google.com/file/d/1HkKwWlBqpZFOpMdr18ByrtE052VRTcXn/view?usp=drivesdk</t>
  </si>
  <si>
    <t>f072823a-d8b3-4206-b4bc-f26aae8fa055</t>
  </si>
  <si>
    <t>เด็กหญิงรูกัยหยะฮ ก่องสามัน</t>
  </si>
  <si>
    <t>https://drive.google.com/file/d/1ta-rKJXCeFhiFKuI5u1zkrasqfNbmNKo/view?usp=drivesdk</t>
  </si>
  <si>
    <t>2dd3c7aa-dd42-46e0-be79-a7b4c354d5d0</t>
  </si>
  <si>
    <t>นางสาวอิฟตีซาน สานิ</t>
  </si>
  <si>
    <t>https://drive.google.com/file/d/1TTOkMhYbpJuNH1CcGJb0JJfonKSQkze_/view?usp=drivesdk</t>
  </si>
  <si>
    <t>7a69c0a1-ea6b-46db-b73b-2cf3fef38830</t>
  </si>
  <si>
    <t>นางสาวอุษวาตี วาหะ</t>
  </si>
  <si>
    <t>https://drive.google.com/file/d/18u0I81hhvivYlN5Q5_11_XD90JIAUaTM/view?usp=drivesdk</t>
  </si>
  <si>
    <t>fd73619d-33ef-4244-9c3a-7335fc20a0b2</t>
  </si>
  <si>
    <t>นางสาวซีรีน สะมะแอ</t>
  </si>
  <si>
    <t>https://drive.google.com/file/d/1byhc6Ql1cUAkj9E-BSRF3L3v_4iSi5WI/view?usp=drivesdk</t>
  </si>
  <si>
    <t>099edb82-110b-42ff-9839-ff2eaa4e8acd</t>
  </si>
  <si>
    <t>นางสาวซีรินณ์ ยูโซะ</t>
  </si>
  <si>
    <t>https://drive.google.com/file/d/1kLiwuJhBQFF4kSTS46ODYmAAv8-kam40/view?usp=drivesdk</t>
  </si>
  <si>
    <t>f02a11d2-bd2b-4698-8e13-8f5156968446</t>
  </si>
  <si>
    <t>นางสาวซัลซาบีลา หะนั่ง</t>
  </si>
  <si>
    <t>https://drive.google.com/file/d/1ptvDOK0WnLyOHg1yRZiYnJt1ox4KjN7h/view?usp=drivesdk</t>
  </si>
  <si>
    <t>68bd555a-d43d-42d5-b9c6-d40e5302b819</t>
  </si>
  <si>
    <t>นางสาวนุรมี คอแบ๊ะ</t>
  </si>
  <si>
    <t>https://drive.google.com/file/d/1Jl4_kJ_H9I4aFwEdMd9tM4m47qZNoSkm/view?usp=drivesdk</t>
  </si>
  <si>
    <t>cac8b274-8beb-443c-acc6-e16e40ebb13b</t>
  </si>
  <si>
    <t>เด็กหญิงรุสนา วันยี</t>
  </si>
  <si>
    <t>https://drive.google.com/file/d/1oJGXKXCuqAX5l_W_7qLGCjsHDyt82eOL/view?usp=drivesdk</t>
  </si>
  <si>
    <t>3aa95981-afaa-4c3c-a41c-fc48e50a66b3</t>
  </si>
  <si>
    <t>นางสาวนุรดีนี สุหลง</t>
  </si>
  <si>
    <t>https://drive.google.com/file/d/1vmsTGy0FailXYfBRMj4X6b4LOmAv8nTT/view?usp=drivesdk</t>
  </si>
  <si>
    <t>7ed1f6e0-0424-426d-a848-5530e7bb6f00</t>
  </si>
  <si>
    <t>นางสาวนัซนีม ดือราแม</t>
  </si>
  <si>
    <t>https://drive.google.com/file/d/10aDpfcLXnmIfqal2MSFdMXnG1i9OdEPA/view?usp=drivesdk</t>
  </si>
  <si>
    <t>e30bb5ca-8631-49aa-aa04-72ac95e24113</t>
  </si>
  <si>
    <t>นางสาวนิอาลียา เจะแม</t>
  </si>
  <si>
    <t>https://drive.google.com/file/d/1zhVeK09RqjYrFAxtdizJsqdxncerbeC9/view?usp=drivesdk</t>
  </si>
  <si>
    <t>5632d0ce-0995-4de5-8c4c-ae44b4d246c2</t>
  </si>
  <si>
    <t>นางสาวนาวัล มีนา</t>
  </si>
  <si>
    <t>https://drive.google.com/file/d/1p1sl-LnIJhbyqO2flrCB-UcpTLlveDQX/view?usp=drivesdk</t>
  </si>
  <si>
    <t>7af215d4-25a2-404e-9fb4-266ad2bf0e1d</t>
  </si>
  <si>
    <t>นางสาวชนันธิดา เขียวสด</t>
  </si>
  <si>
    <t>https://drive.google.com/file/d/1fh4JA1nWZdTVGx4RKvI1PgumwPmJVZsX/view?usp=drivesdk</t>
  </si>
  <si>
    <t>08017e26-e335-470b-ab3e-65f05453940f</t>
  </si>
  <si>
    <t>นางสาวตัสนีม มันปุ</t>
  </si>
  <si>
    <t>https://drive.google.com/file/d/1AdwsYy5ixTU7PCLXQouTCTpap4kMCBzy/view?usp=drivesdk</t>
  </si>
  <si>
    <t>b78be0d0-07ec-49b0-afd2-8cceefcffe1a</t>
  </si>
  <si>
    <t>นางสาวสีตีอาอีเส๊าะ สุหลง</t>
  </si>
  <si>
    <t>https://drive.google.com/file/d/14B6G7QxgRWnexeOXXvjgaWTYkH1e3rVL/view?usp=drivesdk</t>
  </si>
  <si>
    <t>71c7a53d-77b7-4ba5-bed7-0e7dafc9d7a5</t>
  </si>
  <si>
    <t>นางสาวฮัยซูม ดามัน</t>
  </si>
  <si>
    <t>https://drive.google.com/file/d/1QATjjbm52Y6iZp_W21s1A1AGiicDjTMa/view?usp=drivesdk</t>
  </si>
  <si>
    <t>461f5dac-d310-48c3-bdf2-9f64a0e2937a</t>
  </si>
  <si>
    <t>นางสาวฟิร์ดาว สากา</t>
  </si>
  <si>
    <t>https://drive.google.com/file/d/1AdnbcZeLvbRl6sr17-8v9lsNrziBWhB6/view?usp=drivesdk</t>
  </si>
  <si>
    <t>7e5eecf5-0178-4212-ae6b-eab9533f5693</t>
  </si>
  <si>
    <t>เด็กหญิงนัซรินทร์ สาและ</t>
  </si>
  <si>
    <t>https://drive.google.com/file/d/1DCn5rH6BwWw-eE29oitqaT9BshkI8XM4/view?usp=drivesdk</t>
  </si>
  <si>
    <t>4a338ba2-0b7a-4e69-8104-d295e0c4c098</t>
  </si>
  <si>
    <t>นางสาวอันดา เจะหะ</t>
  </si>
  <si>
    <t>https://drive.google.com/file/d/1oBtxPgieykEZbLIYiVd5bDfcC7qXMtcX/view?usp=drivesdk</t>
  </si>
  <si>
    <t>f5241aa5-6cb1-439e-8217-a18e149b6296</t>
  </si>
  <si>
    <t>นางสาวเบนาซี ดาระโจะ</t>
  </si>
  <si>
    <t>https://drive.google.com/file/d/1_Y66vgpa7Qk5I2Y_r9Gi36qe0PMRaD7O/view?usp=drivesdk</t>
  </si>
  <si>
    <t>4912ec26-eae6-4f59-95e6-565615eb2923</t>
  </si>
  <si>
    <t>นางสาวซูไรดา เดนหะ</t>
  </si>
  <si>
    <t>https://drive.google.com/file/d/19lE-4pmrJi0wAH4DQckiLj_X8kvu2jDB/view?usp=drivesdk</t>
  </si>
  <si>
    <t>c415bd5a-57ca-4a63-959a-32e6b7e078d1</t>
  </si>
  <si>
    <t>นางสาวซัลวา ปะดอดา</t>
  </si>
  <si>
    <t>https://drive.google.com/file/d/1SjJQs0s0Nfs44FwrwvKVeFVcLkSBO_FL/view?usp=drivesdk</t>
  </si>
  <si>
    <t>e55d3036-94d3-414b-b322-2b9cc0e3a7bb</t>
  </si>
  <si>
    <t>นางสาวนูรีตา สาแม</t>
  </si>
  <si>
    <t>https://drive.google.com/file/d/1WQT6UoPZn5jR55SkBIxshbMcizd2d4iD/view?usp=drivesdk</t>
  </si>
  <si>
    <t>41743293-ab06-4f71-a253-1d8f94b2222e</t>
  </si>
  <si>
    <t>นางสาวอาลีซา สาและ</t>
  </si>
  <si>
    <t>https://drive.google.com/file/d/1aJhmTKEt35zg5tSHsRizA4Z__kw0MgbP/view?usp=drivesdk</t>
  </si>
  <si>
    <t>8e4e9e0b-a18d-45c2-819a-5775809c6fc2</t>
  </si>
  <si>
    <t>เด็กหญิงบิสมิลล์ กูโน</t>
  </si>
  <si>
    <t>https://drive.google.com/file/d/1Y1bdGoL32rDrfx2AlkvrXylWaeMrDAAP/view?usp=drivesdk</t>
  </si>
  <si>
    <t>bdff3a93-a527-4a57-8657-dee1983a1bc9</t>
  </si>
  <si>
    <t>นางสาวฟาดียะห์ ปาเนาะ</t>
  </si>
  <si>
    <t>https://drive.google.com/file/d/1QdOPEMe8SsPdILT4FfHPYIboGHxf95EJ/view?usp=drivesdk</t>
  </si>
  <si>
    <t>1426dcf5-feed-4ce2-801a-faf4002a7961</t>
  </si>
  <si>
    <t>นางสาวนัสริน หะยีบากา</t>
  </si>
  <si>
    <t>https://drive.google.com/file/d/1c3Yoo5r6erFNAYKSYWRSEztAkFJklwjF/view?usp=drivesdk</t>
  </si>
  <si>
    <t>8ad09dc9-117d-4d62-9c11-3c1de2c602b5</t>
  </si>
  <si>
    <t>นางสาวนูรฮีดายะห์ อาฮา</t>
  </si>
  <si>
    <t>https://drive.google.com/file/d/1KoBGaJajjezf0XauJvwPJAc34oYoa-f2/view?usp=drivesdk</t>
  </si>
  <si>
    <t>6b24d342-4ae4-478f-a10a-cf36815312cb</t>
  </si>
  <si>
    <t>นางสาวอามัล อิละละ</t>
  </si>
  <si>
    <t>https://drive.google.com/file/d/1i589EOig3FWK7M7qd6PU1mgYBDmh6K3H/view?usp=drivesdk</t>
  </si>
  <si>
    <t>4d4a49bc-6574-4e54-9530-99d507a57e63</t>
  </si>
  <si>
    <t>นางสาวนัซรินทร์ ดาราแม</t>
  </si>
  <si>
    <t>https://drive.google.com/file/d/1YLEdMy70OB8yAB1h8I-p1sivLGQ68D-I/view?usp=drivesdk</t>
  </si>
  <si>
    <t>e3b87d7b-891f-4833-a2fc-3bfe2b6f25b2</t>
  </si>
  <si>
    <t>นางสาวนัจญวา ล่าหับ</t>
  </si>
  <si>
    <t>https://drive.google.com/file/d/1ezvhGyMQhDd8FOdIn69khFZOzgqJeInr/view?usp=drivesdk</t>
  </si>
  <si>
    <t>27682ee6-bd0b-4b8c-8fb0-1a8d320f96cf</t>
  </si>
  <si>
    <t>นางสาวซารีนา หมัดอาด้ำ</t>
  </si>
  <si>
    <t>https://drive.google.com/file/d/1_P4VNCj3evfP1S36i1be3SId9ilV7xb3/view?usp=drivesdk</t>
  </si>
  <si>
    <t>d0ac0c96-270a-49bc-abd7-e03e4c47ce18</t>
  </si>
  <si>
    <t>เด็กหญิงวันนูรญาวารี ดอเลาะ</t>
  </si>
  <si>
    <t>https://drive.google.com/file/d/10L8Byg-JK4RAYS6n0uJVbE4O5_i48Y_M/view?usp=drivesdk</t>
  </si>
  <si>
    <t>e58936be-7fd2-4acf-a456-e8bafa6f70d1</t>
  </si>
  <si>
    <t>นางสาวนรรจวา อาแด</t>
  </si>
  <si>
    <t>https://drive.google.com/file/d/1fre0SfXHD3xaiJwasao6ZN7SMWJf_UrF/view?usp=drivesdk</t>
  </si>
  <si>
    <t>c3c1806e-ffdb-4c08-8075-5a16d1f9d90c</t>
  </si>
  <si>
    <t>นางสาวนูรฟิสรี เหตุหาก</t>
  </si>
  <si>
    <t>https://drive.google.com/file/d/1ZnUkqVvLIYljfd0-TfoAieOFo-UnHifB/view?usp=drivesdk</t>
  </si>
  <si>
    <t>1d3a6b94-5cb4-4c82-b709-aa0a46e7439d</t>
  </si>
  <si>
    <t>นางสาวมาริษา มูนะ</t>
  </si>
  <si>
    <t>https://drive.google.com/file/d/1uJofLpoW6ymooPI-M_ukM_dGpnFU9DF6/view?usp=drivesdk</t>
  </si>
  <si>
    <t>930a53d2-ae40-4570-a63c-d0c4231aee44</t>
  </si>
  <si>
    <t>เด็กหญิงฮันนาน แซ่เตียว</t>
  </si>
  <si>
    <t>https://drive.google.com/file/d/10oCxG0SDGf2fQyV0rXork4Z2T0tvR4Tl/view?usp=drivesdk</t>
  </si>
  <si>
    <t>61cd91b8-3284-4a22-8b4d-22042506ccca</t>
  </si>
  <si>
    <t>นางสาวรอยฮาน ตาเยาะ</t>
  </si>
  <si>
    <t>https://drive.google.com/file/d/1bosap7OeaFZxOR7bT1CsP3o9v4yGMqkl/view?usp=drivesdk</t>
  </si>
  <si>
    <t>59e06fec-1528-4c6c-b55c-bc0196386dc8</t>
  </si>
  <si>
    <t>เด็กหญิงนัจมีย์ สามะ</t>
  </si>
  <si>
    <t>https://drive.google.com/file/d/1BjdVwWJ2g32H8AbZwPXchGZKP9gNmtYO/view?usp=drivesdk</t>
  </si>
  <si>
    <t>f4d5832b-46bb-41bb-aed3-f58818774a59</t>
  </si>
  <si>
    <t>จัดการเลือกตั้ง68/69</t>
  </si>
  <si>
    <t>https://drive.google.com/file/d/1BR-ZEDjt7uBPSkKV9Y1WoqfGD6WB3e7u/view?usp=drivesdk</t>
  </si>
  <si>
    <t>8fc04538-f7a0-43d1-8818-1577ace228e7</t>
  </si>
  <si>
    <t>https://drive.google.com/file/d/1SmPR__e9DVOwDN4bllDuY_3Tw39IqiWB/view?usp=drivesdk</t>
  </si>
  <si>
    <t>dfd85d90-8752-4c2c-8415-71e1faec39b3</t>
  </si>
  <si>
    <t>https://drive.google.com/file/d/1FRAW4z6RtridTHGTQk11oz5IU4u301RV/view?usp=drivesdk</t>
  </si>
  <si>
    <t>b4442c4a-4cbe-4128-ac8f-d55b143920cf</t>
  </si>
  <si>
    <t>https://drive.google.com/file/d/1Ekd-EfiIMWb8ULdegfKfyFVvFU-fmitV/view?usp=drivesdk</t>
  </si>
  <si>
    <t>0efc94ea-46d6-4649-98c5-802310e5cf36</t>
  </si>
  <si>
    <t>https://drive.google.com/file/d/1V9n0wVR7QVVobyLQmdocy9fMgSK6ROYV/view?usp=drivesdk</t>
  </si>
  <si>
    <t>d33bd807-1351-4664-9cae-121aa3559daf</t>
  </si>
  <si>
    <t>https://drive.google.com/file/d/1zhkk9XV48Tv14yQGD4MCtUK2Gz4yoeyw/view?usp=drivesdk</t>
  </si>
  <si>
    <t>4111ada4-d884-4566-b47b-844e5dd6b64a</t>
  </si>
  <si>
    <t>การเขียนใบโครงการ</t>
  </si>
  <si>
    <t>https://drive.google.com/file/d/1pN7yhDdiNrTRhrmHZIuQpaa-SsOvdJzQ/view?usp=drivesdk</t>
  </si>
  <si>
    <t>490ae8fb-2998-4310-8e0c-bb009f9a3355</t>
  </si>
  <si>
    <t>https://drive.google.com/file/d/1RIQIJwsi384lQfnAIcalK4nHPAVaaBvU/view?usp=drivesdk</t>
  </si>
  <si>
    <t>52941771-5946-4144-9579-53462d191585</t>
  </si>
  <si>
    <t>https://drive.google.com/file/d/1neGMx5myGuSH9jrFJtCu_QNGf0pu-w7H/view?usp=drivesdk</t>
  </si>
  <si>
    <t>1e8f0126-da80-451a-b938-5acbd1cd90a3</t>
  </si>
  <si>
    <t>https://drive.google.com/file/d/1WiA_fOyyRMUYvQpDp1T6dhoEjiv2ENDr/view?usp=drivesdk</t>
  </si>
  <si>
    <t>7b5ffc59-87e7-48f5-a6fe-e9a53374bd1d</t>
  </si>
  <si>
    <t>https://drive.google.com/file/d/1CpelmbiIgNzyAr43hYx81usKBH8SsWUR/view?usp=drivesdk</t>
  </si>
  <si>
    <t>e8be85cd-9207-4ef2-b5f8-3ba4fd51a4c7</t>
  </si>
  <si>
    <t>https://drive.google.com/file/d/1HNVYxbq4ssNM1LkZBlX7zsxYtXQEiN5T/view?usp=drivesdk</t>
  </si>
  <si>
    <t>93b4c603-d2a9-46f6-ba32-72fcc4a8621a</t>
  </si>
  <si>
    <t>https://drive.google.com/file/d/12ceGPeU9vZ2EWfBA3IytWg7Pwo5oQIrQ/view?usp=drivesdk</t>
  </si>
  <si>
    <t>c1a5a919-7435-4533-8806-e8570c96c493</t>
  </si>
  <si>
    <t>https://drive.google.com/file/d/1d_PgLKguF1-6T3r1QZHEbb2m1M--BUTK/view?usp=drivesdk</t>
  </si>
  <si>
    <t>126414e1-fd78-4c93-adbc-65de7074f52e</t>
  </si>
  <si>
    <t>https://drive.google.com/file/d/18v9PX4810DcSms2Fck_uyoRYwAu_usS6/view?usp=drivesdk</t>
  </si>
  <si>
    <t>874e0f4e-8509-49ca-9b5e-2a5072d2663a</t>
  </si>
  <si>
    <t>https://drive.google.com/file/d/1PR7JHxf_CmjPgq_smYmbh4I36glSydbo/view?usp=drivesdk</t>
  </si>
  <si>
    <t>c2b09d9f-bd9a-4900-b8b3-610456d5428e</t>
  </si>
  <si>
    <t>https://drive.google.com/file/d/1AFijPNdSNNVP3Rn6ZU6c0fZhiAlt-FLC/view?usp=drivesdk</t>
  </si>
  <si>
    <t>fad8b79c-42c0-4f82-961b-de5a7c9d07bb</t>
  </si>
  <si>
    <t>https://drive.google.com/file/d/1nyX5WCXuxBj9K6QUQ-0esrlP8o7ytQen/view?usp=drivesdk</t>
  </si>
  <si>
    <t>cbaf0767-be97-4265-b6af-68c66e080199</t>
  </si>
  <si>
    <t>https://drive.google.com/file/d/1AHDIdexK-d4vytUQFZS7v93uG5470ad-/view?usp=drivesdk</t>
  </si>
  <si>
    <t>32bc8da5-1041-4e67-9daf-2e3e45f27e3b</t>
  </si>
  <si>
    <t>https://drive.google.com/file/d/11y9d0-lopBLqPCuNik4BVBvwiHWKOrvO/view?usp=drivesdk</t>
  </si>
  <si>
    <t>d1ace7f6-42a8-49a4-9533-727221c09697</t>
  </si>
  <si>
    <t>https://drive.google.com/file/d/1b4v6mUdz16AkC-7W_Oi00XBTpAxiDtGg/view?usp=drivesdk</t>
  </si>
  <si>
    <t>0bfe2595-53c9-46d1-b22a-7a396b016ec5</t>
  </si>
  <si>
    <t>https://drive.google.com/file/d/1qfwhpN1b4_DhHKLgpfHhwg8hEQu9If_3/view?usp=drivesdk</t>
  </si>
  <si>
    <t>770785c0-4376-4cac-8c2f-a30ffdda0884</t>
  </si>
  <si>
    <t>https://drive.google.com/file/d/17P2qFyPrCxc_KlvhPrj9XAQKg6w_Nx09/view?usp=drivesdk</t>
  </si>
  <si>
    <t>82236d64-971b-4a40-8ff6-01080eae404c</t>
  </si>
  <si>
    <t>https://drive.google.com/file/d/1z05ZFiW5yh0KaHYgOhsaG0aVej-oELRd/view?usp=drivesdk</t>
  </si>
  <si>
    <t>62729617-a04b-41b7-97fb-4c112df9112f</t>
  </si>
  <si>
    <t>https://drive.google.com/file/d/1-m8rhOAD1ePAy4Zo3C6L8HmnT9ccR-SS/view?usp=drivesdk</t>
  </si>
  <si>
    <t>6f747489-699a-41c8-8ec5-99f52eea8a33</t>
  </si>
  <si>
    <t>https://drive.google.com/file/d/1xBZzpusGfDL4v1FqOLAxyJtyCzhzBI2-/view?usp=drivesdk</t>
  </si>
  <si>
    <t>154e8818-b06c-474b-af26-3e173069059a</t>
  </si>
  <si>
    <t>https://drive.google.com/file/d/1CwVQy6xE1shorqO1-W1lwMkI5DBPKKjg/view?usp=drivesdk</t>
  </si>
  <si>
    <t>af5debd1-d04c-41ad-ac55-bc2cf30b6fad</t>
  </si>
  <si>
    <t>https://drive.google.com/file/d/182sqnW5QisvSa2H4OoW9DLLIQhHNVveR/view?usp=drivesdk</t>
  </si>
  <si>
    <t>f6ce3d12-1799-4352-b50a-7f9d28b9cf60</t>
  </si>
  <si>
    <t>https://drive.google.com/file/d/1UmP8b_tRtXSHgKN7FRT9v7i5zk0rhBHr/view?usp=drivesdk</t>
  </si>
  <si>
    <t>1fed2e8a-59ce-4d6b-9dab-8299de41111e</t>
  </si>
  <si>
    <t>https://drive.google.com/file/d/1PIBZzyF6sDMRLG8Jq0IjvITFxRB-a9UE/view?usp=drivesdk</t>
  </si>
  <si>
    <t>a004fcc4-a48a-48f8-b90d-154804433556</t>
  </si>
  <si>
    <t>https://drive.google.com/file/d/1uIBoi6wMY9K9mzVro7567M4WB2j4ChOk/view?usp=drivesdk</t>
  </si>
  <si>
    <t>0147bff5-41fe-4980-88ed-5567b66edbfd</t>
  </si>
  <si>
    <t>https://drive.google.com/file/d/1CAyrTdsO1H-viv2NoZS970gcTGkzqmzC/view?usp=drivesdk</t>
  </si>
  <si>
    <t>845c4075-e000-40e2-997b-0f7f72ac1f7b</t>
  </si>
  <si>
    <t>https://drive.google.com/file/d/1-MGNhs56Yjo2hfHG4jBQWvmfvcmCoqWo/view?usp=drivesdk</t>
  </si>
  <si>
    <t>0bc67798-83d1-4e06-ae11-ce925569e76f</t>
  </si>
  <si>
    <t>https://drive.google.com/file/d/1jMlCsdVWXRKqjeH4zDGnY9efGgJmGnPI/view?usp=drivesdk</t>
  </si>
  <si>
    <t>d4d5aef4-265b-48f9-90cd-dcb513fcaa7f</t>
  </si>
  <si>
    <t>https://drive.google.com/file/d/1KMupXxg8OJhn2fxf_HCSOkydBz0UxQDa/view?usp=drivesdk</t>
  </si>
  <si>
    <t>57e2ebab-8ba9-4e1e-8eca-c4f974e12691</t>
  </si>
  <si>
    <t>https://drive.google.com/file/d/1agZcjTvLjx3G8o6YEkGShgGCfwgMx3Mf/view?usp=drivesdk</t>
  </si>
  <si>
    <t>a22202d0-4a59-46b7-b62c-23d827ed2db4</t>
  </si>
  <si>
    <t>https://drive.google.com/file/d/1Q46VPTV0qw5k0ludZY5ACfnFTAAW5p_T/view?usp=drivesdk</t>
  </si>
  <si>
    <t>fcf8a98d-8ec9-43b7-9515-f3f67eef26c0</t>
  </si>
  <si>
    <t>https://drive.google.com/file/d/1hlwqBBCqaWWkvAZJu28v7x6KaxjhkQhN/view?usp=drivesdk</t>
  </si>
  <si>
    <t>dc887602-bb34-4e6c-bac4-e01e956c10b6</t>
  </si>
  <si>
    <t>https://drive.google.com/file/d/1JLpo9Jb-ZlhCL5Ufc6ZpUF7Of-4-lALC/view?usp=drivesdk</t>
  </si>
  <si>
    <t>298a872a-a631-416c-a6d3-87030ab55aaa</t>
  </si>
  <si>
    <t>https://drive.google.com/file/d/18o5AQPRSBSg06faPWFesJmy8PmZ6qWDL/view?usp=drivesdk</t>
  </si>
  <si>
    <t>69b308fc-2312-41f2-a6ac-d31f829bb23b</t>
  </si>
  <si>
    <t>https://drive.google.com/file/d/1ON5O0li_2E_FDfzlPdaOePL9PRW35qdi/view?usp=drivesdk</t>
  </si>
  <si>
    <t>63434d09-3dcd-4b5b-8c16-497bd365235c</t>
  </si>
  <si>
    <t>https://drive.google.com/file/d/1tC5Hg6P2jcNEGC3yJyseHI2LPhbcrnlB/view?usp=drivesdk</t>
  </si>
  <si>
    <t>2a41ddbf-d806-4d2c-b7dd-a31f8c589b55</t>
  </si>
  <si>
    <t>https://drive.google.com/file/d/1CqKcq-zKqTohks26vRsnV3zPfUSPUEMv/view?usp=drivesdk</t>
  </si>
  <si>
    <t>ef4d89b0-7377-4248-b5f5-5f76f4f70373</t>
  </si>
  <si>
    <t>https://drive.google.com/file/d/14ZrGbM5Q8F2tPQbSdP-NVW0XmvicPCRF/view?usp=drivesdk</t>
  </si>
  <si>
    <t>3fcf0a58-883b-4b73-a6fe-42b839de38c6</t>
  </si>
  <si>
    <t>https://drive.google.com/file/d/1jko7SW_Zg4pQBMahL1V1v49p-lYyeP2u/view?usp=drivesdk</t>
  </si>
  <si>
    <t>be096ce2-693d-449d-b343-4d8b1a3c7c23</t>
  </si>
  <si>
    <t>https://drive.google.com/file/d/1X5tuYKWUbIoE_cxXUhfOnSqaGbxongYe/view?usp=drivesdk</t>
  </si>
  <si>
    <t>bacbfc4c-d545-4b3d-8800-555ef3cd6c67</t>
  </si>
  <si>
    <t>https://drive.google.com/file/d/1Zflcwhc6iQP18ujlj-8VMH9hqAkDUivt/view?usp=drivesdk</t>
  </si>
  <si>
    <t>ced01980-503a-47e5-b232-d4cfca6b2aef</t>
  </si>
  <si>
    <t>https://drive.google.com/file/d/1f7G_WkWxqeuuYGYRBNedLroXlqeUwl9K/view?usp=drivesdk</t>
  </si>
  <si>
    <t>7f73598d-5f60-411b-b269-075452981488</t>
  </si>
  <si>
    <t>https://drive.google.com/file/d/1fOXcAennGkSlJyDwhLhnihh2QKUsq50J/view?usp=drivesdk</t>
  </si>
  <si>
    <t>eb9cf9a7-5f81-4be4-9a78-f23a31f4ddcf</t>
  </si>
  <si>
    <t>https://drive.google.com/file/d/1J0TaoUAf5ibPy9vCL7pj0PgVWZSwKCB2/view?usp=drivesdk</t>
  </si>
  <si>
    <t>188eb466-f385-4112-b45f-65f980e0b02f</t>
  </si>
  <si>
    <t>https://drive.google.com/file/d/1lSaqB8OzwGELqq2awwQtJRk3MoWxIVA_/view?usp=drivesdk</t>
  </si>
  <si>
    <t>f1f1ccc8-9f87-4c8d-b0f0-b61bf462f666</t>
  </si>
  <si>
    <t>https://drive.google.com/file/d/1RdE586MBezEoWKjQV3MB-IQTyBBFtgE8/view?usp=drivesdk</t>
  </si>
  <si>
    <t>4013c0f2-cd62-49c6-9b1b-ebc31b59569d</t>
  </si>
  <si>
    <t>https://drive.google.com/file/d/1ILNcOSuLbcngA38kOoh0AZ4xtxu3Hoq5/view?usp=drivesdk</t>
  </si>
  <si>
    <t>68758445-61a6-4d27-b0eb-4fbbe7cb0a38</t>
  </si>
  <si>
    <t>https://drive.google.com/file/d/1jK6L3SlF_hGbNYELOkz5XTA8p0x0396N/view?usp=drivesdk</t>
  </si>
  <si>
    <t>a6060516-1f1d-4cee-82ad-34e7fce7c737</t>
  </si>
  <si>
    <t>https://drive.google.com/file/d/15Y9g6I8TxhPed9vwumzbVtUt0Kd25ajq/view?usp=drivesdk</t>
  </si>
  <si>
    <t>25c4a1c9-e353-4019-920d-5cb27540d1dc</t>
  </si>
  <si>
    <t>https://drive.google.com/file/d/1AKSgWrGOEsdgtfq5KfBq7pUwDyOvpyzT/view?usp=drivesdk</t>
  </si>
  <si>
    <t>4f61c74c-e40e-4ead-8391-1e8ee358a9cd</t>
  </si>
  <si>
    <t>https://drive.google.com/file/d/1sIFMlOndn_ohzlHGer5crDBbA5vQul4p/view?usp=drivesdk</t>
  </si>
  <si>
    <t>38502b7c-1e3d-42af-839d-7d465eb44e79</t>
  </si>
  <si>
    <t>https://drive.google.com/file/d/1tf-kfpr5P73HOeqBZgcFaf-kBfLBMTa-/view?usp=drivesdk</t>
  </si>
  <si>
    <t>eeeb3628-32e8-4a50-8670-31f3e223e7b8</t>
  </si>
  <si>
    <t>https://drive.google.com/file/d/1YSziSNNufTkpqXgq-GYStRtNQqJwutkI/view?usp=drivesdk</t>
  </si>
  <si>
    <t>7b03afa8-36e7-4290-9e83-21da9918d86e</t>
  </si>
  <si>
    <t>https://drive.google.com/file/d/16JLGLf1o6jk6IbA53MkQWHu-pC3s-kSF/view?usp=drivesdk</t>
  </si>
  <si>
    <t>5638f3ed-ba6e-4e28-9057-eb54d1b871ec</t>
  </si>
  <si>
    <t>https://drive.google.com/file/d/1_pLzsLfQyPb26HLL3wHzP0ll5dZ2_sH3/view?usp=drivesdk</t>
  </si>
  <si>
    <t>8f491f56-6539-4927-8d3c-201a4aceedfa</t>
  </si>
  <si>
    <t>https://drive.google.com/file/d/1WZtEwq3WBPZbbwfDNXPHHQU14W3EJYI5/view?usp=drivesdk</t>
  </si>
  <si>
    <t>57f45c27-1e59-4544-af1a-b22ac55191ea</t>
  </si>
  <si>
    <t>https://drive.google.com/file/d/10yeDN4uBTugUklr1NTFBLJCqKyRLxkJ1/view?usp=drivesdk</t>
  </si>
  <si>
    <t>4db978fc-0d7e-4964-bb69-6e4748fadb58</t>
  </si>
  <si>
    <t>https://drive.google.com/file/d/13iDTD9mMgarknYnNOdM41qIUrgWAMzHN/view?usp=drivesdk</t>
  </si>
  <si>
    <t>0364a2f5-bc12-4dfa-ab91-66df5a8c05c3</t>
  </si>
  <si>
    <t>https://drive.google.com/file/d/1kvjUfSJ52p1w8Kf7i8fiLDinXgjtjTRu/view?usp=drivesdk</t>
  </si>
  <si>
    <t>2215a713-4b46-4868-a7cc-bc0cc76b4e61</t>
  </si>
  <si>
    <t>https://drive.google.com/file/d/1d-EDs8Q74lc4qWwGcQSFet8kPPmNrAdz/view?usp=drivesdk</t>
  </si>
  <si>
    <t>31634417-c8c8-4aa7-af1a-f895fbc790bf</t>
  </si>
  <si>
    <t>https://drive.google.com/file/d/1XfH3bBXAO0VK8lH6oXraR1RG5nD3TcSh/view?usp=drivesdk</t>
  </si>
  <si>
    <t>1c966464-3442-4596-bdb2-ea5a76312e7b</t>
  </si>
  <si>
    <t>https://drive.google.com/file/d/1m8znU-026JdMWlmRIK_AsVgIQl6NNrds/view?usp=drivesdk</t>
  </si>
  <si>
    <t>35b91155-58cb-4104-9f00-ac7abe1cd7d4</t>
  </si>
  <si>
    <t>https://drive.google.com/file/d/1QBMOVV1NVvhR0-Y7DnntiL33x6u7HLAA/view?usp=drivesdk</t>
  </si>
  <si>
    <t>599566bc-e5ba-40d1-9fc6-d50c20986601</t>
  </si>
  <si>
    <t>https://drive.google.com/file/d/10eMkf530Lxrf3dy_I0agQutkFfDwYzXR/view?usp=drivesdk</t>
  </si>
  <si>
    <t>e1e65397-6da4-4ccc-9ef9-a7ad25ef823e</t>
  </si>
  <si>
    <t>https://drive.google.com/file/d/127fM4KlZe4puwKZ-rKRVjFc_SngAG6SB/view?usp=drivesdk</t>
  </si>
  <si>
    <t>4defe388-262b-47e0-a7ce-79df089df192</t>
  </si>
  <si>
    <t>https://drive.google.com/file/d/1CGn9ka3tPd61Nx-d7vqoi06blby3SAW1/view?usp=drivesdk</t>
  </si>
  <si>
    <t>d76fad16-e38b-4a40-99f0-1d8a6ff67b0d</t>
  </si>
  <si>
    <t>https://drive.google.com/file/d/1N5toxVYiGCOI2J_SpNQyjTtmVErrz4G-/view?usp=drivesdk</t>
  </si>
  <si>
    <t>c4afa170-e875-4fbf-aca0-57b5f2f55e23</t>
  </si>
  <si>
    <t>https://drive.google.com/file/d/11a3EVEjLOZMlaeX1H64xcB--SQyNdI6E/view?usp=drivesdk</t>
  </si>
  <si>
    <t>d26a18c0-60e8-463e-9b31-12f7019c1c2d</t>
  </si>
  <si>
    <t>https://drive.google.com/file/d/1aphx2xRlLcguVTZlyQYvyAZAuWM7Vil-/view?usp=drivesdk</t>
  </si>
  <si>
    <t>2b92e2ee-6d66-4c94-8d1e-8b113aeb175b</t>
  </si>
  <si>
    <t>https://drive.google.com/file/d/1nNH_xDpRBAhZxrNqa2Jt_nPwEeFLt2Pl/view?usp=drivesdk</t>
  </si>
  <si>
    <t>b3bf9ad3-bc45-40b1-943d-61d501ae3723</t>
  </si>
  <si>
    <t>https://drive.google.com/file/d/1N7PGV2n0FvjszWtECC36Cb9WqOLcyCg8/view?usp=drivesdk</t>
  </si>
  <si>
    <t>9dd1419b-3b60-46d3-9258-f597896a54a6</t>
  </si>
  <si>
    <t>https://drive.google.com/file/d/1tGFYbAzqea25sGnrswFT7C9_N1kc7CiI/view?usp=drivesdk</t>
  </si>
  <si>
    <t>e86297ab-4702-4768-a463-c8986c32e85d</t>
  </si>
  <si>
    <t>https://drive.google.com/file/d/1q7nfuDCQ6OUlQI5hKwWQPFxm79BOq1q0/view?usp=drivesdk</t>
  </si>
  <si>
    <t>a3a7feef-86b0-49d5-b083-d12b24fb75e0</t>
  </si>
  <si>
    <t>https://drive.google.com/file/d/19hA0UBSHQ6qE7DHntAMgDxuqGWhV0VAz/view?usp=drivesdk</t>
  </si>
  <si>
    <t>1ce758a8-595c-4b9d-9007-37dd45a6805c</t>
  </si>
  <si>
    <t>https://drive.google.com/file/d/17vtk45qX8qP0Vcvj4GLOp5xR0fgcstVO/view?usp=drivesdk</t>
  </si>
  <si>
    <t>77ddaeab-75c3-4d01-b241-e13678cc2e37</t>
  </si>
  <si>
    <t>https://drive.google.com/file/d/1Jz84fluWNwPiVQqnZpIZm2u763RJPa3v/view?usp=drivesdk</t>
  </si>
  <si>
    <t>1c0ca86a-9694-40a0-a279-293fbaa2fa92</t>
  </si>
  <si>
    <t>https://drive.google.com/file/d/1gKFjGzk1O5spuJ15nydclMT1AP_-B3Db/view?usp=drivesdk</t>
  </si>
  <si>
    <t>1bb1abdf-8d4a-490a-88d6-0b7f14f9a531</t>
  </si>
  <si>
    <t>https://drive.google.com/file/d/1WUW9YMBQUyRcgjpfHzRA5SBj0JoRKl0S/view?usp=drivesdk</t>
  </si>
  <si>
    <t>ee2a97a6-a58a-4622-b9df-7b7303908893</t>
  </si>
  <si>
    <t>https://drive.google.com/file/d/15TrCt_RWECpxUNSexHDgcu_7LD2XLIsZ/view?usp=drivesdk</t>
  </si>
  <si>
    <t>1265bc8b-1746-4e9c-bef6-cfd2df0f7e02</t>
  </si>
  <si>
    <t>https://drive.google.com/file/d/1JrV-sbjxNL_XdXNrmpKjwb06De_i0Wuf/view?usp=drivesdk</t>
  </si>
  <si>
    <t>c0d9b197-23b7-400c-bb9c-34e3c1c2726b</t>
  </si>
  <si>
    <t>https://drive.google.com/file/d/1bZ5T5clc0S5BaDGfBR5Q0uyHh5IumfsM/view?usp=drivesdk</t>
  </si>
  <si>
    <t>e9ea3b81-719d-4778-a7e8-f744d2589aba</t>
  </si>
  <si>
    <t>https://drive.google.com/file/d/1La97lNYCNKgLFYzo65UlzSnSzJXzoF4J/view?usp=drivesdk</t>
  </si>
  <si>
    <t>d7a3a1e7-6d99-4add-9df8-4f7535a6bcd5</t>
  </si>
  <si>
    <t>https://drive.google.com/file/d/1p8DJeoXiTv23hu1tDMZsr1HAK2ulEVcU/view?usp=drivesdk</t>
  </si>
  <si>
    <t>aeee1a91-2aa7-4b3c-9ba0-29adbb5cf188</t>
  </si>
  <si>
    <t>https://drive.google.com/file/d/1Z4X43Zj88F0smdLUgU8fPJJJVqpxYTlD/view?usp=drivesdk</t>
  </si>
  <si>
    <t>3ea8161f-fec4-43de-99f2-e46b9ee3ddaf</t>
  </si>
  <si>
    <t>https://drive.google.com/file/d/1faa47AXl-IqUiPuyHHSsVqWchy3aZC60/view?usp=drivesdk</t>
  </si>
  <si>
    <t>d5f7546d-5442-4432-b5d4-e7873d217758</t>
  </si>
  <si>
    <t>https://drive.google.com/file/d/1z8TBQQdFCuTnnenAGM6-G5Ufy8ZPSG41/view?usp=drivesdk</t>
  </si>
  <si>
    <t>b0b0141e-6f0a-4a67-b4d4-3b560cb78382</t>
  </si>
  <si>
    <t>https://drive.google.com/file/d/1D7Pfct2forOXvcJbQehazZlhT8w5dYCE/view?usp=drivesdk</t>
  </si>
  <si>
    <t>c149a9d2-7350-4b14-8da0-fb2e7f623f91</t>
  </si>
  <si>
    <t>https://drive.google.com/file/d/1W8HS-W_dGwtTKRzJKpwJqwah3j92Bct8/view?usp=drivesdk</t>
  </si>
  <si>
    <t>684d324c-6d2f-42f5-b02d-0292cd6b1277</t>
  </si>
  <si>
    <t>น.ส.ฟิรดาวน์ ลาดอ</t>
  </si>
  <si>
    <t>https://drive.google.com/file/d/1neqcyKiwWv9Nh1ShVaa9HMf4Ut-YxJ8W/view?usp=drivesdk</t>
  </si>
  <si>
    <t>b3783ed7-4553-43c0-b9ab-7407f3e0ad33</t>
  </si>
  <si>
    <t>น.ส.สาธิตา ดอแนเล๊าะ</t>
  </si>
  <si>
    <t>https://drive.google.com/file/d/1WNEofIgbd_Rk8bazhN_AijLb5STbJTCS/view?usp=drivesdk</t>
  </si>
  <si>
    <t>name</t>
  </si>
  <si>
    <t>templateFileId</t>
  </si>
  <si>
    <t>outputFolderId</t>
  </si>
  <si>
    <t>fields_json</t>
  </si>
  <si>
    <t>createdAt</t>
  </si>
  <si>
    <t>createdBy</t>
  </si>
  <si>
    <t>is_active</t>
  </si>
  <si>
    <t>12SYKHYRgfMfDW7LdgwL9FBHiNwMnlRGwc4PmNwTt5Z4</t>
  </si>
  <si>
    <t>1vrNPExwa5doctOaw96ieKB0F5tHSvhj9</t>
  </si>
  <si>
    <t>7e0a220b-7bd7-4060-8726-f90461e2a8be</t>
  </si>
  <si>
    <t>ประชุมเตรียมพร้อม01</t>
  </si>
  <si>
    <t>{}</t>
  </si>
  <si>
    <t>admin</t>
  </si>
  <si>
    <t>56b0c305-9d8e-4a70-a159-64f0731308e8</t>
  </si>
  <si>
    <t>1VX5IN0NddrrIlASar98o8JLL2WgM22ReIIKdfD_ozP0</t>
  </si>
  <si>
    <t>16HRsB7mQ_Xqdy-s5mdZ3qJOhA5BiQW82</t>
  </si>
  <si>
    <t>657c838d-112e-4dcd-a6ad-6a506cc33ef3</t>
  </si>
  <si>
    <t>1ji4Awl-oXONsgY7Wr2TyZgRPb00dJvja3Qr_6VYvi7Y</t>
  </si>
  <si>
    <t>1SZzXgNHEGRn4ubIwMIKhZU5I8sxH81HU</t>
  </si>
  <si>
    <t>386108a1-4de3-4527-a384-36ff5b2c236b</t>
  </si>
  <si>
    <t>IKTIKAF PERDANA 2026 IKRAM SUNGAI PETANI</t>
  </si>
  <si>
    <t>1E9lvkRrkqYZ0SL3K4uEiMlkfjEmDBammQRbyiBF_6hc</t>
  </si>
  <si>
    <t>1AZpRgb3u-fJ7NTThjcr3bc9yci5v0dbF</t>
  </si>
  <si>
    <t>class_name</t>
  </si>
  <si>
    <t>department_id</t>
  </si>
  <si>
    <t>updated_at</t>
  </si>
  <si>
    <t>cert_links</t>
  </si>
  <si>
    <t>cert_count</t>
  </si>
  <si>
    <t>cert_latest_at</t>
  </si>
  <si>
    <t>เพศ</t>
  </si>
  <si>
    <t>105</t>
  </si>
  <si>
    <t>25865</t>
  </si>
  <si>
    <t>2025-11-19 15:49:13</t>
  </si>
  <si>
    <t>84</t>
  </si>
  <si>
    <t>24864</t>
  </si>
  <si>
    <t>2025-11-19 12:53:10</t>
  </si>
  <si>
    <t>🕌 ศาสนสัมพันธ์(อีบาดัต)</t>
  </si>
  <si>
    <t>103</t>
  </si>
  <si>
    <t>25004</t>
  </si>
  <si>
    <t>2025-11-19 15:48:37</t>
  </si>
  <si>
    <t>📢 ประชาสัมพันธ์</t>
  </si>
  <si>
    <t>79</t>
  </si>
  <si>
    <t>24892</t>
  </si>
  <si>
    <t>2025-11-19 12:51:55</t>
  </si>
  <si>
    <t>🎉 สวัสดิการ/นันทนาการ</t>
  </si>
  <si>
    <t>68</t>
  </si>
  <si>
    <t>26147</t>
  </si>
  <si>
    <t>2025-11-19 3:00:30</t>
  </si>
  <si>
    <t>🏢 อาคารสถานที่</t>
  </si>
  <si>
    <t>104</t>
  </si>
  <si>
    <t>24173</t>
  </si>
  <si>
    <t>2025-11-19 15:48:57</t>
  </si>
  <si>
    <t>93</t>
  </si>
  <si>
    <t>24210</t>
  </si>
  <si>
    <t>2025-11-19 13:01:01</t>
  </si>
  <si>
    <t>📚 วิชาการ</t>
  </si>
  <si>
    <t>66</t>
  </si>
  <si>
    <t>26782</t>
  </si>
  <si>
    <t>2025-11-19 2:59:44</t>
  </si>
  <si>
    <t>78</t>
  </si>
  <si>
    <t>26577</t>
  </si>
  <si>
    <t>2025-11-19 12:51:37</t>
  </si>
  <si>
    <t>67</t>
  </si>
  <si>
    <t>26771</t>
  </si>
  <si>
    <t>2025-11-19 3:00:10</t>
  </si>
  <si>
    <t>👮 ปกครอง</t>
  </si>
  <si>
    <t>82</t>
  </si>
  <si>
    <t>26061</t>
  </si>
  <si>
    <t>2025-11-19 12:52:42</t>
  </si>
  <si>
    <t>101</t>
  </si>
  <si>
    <t>24355</t>
  </si>
  <si>
    <t>9</t>
  </si>
  <si>
    <t>2025-11-19 13:02:44</t>
  </si>
  <si>
    <t>💻 สื่อสารมวลชน(ไอที)</t>
  </si>
  <si>
    <t>76</t>
  </si>
  <si>
    <t>24307</t>
  </si>
  <si>
    <t>2025-11-19 12:51:13</t>
  </si>
  <si>
    <t>80</t>
  </si>
  <si>
    <t>24282</t>
  </si>
  <si>
    <t>2025-11-19 12:52:08</t>
  </si>
  <si>
    <t>97</t>
  </si>
  <si>
    <t>24273</t>
  </si>
  <si>
    <t>2025-11-19 13:02:12</t>
  </si>
  <si>
    <t>77</t>
  </si>
  <si>
    <t>25434</t>
  </si>
  <si>
    <t>2025-11-19 12:51:25</t>
  </si>
  <si>
    <t>87</t>
  </si>
  <si>
    <t>23427</t>
  </si>
  <si>
    <t>2025-11-19 12:59:39</t>
  </si>
  <si>
    <t>24</t>
  </si>
  <si>
    <t>23639</t>
  </si>
  <si>
    <t>ม.5/1 / อก.3/3</t>
  </si>
  <si>
    <t>2025-11-19 2:19:09</t>
  </si>
  <si>
    <t>42</t>
  </si>
  <si>
    <t>23618</t>
  </si>
  <si>
    <t>102</t>
  </si>
  <si>
    <t>23398</t>
  </si>
  <si>
    <t>2025-11-19 13:07:10</t>
  </si>
  <si>
    <t>109</t>
  </si>
  <si>
    <t>23694</t>
  </si>
  <si>
    <t>2025-11-19 15:50:06</t>
  </si>
  <si>
    <t>29</t>
  </si>
  <si>
    <t>23349</t>
  </si>
  <si>
    <t>41</t>
  </si>
  <si>
    <t>23420</t>
  </si>
  <si>
    <t>ม.5/5 / อป.2/5</t>
  </si>
  <si>
    <t>45</t>
  </si>
  <si>
    <t>25757</t>
  </si>
  <si>
    <t>62</t>
  </si>
  <si>
    <t>25598</t>
  </si>
  <si>
    <t>64</t>
  </si>
  <si>
    <t>23687</t>
  </si>
  <si>
    <t>89</t>
  </si>
  <si>
    <t>25658</t>
  </si>
  <si>
    <t>2025-11-19 12:59:56</t>
  </si>
  <si>
    <t>90</t>
  </si>
  <si>
    <t>23877</t>
  </si>
  <si>
    <t>2025-11-19 13:00:03</t>
  </si>
  <si>
    <t>73</t>
  </si>
  <si>
    <t>23630</t>
  </si>
  <si>
    <t>2025-11-19 12:50:23</t>
  </si>
  <si>
    <t>74</t>
  </si>
  <si>
    <t>23379</t>
  </si>
  <si>
    <t>2025-11-19 12:50:36</t>
  </si>
  <si>
    <t>106</t>
  </si>
  <si>
    <t>23759</t>
  </si>
  <si>
    <t>2025-11-19 15:49:24</t>
  </si>
  <si>
    <t>107</t>
  </si>
  <si>
    <t>23656</t>
  </si>
  <si>
    <t>2025-11-19 15:49:34</t>
  </si>
  <si>
    <t>23</t>
  </si>
  <si>
    <t>23974</t>
  </si>
  <si>
    <t>ม.5/8 / อป.2/8</t>
  </si>
  <si>
    <t>40</t>
  </si>
  <si>
    <t>23597</t>
  </si>
  <si>
    <t>71</t>
  </si>
  <si>
    <t>23397</t>
  </si>
  <si>
    <t>2025-11-19 3:01:41</t>
  </si>
  <si>
    <t>100</t>
  </si>
  <si>
    <t>23520</t>
  </si>
  <si>
    <t>2025-11-19 13:02:37</t>
  </si>
  <si>
    <t>120</t>
  </si>
  <si>
    <t>🤝 รองประธานสภานักเรียน</t>
  </si>
  <si>
    <t>121</t>
  </si>
  <si>
    <t>1</t>
  </si>
  <si>
    <t>👑 ประธานสภานักเรียน</t>
  </si>
  <si>
    <t>123</t>
  </si>
  <si>
    <t>60</t>
  </si>
  <si>
    <t>12</t>
  </si>
  <si>
    <t>📝 เลขานุการ</t>
  </si>
  <si>
    <t>24745</t>
  </si>
  <si>
    <t>2025-11-19 1:28:40</t>
  </si>
  <si>
    <t>25074</t>
  </si>
  <si>
    <t>2025-11-19 1:31:47</t>
  </si>
  <si>
    <t>2025-11-19 1:33:43</t>
  </si>
  <si>
    <t>24777</t>
  </si>
  <si>
    <t>ม.3/10 / อก.3/12</t>
  </si>
  <si>
    <t>2025-11-19 1:32:05</t>
  </si>
  <si>
    <t>2025-11-19 1:32:20</t>
  </si>
  <si>
    <t>24964</t>
  </si>
  <si>
    <t>2025-11-19 1:32:38</t>
  </si>
  <si>
    <t>24937</t>
  </si>
  <si>
    <t>ม.3/11 / อก.3/11</t>
  </si>
  <si>
    <t>2025-11-19 1:33:59</t>
  </si>
  <si>
    <t>24901</t>
  </si>
  <si>
    <t>ม.3/5 / อก.3/10</t>
  </si>
  <si>
    <t>2025-11-19 2:09:34</t>
  </si>
  <si>
    <t>24760</t>
  </si>
  <si>
    <t>10</t>
  </si>
  <si>
    <t>26342</t>
  </si>
  <si>
    <t>11</t>
  </si>
  <si>
    <t>26340</t>
  </si>
  <si>
    <t>ม.4/2 / อก.1/14</t>
  </si>
  <si>
    <t>24022</t>
  </si>
  <si>
    <t>ม.4/3 / อก.3/15</t>
  </si>
  <si>
    <t>13</t>
  </si>
  <si>
    <t>24006</t>
  </si>
  <si>
    <t>14</t>
  </si>
  <si>
    <t>24025</t>
  </si>
  <si>
    <t>15</t>
  </si>
  <si>
    <t>24050</t>
  </si>
  <si>
    <t>16</t>
  </si>
  <si>
    <t>24331</t>
  </si>
  <si>
    <t>17</t>
  </si>
  <si>
    <t>24070</t>
  </si>
  <si>
    <t>18</t>
  </si>
  <si>
    <t>24454</t>
  </si>
  <si>
    <t>19</t>
  </si>
  <si>
    <t>24357</t>
  </si>
  <si>
    <t>ม.4/4 / อป.1/4</t>
  </si>
  <si>
    <t>21</t>
  </si>
  <si>
    <t>24105</t>
  </si>
  <si>
    <t>22</t>
  </si>
  <si>
    <t>24093</t>
  </si>
  <si>
    <t>25</t>
  </si>
  <si>
    <t>24158</t>
  </si>
  <si>
    <t>ม.4/5 / อป.1/5</t>
  </si>
  <si>
    <t>26</t>
  </si>
  <si>
    <t>24256</t>
  </si>
  <si>
    <t>27</t>
  </si>
  <si>
    <t>24234</t>
  </si>
  <si>
    <t>ม.4/6 / อป.1/6</t>
  </si>
  <si>
    <t>28</t>
  </si>
  <si>
    <t>24238</t>
  </si>
  <si>
    <t>30</t>
  </si>
  <si>
    <t>24300</t>
  </si>
  <si>
    <t>31</t>
  </si>
  <si>
    <t>24094</t>
  </si>
  <si>
    <t>33</t>
  </si>
  <si>
    <t>24275</t>
  </si>
  <si>
    <t>112</t>
  </si>
  <si>
    <t>26344</t>
  </si>
  <si>
    <t>2025-11-19 15:50:55</t>
  </si>
  <si>
    <t>34</t>
  </si>
  <si>
    <t>24250</t>
  </si>
  <si>
    <t>ม.4/7 / อป.1/7</t>
  </si>
  <si>
    <t>35</t>
  </si>
  <si>
    <t>26212</t>
  </si>
  <si>
    <t>36</t>
  </si>
  <si>
    <t>24008</t>
  </si>
  <si>
    <t>37</t>
  </si>
  <si>
    <t>24453</t>
  </si>
  <si>
    <t>38</t>
  </si>
  <si>
    <t>24144</t>
  </si>
  <si>
    <t>39</t>
  </si>
  <si>
    <t>24175</t>
  </si>
  <si>
    <t>48</t>
  </si>
  <si>
    <t>25595</t>
  </si>
  <si>
    <t>ม.5/3 / อก.2/13</t>
  </si>
  <si>
    <t>43</t>
  </si>
  <si>
    <t>23845</t>
  </si>
  <si>
    <t>ม.5/3 / อป.1/3</t>
  </si>
  <si>
    <t>46</t>
  </si>
  <si>
    <t>23804</t>
  </si>
  <si>
    <t>47</t>
  </si>
  <si>
    <t>23388</t>
  </si>
  <si>
    <t>49</t>
  </si>
  <si>
    <t>23451</t>
  </si>
  <si>
    <t>51</t>
  </si>
  <si>
    <t>23644</t>
  </si>
  <si>
    <t>ม.5/6 / อป.2/6</t>
  </si>
  <si>
    <t>54</t>
  </si>
  <si>
    <t>23501</t>
  </si>
  <si>
    <t>55</t>
  </si>
  <si>
    <t>23488</t>
  </si>
  <si>
    <t>56</t>
  </si>
  <si>
    <t>23347</t>
  </si>
  <si>
    <t>58</t>
  </si>
  <si>
    <t>23636</t>
  </si>
  <si>
    <t>61</t>
  </si>
  <si>
    <t>25772</t>
  </si>
  <si>
    <t>65</t>
  </si>
  <si>
    <t>23662</t>
  </si>
  <si>
    <t>ม.5/9 / อป.2/1</t>
  </si>
  <si>
    <t>111</t>
  </si>
  <si>
    <t>24142</t>
  </si>
  <si>
    <t>2025-11-19 15:50:46</t>
  </si>
  <si>
    <t>113</t>
  </si>
  <si>
    <t>26522</t>
  </si>
  <si>
    <t>2025-11-19 15:51:04</t>
  </si>
  <si>
    <t>114</t>
  </si>
  <si>
    <t>24176</t>
  </si>
  <si>
    <t>2025-11-19 15:51:12</t>
  </si>
  <si>
    <t>116</t>
  </si>
  <si>
    <t>24233</t>
  </si>
  <si>
    <t>2025-11-19 15:51:29</t>
  </si>
  <si>
    <t>118</t>
  </si>
  <si>
    <t>23380</t>
  </si>
  <si>
    <t>2025-11-19 15:51:47</t>
  </si>
  <si>
    <t>119</t>
  </si>
  <si>
    <t>24775</t>
  </si>
  <si>
    <t>124</t>
  </si>
  <si>
    <t>44</t>
  </si>
  <si>
    <t>57</t>
  </si>
  <si>
    <t>59</t>
  </si>
  <si>
    <t>63</t>
  </si>
  <si>
    <t>86</t>
  </si>
  <si>
    <t>24393</t>
  </si>
  <si>
    <t>2025-11-19 12:59:29</t>
  </si>
  <si>
    <t>125</t>
  </si>
  <si>
    <t>24115</t>
  </si>
  <si>
    <t/>
  </si>
  <si>
    <t>date</t>
  </si>
  <si>
    <t>activity</t>
  </si>
  <si>
    <t>remark</t>
  </si>
  <si>
    <t>ประชุมสภานักเรียน</t>
  </si>
  <si>
    <t>present</t>
  </si>
  <si>
    <t>20</t>
  </si>
  <si>
    <t>32</t>
  </si>
  <si>
    <t>50</t>
  </si>
  <si>
    <t>110</t>
  </si>
  <si>
    <t>52</t>
  </si>
  <si>
    <t>53</t>
  </si>
  <si>
    <t>115</t>
  </si>
  <si>
    <t>117</t>
  </si>
  <si>
    <t>2025-12-03</t>
  </si>
  <si>
    <t>กิจกรรมแถว</t>
  </si>
  <si>
    <t>69</t>
  </si>
  <si>
    <t>70</t>
  </si>
  <si>
    <t>72</t>
  </si>
  <si>
    <t>75</t>
  </si>
  <si>
    <t>81</t>
  </si>
  <si>
    <t>83</t>
  </si>
  <si>
    <t>85</t>
  </si>
  <si>
    <t>88</t>
  </si>
  <si>
    <t>91</t>
  </si>
  <si>
    <t>92</t>
  </si>
  <si>
    <t>94</t>
  </si>
  <si>
    <t>absent</t>
  </si>
  <si>
    <t>95</t>
  </si>
  <si>
    <t>96</t>
  </si>
  <si>
    <t>98</t>
  </si>
  <si>
    <t>99</t>
  </si>
  <si>
    <t>ลาป่วย</t>
  </si>
  <si>
    <t>108</t>
  </si>
  <si>
    <t>122</t>
  </si>
  <si>
    <t>2025-12-21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</si>
  <si>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</si>
  <si>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</si>
  <si>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</si>
  <si>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</si>
  <si>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</si>
  <si>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</si>
  <si>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</si>
  <si>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</si>
  <si>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</si>
  <si>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</si>
  <si>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</si>
  <si>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</si>
  <si>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</si>
  <si>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</si>
  <si>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</si>
  <si>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</si>
  <si>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</si>
  <si>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</si>
  <si>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</si>
  <si>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</si>
  <si>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</si>
  <si>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</si>
  <si>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</si>
  <si>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</si>
  <si>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</si>
  <si>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</si>
  <si>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</si>
  <si>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</si>
  <si>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</si>
  <si>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</si>
  <si>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</si>
  <si>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</si>
  <si>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</si>
  <si>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</si>
  <si>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</si>
  <si>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</si>
  <si>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</si>
  <si>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</si>
  <si>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</si>
  <si>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</si>
  <si>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</si>
  <si>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</si>
  <si>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</si>
  <si>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</si>
  <si>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</si>
  <si>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</si>
  <si>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</si>
  <si>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</si>
  <si>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</si>
  <si>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</si>
  <si>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</si>
  <si>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</si>
  <si>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</si>
  <si>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</si>
  <si>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</si>
  <si>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</si>
  <si>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</si>
  <si>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</si>
  <si>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</si>
  <si>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2025-12-22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</si>
  <si>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</si>
  <si>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</si>
  <si>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</si>
  <si>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</si>
  <si>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</si>
  <si>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</si>
  <si>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</si>
  <si>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</si>
  <si>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</si>
  <si>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</si>
  <si>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</si>
  <si>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</si>
  <si>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</si>
  <si>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</si>
  <si>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</si>
  <si>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</si>
  <si>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</si>
  <si>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</si>
  <si>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</si>
  <si>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</si>
  <si>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</si>
  <si>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</si>
  <si>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</si>
  <si>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</si>
  <si>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</si>
  <si>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</si>
  <si>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</si>
  <si>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</si>
  <si>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</si>
  <si>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</si>
  <si>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</si>
  <si>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</si>
  <si>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</si>
  <si>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</si>
  <si>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</si>
  <si>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</si>
  <si>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</si>
  <si>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</si>
  <si>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</si>
  <si>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</si>
  <si>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</si>
  <si>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</si>
  <si>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</si>
  <si>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</si>
  <si>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</si>
  <si>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</si>
  <si>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</si>
  <si>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</si>
  <si>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</si>
  <si>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</si>
  <si>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</si>
  <si>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</si>
  <si>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</si>
  <si>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</si>
  <si>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</si>
  <si>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</si>
  <si>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</si>
  <si>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</si>
  <si>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</si>
  <si>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</si>
  <si>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</si>
  <si>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</si>
  <si>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</si>
  <si>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</si>
  <si>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</si>
  <si>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</si>
  <si>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</si>
  <si>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</si>
  <si>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</si>
  <si>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</si>
  <si>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2025-12-23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</si>
  <si>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</si>
  <si>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</si>
  <si>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</si>
  <si>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</si>
  <si>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</si>
  <si>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</si>
  <si>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</si>
  <si>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</si>
  <si>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</si>
  <si>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</si>
  <si>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</si>
  <si>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</si>
  <si>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</si>
  <si>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</si>
  <si>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</si>
  <si>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</si>
  <si>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</si>
  <si>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</si>
  <si>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</si>
  <si>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</si>
  <si>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</si>
  <si>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</si>
  <si>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</si>
  <si>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</si>
  <si>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</si>
  <si>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</si>
  <si>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</si>
  <si>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</si>
  <si>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</si>
  <si>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</si>
  <si>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</si>
  <si>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</si>
  <si>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</si>
  <si>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</si>
  <si>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</si>
  <si>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</si>
  <si>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</si>
  <si>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</si>
  <si>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</si>
  <si>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</si>
  <si>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</si>
  <si>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</si>
  <si>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</si>
  <si>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</si>
  <si>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</si>
  <si>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</si>
  <si>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</si>
  <si>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</si>
  <si>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</si>
  <si>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</si>
  <si>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</si>
  <si>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</si>
  <si>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</si>
  <si>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</si>
  <si>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</si>
  <si>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</si>
  <si>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</si>
  <si>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</si>
  <si>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</si>
  <si>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</si>
  <si>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324</t>
  </si>
  <si>
    <t>2025-12-24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</si>
  <si>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</si>
  <si>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</si>
  <si>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</si>
  <si>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</si>
  <si>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</si>
  <si>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</si>
  <si>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</si>
  <si>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</si>
  <si>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</si>
  <si>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</si>
  <si>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</si>
  <si>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</si>
  <si>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</si>
  <si>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</si>
  <si>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</si>
  <si>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</si>
  <si>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</si>
  <si>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</si>
  <si>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</si>
  <si>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</si>
  <si>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</si>
  <si>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</si>
  <si>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</si>
  <si>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</si>
  <si>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</si>
  <si>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</si>
  <si>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</si>
  <si>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</si>
  <si>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</si>
  <si>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</si>
  <si>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</si>
  <si>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</si>
  <si>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</si>
  <si>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</si>
  <si>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</si>
  <si>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</si>
  <si>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</si>
  <si>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</si>
  <si>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</si>
  <si>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</si>
  <si>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</si>
  <si>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</si>
  <si>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</si>
  <si>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</si>
  <si>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</si>
  <si>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</si>
  <si>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</si>
  <si>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</si>
  <si>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</si>
  <si>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</si>
  <si>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</si>
  <si>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</si>
  <si>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</si>
  <si>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</si>
  <si>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</si>
  <si>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</si>
  <si>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</si>
  <si>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</si>
  <si>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</si>
  <si>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</si>
  <si>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</si>
  <si>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2025-12-25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</si>
  <si>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</si>
  <si>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</si>
  <si>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</si>
  <si>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</si>
  <si>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</si>
  <si>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</si>
  <si>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</si>
  <si>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</si>
  <si>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</si>
  <si>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</si>
  <si>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</si>
  <si>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</si>
  <si>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</si>
  <si>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</si>
  <si>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</si>
  <si>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</si>
  <si>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</si>
  <si>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</si>
  <si>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</si>
  <si>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</si>
  <si>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</si>
  <si>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</si>
  <si>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</si>
  <si>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</si>
  <si>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</si>
  <si>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</si>
  <si>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</si>
  <si>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</si>
  <si>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</si>
  <si>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</si>
  <si>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</si>
  <si>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</si>
  <si>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</si>
  <si>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</si>
  <si>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</si>
  <si>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</si>
  <si>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</si>
  <si>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</si>
  <si>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</si>
  <si>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</si>
  <si>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</si>
  <si>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</si>
  <si>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</si>
  <si>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</si>
  <si>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</si>
  <si>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</si>
  <si>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</si>
  <si>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</si>
  <si>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</si>
  <si>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</si>
  <si>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</si>
  <si>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</si>
  <si>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</si>
  <si>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</si>
  <si>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</si>
  <si>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</si>
  <si>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</si>
  <si>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</si>
  <si>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</si>
  <si>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</si>
  <si>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</si>
  <si>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2026-01-05</t>
  </si>
  <si>
    <t>447</t>
  </si>
  <si>
    <t>448</t>
  </si>
  <si>
    <t>2026-01-06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</si>
  <si>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</si>
  <si>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</si>
  <si>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</si>
  <si>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</si>
  <si>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</si>
  <si>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</si>
  <si>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</si>
  <si>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</si>
  <si>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</si>
  <si>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</si>
  <si>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</si>
  <si>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</si>
  <si>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</si>
  <si>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</si>
  <si>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</si>
  <si>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</si>
  <si>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</si>
  <si>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</si>
  <si>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</si>
  <si>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</si>
  <si>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</si>
  <si>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</si>
  <si>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</si>
  <si>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</si>
  <si>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</si>
  <si>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</si>
  <si>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</si>
  <si>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</si>
  <si>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</si>
  <si>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</si>
  <si>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</si>
  <si>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</si>
  <si>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</si>
  <si>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</si>
  <si>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</si>
  <si>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</si>
  <si>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</si>
  <si>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</si>
  <si>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</si>
  <si>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</si>
  <si>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</si>
  <si>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</si>
  <si>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</si>
  <si>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</si>
  <si>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</si>
  <si>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</si>
  <si>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</si>
  <si>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</si>
  <si>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</si>
  <si>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</si>
  <si>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</si>
  <si>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</si>
  <si>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</si>
  <si>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</si>
  <si>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</si>
  <si>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</si>
  <si>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</si>
  <si>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</si>
  <si>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</si>
  <si>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</si>
  <si>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</si>
  <si>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2026-01-07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</si>
  <si>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</si>
  <si>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</si>
  <si>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</si>
  <si>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</si>
  <si>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</si>
  <si>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</si>
  <si>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</si>
  <si>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</si>
  <si>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</si>
  <si>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</si>
  <si>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</si>
  <si>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</si>
  <si>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</si>
  <si>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</si>
  <si>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</si>
  <si>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</si>
  <si>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</si>
  <si>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</si>
  <si>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</si>
  <si>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</si>
  <si>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</si>
  <si>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</si>
  <si>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</si>
  <si>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</si>
  <si>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</si>
  <si>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</si>
  <si>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</si>
  <si>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</si>
  <si>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</si>
  <si>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</si>
  <si>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</si>
  <si>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</si>
  <si>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</si>
  <si>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</si>
  <si>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</si>
  <si>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</si>
  <si>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</si>
  <si>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</si>
  <si>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</si>
  <si>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</si>
  <si>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</si>
  <si>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</si>
  <si>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</si>
  <si>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</si>
  <si>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</si>
  <si>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</si>
  <si>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</si>
  <si>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</si>
  <si>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</si>
  <si>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</si>
  <si>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</si>
  <si>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</si>
  <si>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</si>
  <si>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</si>
  <si>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</si>
  <si>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</si>
  <si>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</si>
  <si>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</si>
  <si>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</si>
  <si>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</si>
  <si>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</si>
  <si>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2026-01-08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</si>
  <si>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</si>
  <si>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</si>
  <si>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</si>
  <si>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</si>
  <si>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</si>
  <si>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</si>
  <si>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</si>
  <si>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</si>
  <si>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</si>
  <si>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</si>
  <si>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</si>
  <si>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</si>
  <si>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</si>
  <si>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</si>
  <si>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</si>
  <si>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</si>
  <si>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</si>
  <si>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</si>
  <si>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</si>
  <si>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</si>
  <si>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</si>
  <si>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</si>
  <si>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</si>
  <si>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</si>
  <si>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</si>
  <si>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</si>
  <si>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</si>
  <si>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</si>
  <si>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</si>
  <si>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</si>
  <si>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</si>
  <si>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</si>
  <si>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</si>
  <si>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</si>
  <si>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</si>
  <si>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</si>
  <si>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</si>
  <si>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</si>
  <si>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</si>
  <si>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</si>
  <si>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</si>
  <si>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</si>
  <si>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</si>
  <si>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</si>
  <si>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</si>
  <si>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</si>
  <si>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</si>
  <si>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</si>
  <si>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</si>
  <si>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</si>
  <si>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</si>
  <si>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</si>
  <si>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</si>
  <si>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</si>
  <si>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</si>
  <si>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</si>
  <si>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</si>
  <si>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</si>
  <si>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</si>
  <si>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</si>
  <si>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</si>
  <si>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2026-01-12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</si>
  <si>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</si>
  <si>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</si>
  <si>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</si>
  <si>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</si>
  <si>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</si>
  <si>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</si>
  <si>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</si>
  <si>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</si>
  <si>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</si>
  <si>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</si>
  <si>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</si>
  <si>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</si>
  <si>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</si>
  <si>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</si>
  <si>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</si>
  <si>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</si>
  <si>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</si>
  <si>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</si>
  <si>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</si>
  <si>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</si>
  <si>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</si>
  <si>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</si>
  <si>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</si>
  <si>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</si>
  <si>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</si>
  <si>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</si>
  <si>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</si>
  <si>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</si>
  <si>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</si>
  <si>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</si>
  <si>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</si>
  <si>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</si>
  <si>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</si>
  <si>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</si>
  <si>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</si>
  <si>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</si>
  <si>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</si>
  <si>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</si>
  <si>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</si>
  <si>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</si>
  <si>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</si>
  <si>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</si>
  <si>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</si>
  <si>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</si>
  <si>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</si>
  <si>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</si>
  <si>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</si>
  <si>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</si>
  <si>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</si>
  <si>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</si>
  <si>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</si>
  <si>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</si>
  <si>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</si>
  <si>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</si>
  <si>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</si>
  <si>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</si>
  <si>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</si>
  <si>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</si>
  <si>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</si>
  <si>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</si>
  <si>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2026-01-15</t>
  </si>
  <si>
    <t>กิจกรรมวันครู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</si>
  <si>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</si>
  <si>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</si>
  <si>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</si>
  <si>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</si>
  <si>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</si>
  <si>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</si>
  <si>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</si>
  <si>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</si>
  <si>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</si>
  <si>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</si>
  <si>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</si>
  <si>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</si>
  <si>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</si>
  <si>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</si>
  <si>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</si>
  <si>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</si>
  <si>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</si>
  <si>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</si>
  <si>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</si>
  <si>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</si>
  <si>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</si>
  <si>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</si>
  <si>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</si>
  <si>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</si>
  <si>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</si>
  <si>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</si>
  <si>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</si>
  <si>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</si>
  <si>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</si>
  <si>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</si>
  <si>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</si>
  <si>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</si>
  <si>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</si>
  <si>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</si>
  <si>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</si>
  <si>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</si>
  <si>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</si>
  <si>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</si>
  <si>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</si>
  <si>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</si>
  <si>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</si>
  <si>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</si>
  <si>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</si>
  <si>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</si>
  <si>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</si>
  <si>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</si>
  <si>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</si>
  <si>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</si>
  <si>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</si>
  <si>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</si>
  <si>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</si>
  <si>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</si>
  <si>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</si>
  <si>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</si>
  <si>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</si>
  <si>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</si>
  <si>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</si>
  <si>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</si>
  <si>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</si>
  <si>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</si>
  <si>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</si>
  <si>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</si>
  <si>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</si>
  <si>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</si>
  <si>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</si>
  <si>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</si>
  <si>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</si>
  <si>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</si>
  <si>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</si>
  <si>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</si>
  <si>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</si>
  <si>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</si>
  <si>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</si>
  <si>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</si>
  <si>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</si>
  <si>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</si>
  <si>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</si>
  <si>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</si>
  <si>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</si>
  <si>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</si>
  <si>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</si>
  <si>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</si>
  <si>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</si>
  <si>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</si>
  <si>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</si>
  <si>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</si>
  <si>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</si>
  <si>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</si>
  <si>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</si>
  <si>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</si>
  <si>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</si>
  <si>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</si>
  <si>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</si>
  <si>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</si>
  <si>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</si>
  <si>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</si>
  <si>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</si>
  <si>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</si>
  <si>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</si>
  <si>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</si>
  <si>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</si>
  <si>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</si>
  <si>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</si>
  <si>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</si>
  <si>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</si>
  <si>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</si>
  <si>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</si>
  <si>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</si>
  <si>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</si>
  <si>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2026-01-22</t>
  </si>
  <si>
    <t>กิจกรรมYLA(การเขียนใบโครงการ)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</si>
  <si>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</si>
  <si>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</si>
  <si>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</si>
  <si>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</si>
  <si>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</si>
  <si>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</si>
  <si>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</si>
  <si>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</si>
  <si>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</si>
  <si>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</si>
  <si>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</si>
  <si>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</si>
  <si>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</si>
  <si>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</si>
  <si>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</si>
  <si>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</si>
  <si>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</si>
  <si>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</si>
  <si>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</si>
  <si>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</si>
  <si>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</si>
  <si>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</si>
  <si>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</si>
  <si>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</si>
  <si>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</si>
  <si>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</si>
  <si>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</si>
  <si>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</si>
  <si>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</si>
  <si>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</si>
  <si>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</si>
  <si>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</si>
  <si>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</si>
  <si>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</si>
  <si>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</si>
  <si>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</si>
  <si>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</si>
  <si>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</si>
  <si>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</si>
  <si>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</si>
  <si>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</si>
  <si>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</si>
  <si>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</si>
  <si>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</si>
  <si>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</si>
  <si>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</si>
  <si>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</si>
  <si>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</si>
  <si>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</si>
  <si>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</si>
  <si>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</si>
  <si>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</si>
  <si>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</si>
  <si>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</si>
  <si>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</si>
  <si>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</si>
  <si>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</si>
  <si>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</si>
  <si>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</si>
  <si>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</si>
  <si>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</si>
  <si>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</si>
  <si>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</si>
  <si>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</si>
  <si>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</si>
  <si>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</si>
  <si>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</si>
  <si>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</si>
  <si>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</si>
  <si>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</si>
  <si>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</si>
  <si>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</si>
  <si>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</si>
  <si>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</si>
  <si>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</si>
  <si>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</si>
  <si>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</si>
  <si>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</si>
  <si>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</si>
  <si>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</si>
  <si>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</si>
  <si>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</si>
  <si>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</si>
  <si>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</si>
  <si>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</si>
  <si>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</si>
  <si>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</si>
  <si>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</si>
  <si>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</si>
  <si>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</si>
  <si>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</si>
  <si>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</si>
  <si>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</si>
  <si>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</si>
  <si>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</si>
  <si>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</si>
  <si>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</si>
  <si>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</si>
  <si>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</si>
  <si>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</si>
  <si>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</si>
  <si>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</si>
  <si>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</si>
  <si>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</si>
  <si>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กิจกรรมYLA</t>
  </si>
  <si>
    <t>17.23</t>
  </si>
  <si>
    <t>905</t>
  </si>
  <si>
    <t>17.16</t>
  </si>
  <si>
    <t>906</t>
  </si>
  <si>
    <t>ขาด</t>
  </si>
  <si>
    <t>907</t>
  </si>
  <si>
    <t>908</t>
  </si>
  <si>
    <t>17.03</t>
  </si>
  <si>
    <t>909</t>
  </si>
  <si>
    <t>910</t>
  </si>
  <si>
    <t>17.18</t>
  </si>
  <si>
    <t>911</t>
  </si>
  <si>
    <t>912</t>
  </si>
  <si>
    <t>17.24</t>
  </si>
  <si>
    <t>913</t>
  </si>
  <si>
    <t>914</t>
  </si>
  <si>
    <t>915</t>
  </si>
  <si>
    <t>17.13</t>
  </si>
  <si>
    <t>916</t>
  </si>
  <si>
    <t>17.28</t>
  </si>
  <si>
    <t>917</t>
  </si>
  <si>
    <t>17.00</t>
  </si>
  <si>
    <t>918</t>
  </si>
  <si>
    <t>17.25</t>
  </si>
  <si>
    <t>919</t>
  </si>
  <si>
    <t>920</t>
  </si>
  <si>
    <t>17.01</t>
  </si>
  <si>
    <t>921</t>
  </si>
  <si>
    <t>17.48</t>
  </si>
  <si>
    <t>922</t>
  </si>
  <si>
    <t>17.29</t>
  </si>
  <si>
    <t>923</t>
  </si>
  <si>
    <t>17.11</t>
  </si>
  <si>
    <t>924</t>
  </si>
  <si>
    <t>925</t>
  </si>
  <si>
    <t>926</t>
  </si>
  <si>
    <t>927</t>
  </si>
  <si>
    <t>17.26</t>
  </si>
  <si>
    <t>928</t>
  </si>
  <si>
    <t>929</t>
  </si>
  <si>
    <t>17.14</t>
  </si>
  <si>
    <t>930</t>
  </si>
  <si>
    <t>931</t>
  </si>
  <si>
    <t>932</t>
  </si>
  <si>
    <t>933</t>
  </si>
  <si>
    <t>17.05</t>
  </si>
  <si>
    <t>934</t>
  </si>
  <si>
    <t>17.22</t>
  </si>
  <si>
    <t>935</t>
  </si>
  <si>
    <t>936</t>
  </si>
  <si>
    <t>937</t>
  </si>
  <si>
    <t>938</t>
  </si>
  <si>
    <t>939</t>
  </si>
  <si>
    <t>17.02</t>
  </si>
  <si>
    <t>940</t>
  </si>
  <si>
    <t>941</t>
  </si>
  <si>
    <t>17.46</t>
  </si>
  <si>
    <t>942</t>
  </si>
  <si>
    <t>17.17</t>
  </si>
  <si>
    <t>943</t>
  </si>
  <si>
    <t>944</t>
  </si>
  <si>
    <t>17.34</t>
  </si>
  <si>
    <t>945</t>
  </si>
  <si>
    <t>946</t>
  </si>
  <si>
    <t>แจ้งสาย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</si>
  <si>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</si>
  <si>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</si>
  <si>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</si>
  <si>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</si>
  <si>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</si>
  <si>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</si>
  <si>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</si>
  <si>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</si>
  <si>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</si>
  <si>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</si>
  <si>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</si>
  <si>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</si>
  <si>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</si>
  <si>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</si>
  <si>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</si>
  <si>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</si>
  <si>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</si>
  <si>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</si>
  <si>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</si>
  <si>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</si>
  <si>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</si>
  <si>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</si>
  <si>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</si>
  <si>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</si>
  <si>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</si>
  <si>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</si>
  <si>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</si>
  <si>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</si>
  <si>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</si>
  <si>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</si>
  <si>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</si>
  <si>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</si>
  <si>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</si>
  <si>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</si>
  <si>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</si>
  <si>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</si>
  <si>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</si>
  <si>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</si>
  <si>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</si>
  <si>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</si>
  <si>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</si>
  <si>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</si>
  <si>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</si>
  <si>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</si>
  <si>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</si>
  <si>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</si>
  <si>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</si>
  <si>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</si>
  <si>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</si>
  <si>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</si>
  <si>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</si>
  <si>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</si>
  <si>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</si>
  <si>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</si>
  <si>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</si>
  <si>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</si>
  <si>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</si>
  <si>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</si>
  <si>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</si>
  <si>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</si>
  <si>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</si>
  <si>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</si>
  <si>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</si>
  <si>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2026-01-25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</si>
  <si>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</si>
  <si>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</si>
  <si>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</si>
  <si>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</si>
  <si>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</si>
  <si>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</si>
  <si>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</si>
  <si>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</si>
  <si>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</si>
  <si>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</si>
  <si>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</si>
  <si>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</si>
  <si>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</si>
  <si>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</si>
  <si>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</si>
  <si>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</si>
  <si>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</si>
  <si>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</si>
  <si>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</si>
  <si>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</si>
  <si>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</si>
  <si>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</si>
  <si>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</si>
  <si>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</si>
  <si>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</si>
  <si>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</si>
  <si>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</si>
  <si>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</si>
  <si>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</si>
  <si>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</si>
  <si>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</si>
  <si>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</si>
  <si>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</si>
  <si>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</si>
  <si>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</si>
  <si>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</si>
  <si>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</si>
  <si>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</si>
  <si>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</si>
  <si>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</si>
  <si>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</si>
  <si>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</si>
  <si>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</si>
  <si>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</si>
  <si>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</si>
  <si>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</si>
  <si>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</si>
  <si>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</si>
  <si>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</si>
  <si>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</si>
  <si>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</si>
  <si>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</si>
  <si>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</si>
  <si>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</si>
  <si>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</si>
  <si>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</si>
  <si>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</si>
  <si>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</si>
  <si>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</si>
  <si>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</si>
  <si>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2026-02-09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</si>
  <si>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</si>
  <si>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</si>
  <si>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</si>
  <si>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</si>
  <si>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</si>
  <si>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</si>
  <si>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</si>
  <si>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</si>
  <si>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</si>
  <si>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</si>
  <si>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</si>
  <si>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</si>
  <si>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</si>
  <si>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</si>
  <si>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</si>
  <si>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</si>
  <si>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</si>
  <si>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</si>
  <si>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</si>
  <si>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</si>
  <si>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</si>
  <si>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</si>
  <si>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</si>
  <si>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</si>
  <si>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</si>
  <si>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</si>
  <si>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</si>
  <si>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</si>
  <si>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</si>
  <si>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</si>
  <si>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</si>
  <si>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</si>
  <si>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</si>
  <si>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</si>
  <si>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</si>
  <si>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</si>
  <si>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</si>
  <si>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</si>
  <si>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</si>
  <si>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</si>
  <si>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</si>
  <si>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</si>
  <si>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</si>
  <si>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</si>
  <si>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</si>
  <si>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</si>
  <si>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</si>
  <si>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</si>
  <si>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</si>
  <si>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</si>
  <si>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</si>
  <si>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</si>
  <si>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</si>
  <si>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</si>
  <si>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</si>
  <si>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</si>
  <si>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</si>
  <si>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</si>
  <si>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2026-02-05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</si>
  <si>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</si>
  <si>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</si>
  <si>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</si>
  <si>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</si>
  <si>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</si>
  <si>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</si>
  <si>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</si>
  <si>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</si>
  <si>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</si>
  <si>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</si>
  <si>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</si>
  <si>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</si>
  <si>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</si>
  <si>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</si>
  <si>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</si>
  <si>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</si>
  <si>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</si>
  <si>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</si>
  <si>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</si>
  <si>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</si>
  <si>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</si>
  <si>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</si>
  <si>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</si>
  <si>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</si>
  <si>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</si>
  <si>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</si>
  <si>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</si>
  <si>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</si>
  <si>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</si>
  <si>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</si>
  <si>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</si>
  <si>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</si>
  <si>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</si>
  <si>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</si>
  <si>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</si>
  <si>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</si>
  <si>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</si>
  <si>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</si>
  <si>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</si>
  <si>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</si>
  <si>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</si>
  <si>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</si>
  <si>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</si>
  <si>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</si>
  <si>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</si>
  <si>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</si>
  <si>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</si>
  <si>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</si>
  <si>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</si>
  <si>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</si>
  <si>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</si>
  <si>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</si>
  <si>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</si>
  <si>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</si>
  <si>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</si>
  <si>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</si>
  <si>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</si>
  <si>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</si>
  <si>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2026-02-04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</si>
  <si>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</si>
  <si>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</si>
  <si>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</si>
  <si>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</si>
  <si>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</si>
  <si>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</si>
  <si>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</si>
  <si>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</si>
  <si>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</si>
  <si>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</si>
  <si>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</si>
  <si>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</si>
  <si>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</si>
  <si>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</si>
  <si>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</si>
  <si>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</si>
  <si>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</si>
  <si>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</si>
  <si>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</si>
  <si>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</si>
  <si>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</si>
  <si>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</si>
  <si>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</si>
  <si>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</si>
  <si>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</si>
  <si>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</si>
  <si>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</si>
  <si>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</si>
  <si>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</si>
  <si>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</si>
  <si>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</si>
  <si>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</si>
  <si>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</si>
  <si>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</si>
  <si>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</si>
  <si>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</si>
  <si>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</si>
  <si>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</si>
  <si>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</si>
  <si>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</si>
  <si>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</si>
  <si>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</si>
  <si>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</si>
  <si>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</si>
  <si>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</si>
  <si>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</si>
  <si>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</si>
  <si>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</si>
  <si>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</si>
  <si>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</si>
  <si>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</si>
  <si>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</si>
  <si>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</si>
  <si>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</si>
  <si>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</si>
  <si>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</si>
  <si>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</si>
  <si>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</si>
  <si>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2026-02-02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</si>
  <si>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</si>
  <si>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</si>
  <si>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</si>
  <si>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</si>
  <si>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</si>
  <si>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</si>
  <si>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</si>
  <si>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</si>
  <si>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</si>
  <si>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</si>
  <si>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</si>
  <si>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</si>
  <si>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</si>
  <si>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</si>
  <si>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</si>
  <si>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</si>
  <si>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</si>
  <si>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</si>
  <si>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</si>
  <si>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</si>
  <si>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</si>
  <si>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</si>
  <si>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</si>
  <si>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</si>
  <si>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</si>
  <si>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</si>
  <si>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</si>
  <si>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</si>
  <si>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</si>
  <si>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</si>
  <si>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</si>
  <si>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</si>
  <si>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</si>
  <si>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</si>
  <si>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</si>
  <si>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</si>
  <si>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</si>
  <si>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</si>
  <si>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</si>
  <si>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</si>
  <si>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</si>
  <si>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</si>
  <si>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</si>
  <si>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</si>
  <si>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</si>
  <si>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</si>
  <si>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</si>
  <si>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</si>
  <si>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</si>
  <si>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</si>
  <si>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</si>
  <si>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</si>
  <si>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</si>
  <si>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</si>
  <si>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</si>
  <si>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</si>
  <si>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</si>
  <si>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</si>
  <si>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2026-02-01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</si>
  <si>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</si>
  <si>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</si>
  <si>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</si>
  <si>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</si>
  <si>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</si>
  <si>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</si>
  <si>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</si>
  <si>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</si>
  <si>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</si>
  <si>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</si>
  <si>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</si>
  <si>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</si>
  <si>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</si>
  <si>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</si>
  <si>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</si>
  <si>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</si>
  <si>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</si>
  <si>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</si>
  <si>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</si>
  <si>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</si>
  <si>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</si>
  <si>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</si>
  <si>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</si>
  <si>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</si>
  <si>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</si>
  <si>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</si>
  <si>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</si>
  <si>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</si>
  <si>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</si>
  <si>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</si>
  <si>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</si>
  <si>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</si>
  <si>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</si>
  <si>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</si>
  <si>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</si>
  <si>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</si>
  <si>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</si>
  <si>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</si>
  <si>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</si>
  <si>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</si>
  <si>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</si>
  <si>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</si>
  <si>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</si>
  <si>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</si>
  <si>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</si>
  <si>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</si>
  <si>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</si>
  <si>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</si>
  <si>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</si>
  <si>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</si>
  <si>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</si>
  <si>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</si>
  <si>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</si>
  <si>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</si>
  <si>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</si>
  <si>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</si>
  <si>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</si>
  <si>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2026-02-10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</si>
  <si>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</si>
  <si>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</si>
  <si>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</si>
  <si>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</si>
  <si>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</si>
  <si>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</si>
  <si>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</si>
  <si>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</si>
  <si>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</si>
  <si>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</si>
  <si>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</si>
  <si>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</si>
  <si>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</si>
  <si>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</si>
  <si>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</si>
  <si>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</si>
  <si>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</si>
  <si>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</si>
  <si>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</si>
  <si>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</si>
  <si>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</si>
  <si>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</si>
  <si>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</si>
  <si>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</si>
  <si>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</si>
  <si>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</si>
  <si>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</si>
  <si>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</si>
  <si>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</si>
  <si>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</si>
  <si>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</si>
  <si>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</si>
  <si>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</si>
  <si>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</si>
  <si>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</si>
  <si>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</si>
  <si>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</si>
  <si>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</si>
  <si>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</si>
  <si>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</si>
  <si>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</si>
  <si>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</si>
  <si>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</si>
  <si>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</si>
  <si>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</si>
  <si>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</si>
  <si>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</si>
  <si>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</si>
  <si>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</si>
  <si>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</si>
  <si>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</si>
  <si>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</si>
  <si>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</si>
  <si>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</si>
  <si>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</si>
  <si>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</si>
  <si>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</si>
  <si>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</si>
  <si>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2026-02-11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</si>
  <si>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</si>
  <si>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</si>
  <si>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</si>
  <si>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</si>
  <si>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</si>
  <si>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</si>
  <si>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</si>
  <si>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</si>
  <si>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</si>
  <si>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</si>
  <si>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</si>
  <si>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</si>
  <si>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</si>
  <si>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</si>
  <si>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</si>
  <si>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</si>
  <si>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</si>
  <si>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</si>
  <si>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</si>
  <si>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</si>
  <si>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</si>
  <si>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</si>
  <si>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</si>
  <si>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</si>
  <si>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</si>
  <si>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</si>
  <si>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</si>
  <si>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</si>
  <si>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</si>
  <si>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</si>
  <si>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</si>
  <si>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</si>
  <si>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</si>
  <si>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</si>
  <si>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</si>
  <si>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</si>
  <si>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</si>
  <si>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</si>
  <si>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</si>
  <si>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</si>
  <si>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</si>
  <si>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</si>
  <si>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</si>
  <si>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</si>
  <si>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</si>
  <si>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</si>
  <si>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</si>
  <si>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</si>
  <si>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</si>
  <si>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</si>
  <si>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</si>
  <si>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</si>
  <si>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</si>
  <si>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</si>
  <si>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</si>
  <si>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</si>
  <si>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</si>
  <si>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</si>
  <si>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2026-02-12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</si>
  <si>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</si>
  <si>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</si>
  <si>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</si>
  <si>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</si>
  <si>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</si>
  <si>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</si>
  <si>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</si>
  <si>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</si>
  <si>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</si>
  <si>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</si>
  <si>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</si>
  <si>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</si>
  <si>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</si>
  <si>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</si>
  <si>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</si>
  <si>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</si>
  <si>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</si>
  <si>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</si>
  <si>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</si>
  <si>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</si>
  <si>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</si>
  <si>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</si>
  <si>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</si>
  <si>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</si>
  <si>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</si>
  <si>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</si>
  <si>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</si>
  <si>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</si>
  <si>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</si>
  <si>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</si>
  <si>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</si>
  <si>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</si>
  <si>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</si>
  <si>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</si>
  <si>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</si>
  <si>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</si>
  <si>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</si>
  <si>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</si>
  <si>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</si>
  <si>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</si>
  <si>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</si>
  <si>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</si>
  <si>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</si>
  <si>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</si>
  <si>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</si>
  <si>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</si>
  <si>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</si>
  <si>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</si>
  <si>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</si>
  <si>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</si>
  <si>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</si>
  <si>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</si>
  <si>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</si>
  <si>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</si>
  <si>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</si>
  <si>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</si>
  <si>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</si>
  <si>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2026-02-14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</si>
  <si>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</si>
  <si>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</si>
  <si>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</si>
  <si>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</si>
  <si>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</si>
  <si>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</si>
  <si>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</si>
  <si>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</si>
  <si>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</si>
  <si>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</si>
  <si>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</si>
  <si>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</si>
  <si>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</si>
  <si>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</si>
  <si>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</si>
  <si>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</si>
  <si>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</si>
  <si>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</si>
  <si>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</si>
  <si>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</si>
  <si>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</si>
  <si>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</si>
  <si>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</si>
  <si>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</si>
  <si>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</si>
  <si>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</si>
  <si>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</si>
  <si>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</si>
  <si>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</si>
  <si>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</si>
  <si>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</si>
  <si>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</si>
  <si>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</si>
  <si>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</si>
  <si>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</si>
  <si>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</si>
  <si>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</si>
  <si>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</si>
  <si>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</si>
  <si>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</si>
  <si>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</si>
  <si>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</si>
  <si>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</si>
  <si>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</si>
  <si>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</si>
  <si>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</si>
  <si>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</si>
  <si>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</si>
  <si>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</si>
  <si>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</si>
  <si>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</si>
  <si>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</si>
  <si>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</si>
  <si>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</si>
  <si>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</si>
  <si>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</si>
  <si>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</si>
  <si>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</si>
  <si>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</si>
  <si>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</si>
  <si>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</si>
  <si>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</si>
  <si>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</si>
  <si>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</si>
  <si>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</si>
  <si>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</si>
  <si>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</si>
  <si>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</si>
  <si>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</si>
  <si>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</si>
  <si>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</si>
  <si>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</si>
  <si>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</si>
  <si>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</si>
  <si>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</si>
  <si>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</si>
  <si>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</si>
  <si>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</si>
  <si>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</si>
  <si>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</si>
  <si>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</si>
  <si>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</si>
  <si>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</si>
  <si>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</si>
  <si>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</si>
  <si>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</si>
  <si>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</si>
  <si>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</si>
  <si>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</si>
  <si>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</si>
  <si>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</si>
  <si>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</si>
  <si>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</si>
  <si>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</si>
  <si>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</si>
  <si>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</si>
  <si>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</si>
  <si>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</si>
  <si>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</si>
  <si>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</si>
  <si>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</si>
  <si>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2026-02-15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</si>
  <si>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</si>
  <si>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</si>
  <si>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</si>
  <si>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</si>
  <si>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</si>
  <si>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</si>
  <si>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</si>
  <si>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</si>
  <si>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</si>
  <si>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</si>
  <si>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</si>
  <si>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</si>
  <si>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</si>
  <si>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</si>
  <si>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</si>
  <si>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</si>
  <si>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</si>
  <si>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</si>
  <si>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</si>
  <si>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</si>
  <si>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</si>
  <si>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</si>
  <si>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</si>
  <si>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</si>
  <si>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</si>
  <si>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</si>
  <si>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</si>
  <si>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</si>
  <si>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</si>
  <si>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</si>
  <si>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</si>
  <si>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</si>
  <si>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</si>
  <si>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</si>
  <si>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</si>
  <si>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</si>
  <si>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</si>
  <si>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</si>
  <si>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</si>
  <si>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</si>
  <si>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</si>
  <si>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</si>
  <si>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</si>
  <si>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</si>
  <si>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</si>
  <si>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</si>
  <si>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</si>
  <si>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</si>
  <si>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</si>
  <si>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</si>
  <si>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</si>
  <si>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</si>
  <si>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</si>
  <si>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</si>
  <si>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</si>
  <si>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</si>
  <si>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</si>
  <si>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</si>
  <si>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2026-02-16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</si>
  <si>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</si>
  <si>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</si>
  <si>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</si>
  <si>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</si>
  <si>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</si>
  <si>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</si>
  <si>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</si>
  <si>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</si>
  <si>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</si>
  <si>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</si>
  <si>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</si>
  <si>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</si>
  <si>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</si>
  <si>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</si>
  <si>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</si>
  <si>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</si>
  <si>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</si>
  <si>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</si>
  <si>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</si>
  <si>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</si>
  <si>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</si>
  <si>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</si>
  <si>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</si>
  <si>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</si>
  <si>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</si>
  <si>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</si>
  <si>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</si>
  <si>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</si>
  <si>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</si>
  <si>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</si>
  <si>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</si>
  <si>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</si>
  <si>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</si>
  <si>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</si>
  <si>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</si>
  <si>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</si>
  <si>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</si>
  <si>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</si>
  <si>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</si>
  <si>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</si>
  <si>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</si>
  <si>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</si>
  <si>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</si>
  <si>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</si>
  <si>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</si>
  <si>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</si>
  <si>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</si>
  <si>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</si>
  <si>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</si>
  <si>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</si>
  <si>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</si>
  <si>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</si>
  <si>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</si>
  <si>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</si>
  <si>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</si>
  <si>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</si>
  <si>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</si>
  <si>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</si>
  <si>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2026-02-19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</si>
  <si>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</si>
  <si>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</si>
  <si>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</si>
  <si>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</si>
  <si>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</si>
  <si>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</si>
  <si>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</si>
  <si>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</si>
  <si>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</si>
  <si>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</si>
  <si>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</si>
  <si>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</si>
  <si>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</si>
  <si>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</si>
  <si>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</si>
  <si>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</si>
  <si>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</si>
  <si>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</si>
  <si>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</si>
  <si>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</si>
  <si>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</si>
  <si>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</si>
  <si>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</si>
  <si>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</si>
  <si>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</si>
  <si>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</si>
  <si>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</si>
  <si>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</si>
  <si>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</si>
  <si>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</si>
  <si>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</si>
  <si>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</si>
  <si>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</si>
  <si>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</si>
  <si>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</si>
  <si>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</si>
  <si>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</si>
  <si>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</si>
  <si>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</si>
  <si>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</si>
  <si>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</si>
  <si>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</si>
  <si>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</si>
  <si>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</si>
  <si>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</si>
  <si>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</si>
  <si>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</si>
  <si>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</si>
  <si>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</si>
  <si>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</si>
  <si>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</si>
  <si>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</si>
  <si>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</si>
  <si>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</si>
  <si>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</si>
  <si>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</si>
  <si>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</si>
  <si>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</si>
  <si>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2026-02-18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</si>
  <si>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</si>
  <si>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</si>
  <si>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</si>
  <si>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</si>
  <si>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</si>
  <si>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</si>
  <si>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</si>
  <si>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</si>
  <si>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</si>
  <si>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</si>
  <si>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</si>
  <si>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</si>
  <si>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</si>
  <si>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</si>
  <si>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</si>
  <si>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</si>
  <si>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</si>
  <si>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</si>
  <si>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</si>
  <si>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</si>
  <si>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</si>
  <si>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</si>
  <si>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</si>
  <si>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</si>
  <si>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</si>
  <si>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</si>
  <si>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</si>
  <si>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</si>
  <si>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</si>
  <si>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</si>
  <si>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</si>
  <si>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</si>
  <si>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</si>
  <si>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</si>
  <si>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</si>
  <si>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</si>
  <si>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</si>
  <si>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</si>
  <si>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</si>
  <si>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</si>
  <si>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</si>
  <si>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</si>
  <si>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</si>
  <si>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</si>
  <si>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</si>
  <si>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</si>
  <si>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</si>
  <si>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</si>
  <si>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</si>
  <si>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</si>
  <si>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</si>
  <si>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</si>
  <si>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</si>
  <si>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</si>
  <si>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</si>
  <si>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</si>
  <si>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</si>
  <si>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</si>
  <si>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2026-05-20</t>
  </si>
  <si>
    <t>กิจกรรมพิเศษ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</si>
  <si>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</si>
  <si>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</si>
  <si>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</si>
  <si>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</si>
  <si>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</si>
  <si>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</si>
  <si>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</si>
  <si>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</si>
  <si>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</si>
  <si>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</si>
  <si>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</si>
  <si>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</si>
  <si>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</si>
  <si>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</si>
  <si>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</si>
  <si>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</si>
  <si>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</si>
  <si>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</si>
  <si>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</si>
  <si>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</si>
  <si>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</si>
  <si>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</si>
  <si>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</si>
  <si>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</si>
  <si>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</si>
  <si>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</si>
  <si>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</si>
  <si>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</si>
  <si>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</si>
  <si>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</si>
  <si>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</si>
  <si>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</si>
  <si>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</si>
  <si>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</si>
  <si>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</si>
  <si>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</si>
  <si>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</si>
  <si>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</si>
  <si>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</si>
  <si>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</si>
  <si>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</si>
  <si>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</si>
  <si>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</si>
  <si>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</si>
  <si>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</si>
  <si>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</si>
  <si>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</si>
  <si>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</si>
  <si>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</si>
  <si>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</si>
  <si>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</si>
  <si>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</si>
  <si>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</si>
  <si>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</si>
  <si>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</si>
  <si>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</si>
  <si>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</si>
  <si>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</si>
  <si>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ค่ายปรับพื้นฐานม.4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</si>
  <si>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</si>
  <si>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</si>
  <si>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</si>
  <si>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</si>
  <si>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</si>
  <si>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</si>
  <si>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</si>
  <si>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</si>
  <si>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</si>
  <si>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</si>
  <si>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</si>
  <si>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</si>
  <si>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</si>
  <si>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</si>
  <si>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</si>
  <si>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</si>
  <si>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</si>
  <si>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</si>
  <si>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</si>
  <si>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</si>
  <si>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</si>
  <si>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</si>
  <si>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</si>
  <si>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</si>
  <si>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</si>
  <si>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</si>
  <si>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</si>
  <si>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</si>
  <si>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</si>
  <si>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</si>
  <si>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</si>
  <si>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</si>
  <si>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</si>
  <si>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</si>
  <si>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</si>
  <si>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</si>
  <si>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</si>
  <si>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</si>
  <si>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</si>
  <si>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</si>
  <si>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</si>
  <si>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</si>
  <si>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</si>
  <si>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</si>
  <si>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</si>
  <si>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</si>
  <si>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</si>
  <si>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</si>
  <si>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</si>
  <si>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</si>
  <si>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</si>
  <si>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</si>
  <si>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</si>
  <si>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</si>
  <si>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</si>
  <si>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</si>
  <si>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</si>
  <si>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</si>
  <si>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2026-03-06</t>
  </si>
  <si>
    <t>iktikaf perdana ikram sungai patani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</si>
  <si>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</si>
  <si>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</si>
  <si>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</si>
  <si>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</si>
  <si>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</si>
  <si>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</si>
  <si>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</si>
  <si>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</si>
  <si>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</si>
  <si>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</si>
  <si>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</si>
  <si>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</si>
  <si>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</si>
  <si>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</si>
  <si>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</si>
  <si>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</si>
  <si>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</si>
  <si>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</si>
  <si>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</si>
  <si>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</si>
  <si>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</si>
  <si>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</si>
  <si>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</si>
  <si>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</si>
  <si>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</si>
  <si>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</si>
  <si>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</si>
  <si>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</si>
  <si>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</si>
  <si>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</si>
  <si>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</si>
  <si>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</si>
  <si>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</si>
  <si>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</si>
  <si>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</si>
  <si>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</si>
  <si>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</si>
  <si>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</si>
  <si>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</si>
  <si>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</si>
  <si>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</si>
  <si>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</si>
  <si>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</si>
  <si>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</si>
  <si>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</si>
  <si>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</si>
  <si>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</si>
  <si>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</si>
  <si>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</si>
  <si>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</si>
  <si>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</si>
  <si>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</si>
  <si>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</si>
  <si>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</si>
  <si>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</si>
  <si>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</si>
  <si>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</si>
  <si>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</si>
  <si>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</si>
  <si>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</si>
  <si>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</si>
  <si>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</si>
  <si>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</si>
  <si>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</si>
  <si>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</si>
  <si>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</si>
  <si>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</si>
  <si>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</si>
  <si>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</si>
  <si>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</si>
  <si>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</si>
  <si>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</si>
  <si>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</si>
  <si>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</si>
  <si>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</si>
  <si>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</si>
  <si>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</si>
  <si>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</si>
  <si>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</si>
  <si>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</si>
  <si>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จิตอาสาแปะป้ายห้องเรียน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</si>
  <si>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</si>
  <si>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</si>
  <si>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</si>
  <si>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</si>
  <si>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</si>
  <si>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</si>
  <si>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</si>
  <si>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</si>
  <si>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</si>
  <si>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</si>
  <si>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</si>
  <si>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</si>
  <si>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</si>
  <si>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</si>
  <si>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</si>
  <si>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</si>
  <si>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</si>
  <si>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</si>
  <si>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</si>
  <si>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</si>
  <si>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</si>
  <si>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</si>
  <si>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</si>
  <si>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</si>
  <si>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</si>
  <si>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</si>
  <si>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</si>
  <si>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</si>
  <si>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</si>
  <si>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</si>
  <si>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</si>
  <si>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</si>
  <si>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</si>
  <si>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</si>
  <si>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</si>
  <si>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</si>
  <si>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</si>
  <si>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</si>
  <si>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</si>
  <si>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</si>
  <si>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</si>
  <si>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</si>
  <si>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</si>
  <si>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</si>
  <si>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</si>
  <si>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</si>
  <si>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</si>
  <si>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</si>
  <si>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</si>
  <si>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</si>
  <si>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</si>
  <si>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</si>
  <si>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</si>
  <si>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</si>
  <si>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</si>
  <si>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</si>
  <si>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</si>
  <si>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criteria_json</t>
  </si>
  <si>
    <t>level</t>
  </si>
  <si>
    <t>คะแนน</t>
  </si>
  <si>
    <t>คะแนนเฉลี่ย</t>
  </si>
  <si>
    <t>2025-12-01</t>
  </si>
  <si>
    <t>กรรมการคนที่ 1</t>
  </si>
  <si>
    <t>{"0":"ดี","1":"ดีมาก","2":"ดี","3":"ดีมาก","4":"ดีมาก","5":"ดี","6":"ดีมาก"}</t>
  </si>
  <si>
    <t>ดีมาก</t>
  </si>
  <si>
    <t>ว่าที่ประธานสภาชาย</t>
  </si>
  <si>
    <t>{"0":"ดี","1":"ดีมาก","2":"ดีมาก","3":"ดี","4":"ดี","5":"ดีมาก","6":"ดีมาก"}</t>
  </si>
  <si>
    <t>{"0":"ดีมาก","1":"ดีมาก","2":"ดี","3":"ดีมาก","4":"ดีมาก","5":"ดี","6":"ดี"}</t>
  </si>
  <si>
    <t>{"0":"ดี","1":"ดี","2":"ดี","3":"ดี","4":"ดี","5":"ดีมาก","6":"ดีมาก"}</t>
  </si>
  <si>
    <t>ดี</t>
  </si>
  <si>
    <t>{"0":"ดีมาก","1":"ดี","2":"ดีมาก","3":"ดี","4":"ดีมาก","5":"ดี","6":"ดีมาก"}</t>
  </si>
  <si>
    <t>ว่าที่ประธานสภาหญิง</t>
  </si>
  <si>
    <t>พอใช้</t>
  </si>
  <si>
    <t>{"0":"ดี","1":"ดีมาก","2":"ดีมาก","3":"ดีมาก","4":"ดีมาก","5":"ดีมาก","6":"ดีมาก"}</t>
  </si>
  <si>
    <t>ไม่ผ่าน</t>
  </si>
  <si>
    <t>0</t>
  </si>
  <si>
    <t>{"0":"พอใช้","1":"พอใช้","2":"ดี","3":"ดี","4":"ดี","5":"ดี","6":"พอใช้"}</t>
  </si>
  <si>
    <t>{"0":"ดีมาก","1":"ดีมาก","2":"ดี","3":"ดีมาก","4":"ดี","5":"ดี","6":"ดี"}</t>
  </si>
  <si>
    <t>{"0":"ดี","1":"ดี","2":"ดี","3":"ดี","4":"พอใช้","5":"ดี","6":"ดีมาก"}</t>
  </si>
  <si>
    <t>กรรมการคนที่ 10</t>
  </si>
  <si>
    <t>{"0":"ดี","1":"ดี","2":"ดี","3":"ดี","4":"ดีมาก","5":"ดี","6":"ดี"}</t>
  </si>
  <si>
    <t>{"0":"ดีมาก","1":"ดีมาก","2":"ดีมาก","3":"ดีมาก","4":"ดี","5":"ดี","6":"ดีมาก"}</t>
  </si>
  <si>
    <t>{"0":"ดี","1":"ดีมาก","2":"ดีมาก","3":"ดี","4":"ดี","5":"ดี","6":"ดี"}</t>
  </si>
  <si>
    <t>{"0":"ดี","1":"ดี","2":"ดี","3":"ดีมาก","4":"ดีมาก","5":"ดีมาก","6":"ดี"}</t>
  </si>
  <si>
    <t>{"0":"ดี","1":"ดีมาก","2":"ดีมาก","3":"ดีมาก","4":"ดี","5":"ดี","6":"ดีมาก"}</t>
  </si>
  <si>
    <t>{"0":"ดีมาก","1":"ดีมาก","2":"ดีมาก","3":"ดี","4":"ดี","5":"ดี","6":"ดีมาก"}</t>
  </si>
  <si>
    <t>{"0":"ดี","1":"ดีมาก","2":"ดีมาก","3":"ดีมาก","4":"ดี","5":"ดี","6":"ดี"}</t>
  </si>
  <si>
    <t>{"0":"ดี","1":"ดี","2":"ดีมาก","3":"ดีมาก","4":"ดี","5":"ดี","6":"ดีมาก"}</t>
  </si>
  <si>
    <t>{"0":"ดี","1":"ดี","2":"ดี","3":"ดี","4":"ดี","5":"ดี","6":"ดี"}</t>
  </si>
  <si>
    <t>กรรมการคนที่ 2</t>
  </si>
  <si>
    <t>{"0":"ดี","1":"ดี","2":"ดี","3":"พอใช้","4":"ดี","5":"ดี","6":"พอใช้"}</t>
  </si>
  <si>
    <t>{"0":"ดี","1":"ดี","2":"ดีมาก","3":"ดี","4":"ดี","5":"ดี","6":"ดี"}</t>
  </si>
  <si>
    <t>{"0":"ดีมาก","1":"ดี","2":"ดี","3":"พอใช้","4":"ดี","5":"ดี","6":"ดี"}</t>
  </si>
  <si>
    <t>{"0":"ดี","1":"ดี","2":"พอใช้","3":"ดี","4":"ดี","5":"ดี","6":"ดี"}</t>
  </si>
  <si>
    <t>{"0":"ดี","1":"ดี","2":"ดี","3":"ดี","4":"ดี","5":"ดี","6":"ดีมาก"}</t>
  </si>
  <si>
    <t>{"0":"พอใช้","1":"พอใช้","2":"ดี","3":"พอใช้","4":"พอใช้","5":"พอใช้","6":"พอใช้"}</t>
  </si>
  <si>
    <t>{"0":"ดี","1":"พอใช้","2":"พอใช้","3":"พอใช้","4":"ดี","5":"พอใช้","6":"พอใช้"}</t>
  </si>
  <si>
    <t>{"0":"ดี","1":"พอใช้","2":"ดี","3":"พอใช้","4":"พอใช้","5":"พอใช้","6":"ไม่ผ่าน"}</t>
  </si>
  <si>
    <t>กรรมการคนที่ 4</t>
  </si>
  <si>
    <t>{"0":"ดี","1":"ดี","2":"ดี","3":"พอใช้","4":"พอใช้","5":"ดีมาก","6":"ดี"}</t>
  </si>
  <si>
    <t>{"0":"ดีมาก","1":"ดีมาก","2":"ดีมาก","3":"ดีมาก","4":"ดีมาก","5":"ดี","6":"ดีมาก"}</t>
  </si>
  <si>
    <t>{"0":"ดีมาก","1":"ดี","2":"ดี","3":"ดีมาก","4":"ดี","5":"ดีมาก","6":"ดี"}</t>
  </si>
  <si>
    <t>{"0":"ดีมาก","1":"ดีมาก","2":"ดีมาก","3":"ดีมาก","4":"ดีมาก","5":"ดีมาก","6":"ดีมาก"}</t>
  </si>
  <si>
    <t>{"0":"ดีมาก","1":"ดีมาก","2":"ดีมาก","3":"ดีมาก","5":"ดีมาก","6":"ดีมาก"}</t>
  </si>
  <si>
    <t>{"0":"ดีมาก","1":"ดี","2":"ดี","3":"ดีมาก","4":"ดี","5":"ดีมาก","6":"ดีมาก"}</t>
  </si>
  <si>
    <t>กรรมการคนที่ 5</t>
  </si>
  <si>
    <t>{"0":"ดี","1":"พอใช้","2":"ดี","3":"ดี","4":"ดี","5":"ดี","6":"ดี"}</t>
  </si>
  <si>
    <t>{"0":"ดี","1":"พอใช้","2":"พอใช้","3":"ดี","4":"ดี","5":"ดี","6":"พอใช้"}</t>
  </si>
  <si>
    <t>{"0":"ดี","1":"ดี","2":"ดี","3":"ดีมาก","4":"ดี","5":"ดี","6":"ดีมาก"}</t>
  </si>
  <si>
    <t>{"0":"พอใช้","1":"พอใช้","2":"พอใช้","3":"ดี","4":"พอใช้","5":"ดี","6":"พอใช้"}</t>
  </si>
  <si>
    <t>{"0":"พอใช้","1":"พอใช้","2":"พอใช้","3":"ดี","4":"พอใช้","5":"พอใช้","6":"ดี"}</t>
  </si>
  <si>
    <t>กรรมการคนที่ 6</t>
  </si>
  <si>
    <t>{"0":"ดี","1":"ดี","2":"ดี","3":"ดีมาก","4":"ดี","5":"ดีมาก","6":"ดีมาก"}</t>
  </si>
  <si>
    <t>{"0":"พอใช้","1":"ดีมาก","2":"ดีมาก","3":"ดี","4":"ดี","5":"ดี","6":"พอใช้"}</t>
  </si>
  <si>
    <t>{"0":"ดี","1":"ดีมาก","2":"ดี","3":"ดีมาก","4":"ดี","5":"ดี","6":"ดีมาก"}</t>
  </si>
  <si>
    <t>{"0":"ดีมาก","1":"ดี","2":"ดี","3":"ดี","4":"ดี","5":"ดี","6":"ดี"}</t>
  </si>
  <si>
    <t>{"0":"ดีมาก","1":"ดีมาก","2":"ดี","3":"ดี","4":"ดี","5":"ดี","6":"ดีมาก"}</t>
  </si>
  <si>
    <t>{"0":"ดี","1":"พอใช้","2":"ดีมาก","3":"ดี","4":"พอใช้","5":"พอใช้","6":"ดี"}</t>
  </si>
  <si>
    <t>กรรมการคนที่ 7</t>
  </si>
  <si>
    <t>{"0":"พอใช้","1":"ดี","2":"พอใช้","3":"พอใช้","4":"พอใช้","5":"ดี","6":"พอใช้"}</t>
  </si>
  <si>
    <t>{"0":"ดี","1":"ดี","2":"ดีมาก","3":"ดี","4":"ดีมาก","5":"ดี","6":"พอใช้"}</t>
  </si>
  <si>
    <t>{"0":"ดี","1":"พอใช้","2":"พอใช้","3":"พอใช้","4":"พอใช้","5":"พอใช้","6":"พอใช้"}</t>
  </si>
  <si>
    <t>{"0":"ดีมาก","1":"พอใช้","2":"พอใช้","3":"พอใช้","4":"ดี","5":"ดี","6":"ดี"}</t>
  </si>
  <si>
    <t>{"0":"ดีมาก","1":"ดี","2":"ดีมาก","3":"ดีมาก","4":"ดีมาก","5":"ดีมาก","6":"ดีมาก"}</t>
  </si>
  <si>
    <t>{"0":"พอใช้","1":"ดี","2":"ดี","3":"ดี","4":"ดี","5":"ดี","6":"ดี"}</t>
  </si>
  <si>
    <t>{"0":"พอใช้","1":"พอใช้","2":"ดี","3":"พอใช้","4":"พอใช้","5":"ดี","6":"พอใช้"}</t>
  </si>
  <si>
    <t>กรรมการคนที่ 8</t>
  </si>
  <si>
    <t>{"0":"พอใช้","1":"พอใช้","2":"พอใช้","3":"ดี","4":"พอใช้","5":"พอใช้","6":"พอใช้"}</t>
  </si>
  <si>
    <t>{"0":"ดี","1":"พอใช้","2":"ดี","3":"พอใช้","4":"พอใช้","5":"ดี","6":"ดี"}</t>
  </si>
  <si>
    <t>{"0":"ดี","1":"พอใช้","2":"ดี","3":"พอใช้","4":"ดี","5":"พอใช้","6":"ดี"}</t>
  </si>
  <si>
    <t>{"0":"ดี","1":"ดี","2":"ดี","3":"พอใช้","4":"ดี","5":"พอใช้","6":"พอใช้"}</t>
  </si>
  <si>
    <t>{"0":"ดี","1":"ดี","2":"ดี","3":"พอใช้","4":"ดี","5":"ดีมาก","6":"ดีมาก"}</t>
  </si>
  <si>
    <t>{"0":"ดีมาก","1":"ดี","2":"ดี","3":"พอใช้","4":"ดี","5":"ดีมาก","6":"ดีมาก"}</t>
  </si>
  <si>
    <t>{"0":"พอใช้","1":"พอใช้","2":"พอใช้","3":"ดี","4":"ดี","5":"ดีมาก","6":"ดี"}</t>
  </si>
  <si>
    <t>{"0":"ดีมาก","1":"ดีมาก","2":"ดี","3":"ดีมาก","4":"ดี","5":"ดีมาก","6":"ดีมาก"}</t>
  </si>
  <si>
    <t>{"0":"ดี","1":"พอใช้","2":"ดี","3":"พอใช้","4":"พอใช้","5":"พอใช้","6":"ดี"}</t>
  </si>
  <si>
    <t>กรรมการคนที่ 9</t>
  </si>
  <si>
    <t>{"0":"ดี","1":"พอใช้","2":"พอใช้","3":"พอใช้","4":"ดี","5":"ดีมาก","6":"พอใช้"}</t>
  </si>
  <si>
    <t>{"0":"ดีมาก","1":"ดี","2":"ดีมาก","3":"ดีมาก","4":"ดี","5":"ดีมาก","6":"ดี"}</t>
  </si>
  <si>
    <t>{"0":"ดี","1":"ดี","2":"ดี","3":"ดีมาก","4":"ดี","5":"ดีมาก","6":"ดี"}</t>
  </si>
  <si>
    <t>{"0":"ดี","1":"ดี","2":"ดี","3":"ดี","4":"ดี","5":"ดีมาก","6":"ดี"}</t>
  </si>
  <si>
    <t>{"0":"ดี","1":"ดี","2":"พอใช้","3":"ดี","4":"ดี","5":"ดีมาก","6":"พอใช้"}</t>
  </si>
  <si>
    <t>{"0":"ดี","1":"ดี","2":"ดีมาก","3":"ดี","4":"ดี","5":"ดีมาก","6":"ดี"}</t>
  </si>
  <si>
    <t>{"0":"ดี","1":"ดี","2":"ดีมาก","3":"ดีมาก","4":"ดีมาก","5":"ดีมาก","6":"ดีมาก"}</t>
  </si>
  <si>
    <t>{"0":"พอใช้","1":"พอใช้","2":"ดีมาก","3":"พอใช้","4":"พอใช้","5":"ดี","6":"พอใช้"}</t>
  </si>
  <si>
    <t>2026-01-17</t>
  </si>
  <si>
    <t>dsfghjkl;;'liouytrrtyuio</t>
  </si>
  <si>
    <t>{"0":"ดี","1":"ดี","2":"ดีมาก","3":"ดีมาก","4":"พอใช้","5":"พอใช้","6":"พอใช้"}</t>
  </si>
  <si>
    <t>น.ส.ซอลีฮะห์ สาเมาะ</t>
  </si>
  <si>
    <t>ม.4/10 / อป.1/4</t>
  </si>
  <si>
    <t>ม.5/1 / อก.3/1</t>
  </si>
  <si>
    <t>NULL</t>
  </si>
  <si>
    <t>ด.ช.ฮิซมาน หีมใบ</t>
  </si>
  <si>
    <t>ม.3/3 / อก.2/3</t>
  </si>
  <si>
    <t>ม.4/1 / อก.3/1</t>
  </si>
  <si>
    <t>ด.ช.บัดรี เจะหะ</t>
  </si>
  <si>
    <t>ม.3/1 / อก.2/1</t>
  </si>
  <si>
    <t>ม.5/7 / อป.2/7</t>
  </si>
  <si>
    <t>23383</t>
  </si>
  <si>
    <t>นายซอบีรีน อาลี</t>
  </si>
  <si>
    <t>2025-11-19 15:49:55</t>
  </si>
  <si>
    <t>น.ส.อาตีน่า มาลารัตน์</t>
  </si>
  <si>
    <t>26657</t>
  </si>
  <si>
    <t>น.ส.อิมตีนาน อารง</t>
  </si>
  <si>
    <t>ม.4/8 / อป.1/8</t>
  </si>
  <si>
    <t>2025-11-19 15:50:36</t>
  </si>
  <si>
    <t>น.ส.ฟาตีเม๊าะ ดอเลาะ</t>
  </si>
  <si>
    <t>น.ส.นัตตรีเซีย สองเมือง</t>
  </si>
  <si>
    <t>น.ส.นาดียา แซแม็ง</t>
  </si>
  <si>
    <t>24121</t>
  </si>
  <si>
    <t>น.ส.ซูไรนีย์ วันยี</t>
  </si>
  <si>
    <t>2025-11-19 15:51:20</t>
  </si>
  <si>
    <t>น.ส.ซัลมี ฮามะ</t>
  </si>
  <si>
    <t>24088</t>
  </si>
  <si>
    <t>น.ส.นาซูฮา แดวอ</t>
  </si>
  <si>
    <t>2025-11-19 15:51:39</t>
  </si>
  <si>
    <t>น.ส.นัจมีญร์ ดายี</t>
  </si>
  <si>
    <t>ด.ญ.ญานูรี สาหลำ</t>
  </si>
  <si>
    <t>น.ส.ซูรัยดา บากาประเสริฐ</t>
  </si>
  <si>
    <t>น.ส.โศรายา จินตารา</t>
  </si>
  <si>
    <t>น.ส.มุสลีมะฮ์ สมาน</t>
  </si>
  <si>
    <t>น.ส.นารีตา สาแมแน็ง</t>
  </si>
  <si>
    <t>น.ส.นิฟาติน ดาโอ๊ะ</t>
  </si>
  <si>
    <t>น.ส.วาสินี สันบากอ</t>
  </si>
  <si>
    <t>น.ส.นูรฮายาตี สุหลง</t>
  </si>
  <si>
    <t>น.ส.ฟิรดาว ยาลอ</t>
  </si>
  <si>
    <t>ด.ญ.รูกัยหยะฮ ก่องสามัน</t>
  </si>
  <si>
    <t>น.ส.อิฟตีซาน สานิ</t>
  </si>
  <si>
    <t>น.ส.อุษวาตี วาหะ</t>
  </si>
  <si>
    <t>น.ส.ซีรีน สะมะแอ</t>
  </si>
  <si>
    <t>น.ส.ซีรินณ์ ยูโซะ</t>
  </si>
  <si>
    <t>น.ส.ซัลซาบีลา หะนั่ง</t>
  </si>
  <si>
    <t>น.ส.นุรมี คอแบ๊ะ</t>
  </si>
  <si>
    <t>ด.ญ.รุสนา วันยี</t>
  </si>
  <si>
    <t>น.ส.นุรดีนี สุหลง</t>
  </si>
  <si>
    <t>น.ส.นัซนีม ดือราแม</t>
  </si>
  <si>
    <t>23721</t>
  </si>
  <si>
    <t>น.ส.นิอาลียา เจะแม</t>
  </si>
  <si>
    <t>น.ส.นาวัล มีนา</t>
  </si>
  <si>
    <t>น.ส.ชนันธิดา เขียวสด</t>
  </si>
  <si>
    <t>น.ส.ตัสนีม มันปุ</t>
  </si>
  <si>
    <t>น.ส.สีตีอาอีเส๊าะ สุหลง</t>
  </si>
  <si>
    <t>น.ส.ฮัยซูม ดามัน</t>
  </si>
  <si>
    <t>น.ส.ฟิร์ดาว สากา</t>
  </si>
  <si>
    <t>ด.ญ.นัซรินทร์ สาและ</t>
  </si>
  <si>
    <t>น.ส.อันดา เจะหะ</t>
  </si>
  <si>
    <t>น.ส.ซูไรดา เดนหะ</t>
  </si>
  <si>
    <t>น.ส.ซัลวา ปะดอดา</t>
  </si>
  <si>
    <t>น.ส.นูรีตา สาแม</t>
  </si>
  <si>
    <t>น.ส.อาลีซา สาและ</t>
  </si>
  <si>
    <t>ด.ญ.บิสมิลล์ กูโน</t>
  </si>
  <si>
    <t>23385</t>
  </si>
  <si>
    <t>น.ส.นาเดีย กาเด๊าะ</t>
  </si>
  <si>
    <t>ม.5/3 / อป.2/1</t>
  </si>
  <si>
    <t>น.ส.ฟาดียะห์ ปาเนาะ</t>
  </si>
  <si>
    <t>น.ส.นัสริน หะยีบากา</t>
  </si>
  <si>
    <t>น.ส.นูรฮีดายะห์ อาฮา</t>
  </si>
  <si>
    <t>น.ส.อามัล อิละละ</t>
  </si>
  <si>
    <t>น.ส.นัจญวา ล่าหับ</t>
  </si>
  <si>
    <t>ด.ญ.วันนูรญาวารี ดอเลาะ</t>
  </si>
  <si>
    <t>น.ส.นรรจวา อาแด</t>
  </si>
  <si>
    <t>น.ส.มาริษา มูนะ</t>
  </si>
  <si>
    <t>ม.4/1 / อป.1/1</t>
  </si>
  <si>
    <t>ม.4/2 / อป.1/2</t>
  </si>
  <si>
    <t>ม.4/1 / อก.1/1</t>
  </si>
  <si>
    <t>24539</t>
  </si>
  <si>
    <t>นายมุฎริก และแย</t>
  </si>
  <si>
    <t>2025-11-19 3:00:53</t>
  </si>
  <si>
    <t>23487</t>
  </si>
  <si>
    <t>นายฟัยซอล ตาเฮ</t>
  </si>
  <si>
    <t>2025-11-19 12:50:01</t>
  </si>
  <si>
    <t>ม.5/1 / อก.2/1</t>
  </si>
  <si>
    <t>ด.ช.อาลีฟ หะยีมิง</t>
  </si>
  <si>
    <t>ด.ญ.ฮันนาน แซ่เตียว</t>
  </si>
  <si>
    <t>26817</t>
  </si>
  <si>
    <t>นายนาซิม ถวายเทียน</t>
  </si>
  <si>
    <t>2025-11-19 12:52:26</t>
  </si>
  <si>
    <t>26190</t>
  </si>
  <si>
    <t>นายอาดีลัน ดอเลาะ</t>
  </si>
  <si>
    <t>ม.5/2 / อป.2/2</t>
  </si>
  <si>
    <t>2025-11-19 12:52:53</t>
  </si>
  <si>
    <t>ด.ช.อัฟฎอล หะยีจิ</t>
  </si>
  <si>
    <t>24349</t>
  </si>
  <si>
    <t>นายนุรดีน บาเหม</t>
  </si>
  <si>
    <t>ม.4/2 / อก.3/4</t>
  </si>
  <si>
    <t>2025-11-19 12:59:05</t>
  </si>
  <si>
    <t>น.ส.รอยฮาน ตาเยาะ</t>
  </si>
  <si>
    <t>ด.ญ.นัจมีย์ สามะ</t>
  </si>
  <si>
    <t>ม.3/9 / อก.3/7</t>
  </si>
  <si>
    <t>24289</t>
  </si>
  <si>
    <t>2025-11-19 13:00:50</t>
  </si>
  <si>
    <t>24045</t>
  </si>
  <si>
    <t>นายวาฮิด สมอยุโซ๊ะ</t>
  </si>
  <si>
    <t>2025-11-19 13:01:49</t>
  </si>
  <si>
    <t>26774</t>
  </si>
  <si>
    <t>นายอาฮานาฟ ฮาแวปูเตะ</t>
  </si>
  <si>
    <t>2025-11-19 13:02:03</t>
  </si>
  <si>
    <t>24531</t>
  </si>
  <si>
    <t>ม.5/1 / อป.1/1</t>
  </si>
  <si>
    <t>2025-11-19 13:02:20</t>
  </si>
  <si>
    <t>23443</t>
  </si>
  <si>
    <t>2025-11-19 13:02:26</t>
  </si>
  <si>
    <t>site_name</t>
  </si>
  <si>
    <t>logo_url</t>
  </si>
  <si>
    <t>footer_text</t>
  </si>
  <si>
    <t>activity_list</t>
  </si>
  <si>
    <t>show_attendance</t>
  </si>
  <si>
    <t>show_evaluation</t>
  </si>
  <si>
    <t>evaluation_note</t>
  </si>
  <si>
    <t>primary_color</t>
  </si>
  <si>
    <t>secondary_color</t>
  </si>
  <si>
    <t>bg_soft</t>
  </si>
  <si>
    <t>surface_color</t>
  </si>
  <si>
    <t>eval_criteria</t>
  </si>
  <si>
    <t>public_att_password</t>
  </si>
  <si>
    <t>public_eval_password</t>
  </si>
  <si>
    <t>print_header_text</t>
  </si>
  <si>
    <t>ระบบจัดการสภานักเรียน</t>
  </si>
  <si>
    <t>https://lh3.googleusercontent.com/d/1xoQkESfAcZS_Q1Ab-NLlRHVJku-5jSm7</t>
  </si>
  <si>
    <t>© MajlisPerwakilanPelajarAzizstan</t>
  </si>
  <si>
    <t>ประชุมสภานักเรียน
กิจกรรมพิเศษ
กิจกรรมแถว
กิจกรรมควบคุมละหมาด
กิจกรรมวันครู
กิจกรรมYLA(การเขียนใบโครงการ)
iktikaf perdana ikram sungai patani
ค่ายปรับพื้นฐานม.4
จิตอาสาแปะป้ายห้องเรียน</t>
  </si>
  <si>
    <t>TRUE</t>
  </si>
  <si>
    <t>#d81b60</t>
  </si>
  <si>
    <t>#00796b</t>
  </si>
  <si>
    <t>#fff3f8</t>
  </si>
  <si>
    <t>#FFFFFF</t>
  </si>
  <si>
    <t>การตรงต่อเวลา
การรักษาเวลาในการทำกิจกรรม
การให้ความร่วมมือในกิจกรรมกลุ่ม
การมีส่วนร่วมและการแสดงความคิดเห็น
ภาวะความเป็นผู้นำ
ความรับผิดชอบต่อหน้าที่ที่ได้รับมอบหมาย</t>
  </si>
  <si>
    <t>12345</t>
  </si>
  <si>
    <t>โรงเรียนมูลนิธิอาซิซสถาน ต.นาประดู อ.โคกโพธิ์ จ.ปัตตานี</t>
  </si>
  <si>
    <t>"ประชุมสภานักเรียน
กิจกรรมพิเศษ
กิจกรรมแถว
กิจกรรมควบคุมละหมาด"</t>
  </si>
  <si>
    <t>name_th</t>
  </si>
  <si>
    <t>👥 มวลชนสัมพันธ์</t>
  </si>
  <si>
    <t>💰 เหรัญญิก</t>
  </si>
  <si>
    <t>👑 ว่าที่ประธานสภานักเรียน</t>
  </si>
  <si>
    <t>23536</t>
  </si>
  <si>
    <t>น.ส.ฟิรดาวส์ แวดือเร๊ะ</t>
  </si>
  <si>
    <t>23537</t>
  </si>
  <si>
    <t>น.ส.ฟิรฮานส์ แวดือเร๊ะ</t>
  </si>
  <si>
    <t>ID</t>
  </si>
  <si>
    <t>Student ID</t>
  </si>
  <si>
    <t>Class General</t>
  </si>
  <si>
    <t>Class Religion</t>
  </si>
  <si>
    <t>Photo URL</t>
  </si>
  <si>
    <t>26098</t>
  </si>
  <si>
    <t>ด.ช.อัลฮาดิฟ ดอเลาะ</t>
  </si>
  <si>
    <t>ม.1/1</t>
  </si>
  <si>
    <t>PR 1/1</t>
  </si>
  <si>
    <t>https://azizstan.net/student_image/26098.jpg</t>
  </si>
  <si>
    <t>26126</t>
  </si>
  <si>
    <t>ด.ช.มูฮำหมัดอัชรอฟ ลอดิง</t>
  </si>
  <si>
    <t>https://azizstan.net/student_image/26126.jpg</t>
  </si>
  <si>
    <t>26143</t>
  </si>
  <si>
    <t>ด.ช.แวอิสมาแอ กาแบ</t>
  </si>
  <si>
    <t>https://azizstan.net/student_image/26143.jpg</t>
  </si>
  <si>
    <t>26183</t>
  </si>
  <si>
    <t>ด.ช.อับดุลมุฮัยมิน เจ๊ะแห</t>
  </si>
  <si>
    <t>https://azizstan.net/student_image/26183.jpg</t>
  </si>
  <si>
    <t>26223</t>
  </si>
  <si>
    <t>ด.ช.ฟูอาร์ต สาหลำสุหรี</t>
  </si>
  <si>
    <t>https://azizstan.net/student_image/26223.jpg</t>
  </si>
  <si>
    <t>26228</t>
  </si>
  <si>
    <t>ด.ช.ฮาฟิซ อารง</t>
  </si>
  <si>
    <t>https://azizstan.net/student_image/26228.jpg</t>
  </si>
  <si>
    <t>26229</t>
  </si>
  <si>
    <t>ด.ช.ฮากีม อารง</t>
  </si>
  <si>
    <t>https://azizstan.net/student_image/26229.jpg</t>
  </si>
  <si>
    <t>26232</t>
  </si>
  <si>
    <t>ด.ช.นิฮาซัน มามะ</t>
  </si>
  <si>
    <t>https://azizstan.net/student_image/26232.jpg</t>
  </si>
  <si>
    <t>26271</t>
  </si>
  <si>
    <t>ด.ช.อดิลัน แมวาโซะ</t>
  </si>
  <si>
    <t>https://azizstan.net/student_image/26271.jpg</t>
  </si>
  <si>
    <t>26272</t>
  </si>
  <si>
    <t>ด.ช.มูฮัมหมัดชารีฟ สาแลหมัน</t>
  </si>
  <si>
    <t>https://azizstan.net/student_image/26272.jpg</t>
  </si>
  <si>
    <t>26321</t>
  </si>
  <si>
    <t>ด.ช.ฟาอิซ วายีเกา</t>
  </si>
  <si>
    <t>https://azizstan.net/student_image/26321.jpg</t>
  </si>
  <si>
    <t>26349</t>
  </si>
  <si>
    <t>ด.ช.ศิดดิก วาเลาะ</t>
  </si>
  <si>
    <t>https://azizstan.net/student_image/26349.jpg</t>
  </si>
  <si>
    <t>26353</t>
  </si>
  <si>
    <t>ด.ช.สุไลมาน เจะเละ</t>
  </si>
  <si>
    <t>https://azizstan.net/student_image/26353.jpg</t>
  </si>
  <si>
    <t>26355</t>
  </si>
  <si>
    <t>ด.ช.อายุบ ดือรามัน</t>
  </si>
  <si>
    <t>https://azizstan.net/student_image/26355.jpg</t>
  </si>
  <si>
    <t>26357</t>
  </si>
  <si>
    <t>ด.ช.อัรฟาน ดามะยะ</t>
  </si>
  <si>
    <t>https://azizstan.net/student_image/26357.jpg</t>
  </si>
  <si>
    <t>26366</t>
  </si>
  <si>
    <t>ด.ช.อับดุลค๊อฟฟัต ตาเฮ</t>
  </si>
  <si>
    <t>https://azizstan.net/student_image/26366.jpg</t>
  </si>
  <si>
    <t>26388</t>
  </si>
  <si>
    <t>ด.ช.รอมฎอน สุวรรณฤทธิ์</t>
  </si>
  <si>
    <t>https://azizstan.net/student_image/26388.jpg</t>
  </si>
  <si>
    <t>26405</t>
  </si>
  <si>
    <t>ด.ช.อามีร ตาเยะ</t>
  </si>
  <si>
    <t>https://azizstan.net/student_image/26405.jpg</t>
  </si>
  <si>
    <t>26408</t>
  </si>
  <si>
    <t>ด.ช.ฟัยรุส แวหะยี</t>
  </si>
  <si>
    <t>https://azizstan.net/student_image/26408.jpg</t>
  </si>
  <si>
    <t>26414</t>
  </si>
  <si>
    <t>ด.ช.อาเวียร์ เจะนะ</t>
  </si>
  <si>
    <t>https://azizstan.net/student_image/26414.jpg</t>
  </si>
  <si>
    <t>26439</t>
  </si>
  <si>
    <t>ด.ช.ฟัยรุส นุ้ยสุชล</t>
  </si>
  <si>
    <t>https://azizstan.net/student_image/26439.jpg</t>
  </si>
  <si>
    <t>26519</t>
  </si>
  <si>
    <t>ด.ช.ฮาฟีซีน สามะ</t>
  </si>
  <si>
    <t>https://azizstan.net/student_image/26519.jpg</t>
  </si>
  <si>
    <t>26532</t>
  </si>
  <si>
    <t>ด.ช.อาดีลัง กูวิง</t>
  </si>
  <si>
    <t>https://azizstan.net/student_image/26532.jpg</t>
  </si>
  <si>
    <t>26536</t>
  </si>
  <si>
    <t>ด.ช.อับดุลอาร์ฟู เจ๊ะเล๊าะ</t>
  </si>
  <si>
    <t>https://azizstan.net/student_image/26536.jpg</t>
  </si>
  <si>
    <t>26537</t>
  </si>
  <si>
    <t>ด.ช.อัซมี มะมิง</t>
  </si>
  <si>
    <t>https://azizstan.net/student_image/26537.jpg</t>
  </si>
  <si>
    <t>26538</t>
  </si>
  <si>
    <t>ด.ช.มูฮัมหมัดกัฎดาฟี หะยีเจะอาแว</t>
  </si>
  <si>
    <t>https://azizstan.net/student_image/26538.jpg</t>
  </si>
  <si>
    <t>26551</t>
  </si>
  <si>
    <t>ด.ช.สิลาวุดีน สุหลง</t>
  </si>
  <si>
    <t>https://azizstan.net/student_image/26551.jpg</t>
  </si>
  <si>
    <t>26561</t>
  </si>
  <si>
    <t>ด.ช.อานัส อุมา</t>
  </si>
  <si>
    <t>https://azizstan.net/student_image/26561.jpg</t>
  </si>
  <si>
    <t>26604</t>
  </si>
  <si>
    <t>ด.ช.อิกรอม บาฮา</t>
  </si>
  <si>
    <t>https://azizstan.net/student_image/26604.jpg</t>
  </si>
  <si>
    <t>26620</t>
  </si>
  <si>
    <t>ด.ช.อาฟาน แวเล๊าะ</t>
  </si>
  <si>
    <t>https://azizstan.net/student_image/26620.jpg</t>
  </si>
  <si>
    <t>26623</t>
  </si>
  <si>
    <t>ด.ช.มูฮัมหมัดอารีฟ มะนอสะ</t>
  </si>
  <si>
    <t>https://azizstan.net/student_image/26623.jpg</t>
  </si>
  <si>
    <t>26634</t>
  </si>
  <si>
    <t>ด.ช.มูอาซ ยูโซ๊ะ</t>
  </si>
  <si>
    <t>https://azizstan.net/student_image/26634.jpg</t>
  </si>
  <si>
    <t>26659</t>
  </si>
  <si>
    <t>ด.ช.ยะห์ยา มะเด็ง</t>
  </si>
  <si>
    <t>https://azizstan.net/student_image/26659.jpg</t>
  </si>
  <si>
    <t>26690</t>
  </si>
  <si>
    <t>ด.ช.ฮัมบาลี สาอุ</t>
  </si>
  <si>
    <t>https://azizstan.net/student_image/26690.jpg</t>
  </si>
  <si>
    <t>26711</t>
  </si>
  <si>
    <t>ด.ช.ซอฟวัน นัจวัน มะตีเยาะ</t>
  </si>
  <si>
    <t>https://azizstan.net/student_image/26711.jpg</t>
  </si>
  <si>
    <t>26716</t>
  </si>
  <si>
    <t>ด.ช.อิซฟาฮัม สากอ</t>
  </si>
  <si>
    <t>https://azizstan.net/student_image/26716.jpg</t>
  </si>
  <si>
    <t>26785</t>
  </si>
  <si>
    <t>ด.ช.มูฮัมหมัดมุคลิศ โตะกือจิ</t>
  </si>
  <si>
    <t>https://azizstan.net/student_image/26785.jpg</t>
  </si>
  <si>
    <t>26810</t>
  </si>
  <si>
    <t>ด.ช.อาลี สาฮะ</t>
  </si>
  <si>
    <t>https://azizstan.net/student_image/26810.jpg</t>
  </si>
  <si>
    <t>26048</t>
  </si>
  <si>
    <t>ด.ช.อิบรอฟาน ดีเยาะ</t>
  </si>
  <si>
    <t>ม.1/2</t>
  </si>
  <si>
    <t>PR 1/2</t>
  </si>
  <si>
    <t>https://azizstan.net/student_image/26048.jpg</t>
  </si>
  <si>
    <t>26070</t>
  </si>
  <si>
    <t>ด.ช.ฟุรกอนร์ ลาเตะ</t>
  </si>
  <si>
    <t>https://azizstan.net/student_image/26070.jpg</t>
  </si>
  <si>
    <t>26081</t>
  </si>
  <si>
    <t>ด.ช.นิอิรฟาน เส็นโรจน์</t>
  </si>
  <si>
    <t>https://azizstan.net/student_image/26081.jpg</t>
  </si>
  <si>
    <t>26085</t>
  </si>
  <si>
    <t>ด.ช.ซากีร สุหลง</t>
  </si>
  <si>
    <t>https://azizstan.net/student_image/26085.jpg</t>
  </si>
  <si>
    <t>26089</t>
  </si>
  <si>
    <t>ด.ช.หนิอานัส โมงหนิมะ</t>
  </si>
  <si>
    <t>https://azizstan.net/student_image/26089.jpg</t>
  </si>
  <si>
    <t>26116</t>
  </si>
  <si>
    <t>ด.ช.มูฮัมหมัดอัฟฟาน ดอเลาะ</t>
  </si>
  <si>
    <t>https://azizstan.net/student_image/26116.jpg</t>
  </si>
  <si>
    <t>26131</t>
  </si>
  <si>
    <t>ด.ช.แวบัสรี เจะเฮาะ</t>
  </si>
  <si>
    <t>https://azizstan.net/student_image/26131.jpg</t>
  </si>
  <si>
    <t>26136</t>
  </si>
  <si>
    <t>ด.ช.อัซบี หมวดหลำ</t>
  </si>
  <si>
    <t>https://azizstan.net/student_image/26136.jpg</t>
  </si>
  <si>
    <t>26154</t>
  </si>
  <si>
    <t>ด.ช.อัชรอฟ สังข์จันทร์</t>
  </si>
  <si>
    <t>https://azizstan.net/student_image/26154.jpg</t>
  </si>
  <si>
    <t>26157</t>
  </si>
  <si>
    <t>ด.ช.กูอานีส ยือแร</t>
  </si>
  <si>
    <t>https://azizstan.net/student_image/26157.jpg</t>
  </si>
  <si>
    <t>26160</t>
  </si>
  <si>
    <t>ด.ช.มูอัซซิน สือแมง</t>
  </si>
  <si>
    <t>https://azizstan.net/student_image/26160.jpg</t>
  </si>
  <si>
    <t>26262</t>
  </si>
  <si>
    <t>ด.ช.ซอฟรอน สามีแล</t>
  </si>
  <si>
    <t>https://azizstan.net/student_image/26262.jpg</t>
  </si>
  <si>
    <t>26273</t>
  </si>
  <si>
    <t>ด.ช.อับดุลเราะห์มาน สานิ</t>
  </si>
  <si>
    <t>https://azizstan.net/student_image/26273.jpg</t>
  </si>
  <si>
    <t>26279</t>
  </si>
  <si>
    <t>ด.ช.นราวิชญ์ บินหมูด</t>
  </si>
  <si>
    <t>https://azizstan.net/student_image/26279.jpg</t>
  </si>
  <si>
    <t>26291</t>
  </si>
  <si>
    <t>ด.ช.ณัซมีย์ โตะและ</t>
  </si>
  <si>
    <t>https://azizstan.net/student_image/26291.jpg</t>
  </si>
  <si>
    <t>26293</t>
  </si>
  <si>
    <t>ด.ช.อิฟฟาน แซมิง</t>
  </si>
  <si>
    <t>https://azizstan.net/student_image/26293.jpg</t>
  </si>
  <si>
    <t>26327</t>
  </si>
  <si>
    <t>ด.ช.มัรฟู อูมา</t>
  </si>
  <si>
    <t>https://azizstan.net/student_image/26327.jpg</t>
  </si>
  <si>
    <t>26328</t>
  </si>
  <si>
    <t>ด.ช.นิอารีส กุโน</t>
  </si>
  <si>
    <t>https://azizstan.net/student_image/26328.jpg</t>
  </si>
  <si>
    <t>26362</t>
  </si>
  <si>
    <t>ด.ช.ฮะนีฟ สันบากอ</t>
  </si>
  <si>
    <t>https://azizstan.net/student_image/26362.jpg</t>
  </si>
  <si>
    <t>26370</t>
  </si>
  <si>
    <t>ด.ช.ฟาดิล กาสอ</t>
  </si>
  <si>
    <t>https://azizstan.net/student_image/26370.jpg</t>
  </si>
  <si>
    <t>26425</t>
  </si>
  <si>
    <t>ด.ช.มูฮัมหมัดฟาดิล สะติยา</t>
  </si>
  <si>
    <t>https://azizstan.net/student_image/26425.jpg</t>
  </si>
  <si>
    <t>26433</t>
  </si>
  <si>
    <t>ด.ช.ฟัรฮาน หมีนเจ๊ะ</t>
  </si>
  <si>
    <t>https://azizstan.net/student_image/26433.jpg</t>
  </si>
  <si>
    <t>26437</t>
  </si>
  <si>
    <t>ด.ช.ซุบฮาน สะแม</t>
  </si>
  <si>
    <t>https://azizstan.net/student_image/26437.jpg</t>
  </si>
  <si>
    <t>26438</t>
  </si>
  <si>
    <t>ด.ช.ซูลฟาตะห์ กายียุ</t>
  </si>
  <si>
    <t>https://azizstan.net/student_image/26438.jpg</t>
  </si>
  <si>
    <t>26440</t>
  </si>
  <si>
    <t>ด.ช.หนิฮานาฟี ตาหา</t>
  </si>
  <si>
    <t>https://azizstan.net/student_image/26440.jpg</t>
  </si>
  <si>
    <t>26461</t>
  </si>
  <si>
    <t>ด.ช.มูฮัมหมัดไซฟุล สะนิดอเลาะ</t>
  </si>
  <si>
    <t>https://azizstan.net/student_image/26461.jpg</t>
  </si>
  <si>
    <t>26487</t>
  </si>
  <si>
    <t>ด.ช.มูฮัมหมัดฟัฏอีน บาฮอ</t>
  </si>
  <si>
    <t>https://azizstan.net/student_image/26487.jpg</t>
  </si>
  <si>
    <t>26491</t>
  </si>
  <si>
    <t>ด.ช.อาฮาหมัดฟรุกอน สะแม</t>
  </si>
  <si>
    <t>https://azizstan.net/student_image/26491.jpg</t>
  </si>
  <si>
    <t>26515</t>
  </si>
  <si>
    <t>ด.ช.ซุกรัน มะมิง</t>
  </si>
  <si>
    <t>https://azizstan.net/student_image/26515.jpg</t>
  </si>
  <si>
    <t>26535</t>
  </si>
  <si>
    <t>ด.ช.อัลอิลซาน เจะเละ</t>
  </si>
  <si>
    <t>https://azizstan.net/student_image/26535.jpg</t>
  </si>
  <si>
    <t>26603</t>
  </si>
  <si>
    <t>ด.ช.ฟาฮาม สาเร๊ะ</t>
  </si>
  <si>
    <t>https://azizstan.net/student_image/26603.jpg</t>
  </si>
  <si>
    <t>26627</t>
  </si>
  <si>
    <t>ด.ช.หมัดชาริฟ สาเระ</t>
  </si>
  <si>
    <t>https://azizstan.net/student_image/26627.jpg</t>
  </si>
  <si>
    <t>26654</t>
  </si>
  <si>
    <t>ด.ช.อภิสิทธิ์ สาและ</t>
  </si>
  <si>
    <t>https://azizstan.net/student_image/26654.jpg</t>
  </si>
  <si>
    <t>26667</t>
  </si>
  <si>
    <t>ด.ช.มูฮัมหมัดลุดดีน มหันกฤษ</t>
  </si>
  <si>
    <t>https://azizstan.net/student_image/26667.jpg</t>
  </si>
  <si>
    <t>26686</t>
  </si>
  <si>
    <t>ด.ช.มูดาริส มูรอแม็ง</t>
  </si>
  <si>
    <t>https://azizstan.net/student_image/26686.jpg</t>
  </si>
  <si>
    <t>26693</t>
  </si>
  <si>
    <t>ด.ช.อับดุลฮากีม แวกือจิ</t>
  </si>
  <si>
    <t>https://azizstan.net/student_image/26693.jpg</t>
  </si>
  <si>
    <t>26694</t>
  </si>
  <si>
    <t>ด.ช.ฟุรกี ติงระยะ</t>
  </si>
  <si>
    <t>https://azizstan.net/student_image/26694.jpg</t>
  </si>
  <si>
    <t>26722</t>
  </si>
  <si>
    <t>ด.ช.อานัส แวกะจิ</t>
  </si>
  <si>
    <t>https://azizstan.net/student_image/26722.jpg</t>
  </si>
  <si>
    <t>26792</t>
  </si>
  <si>
    <t>ด.ช.อาลิฟ ปูดาเล็ง</t>
  </si>
  <si>
    <t>https://azizstan.net/student_image/26792.jpg</t>
  </si>
  <si>
    <t>26798</t>
  </si>
  <si>
    <t>ด.ช.มายิดดี กะจิบือซา</t>
  </si>
  <si>
    <t>https://azizstan.net/student_image/26798.jpg</t>
  </si>
  <si>
    <t>26811</t>
  </si>
  <si>
    <t>ด.ช.ฟิรฮาน เจะดือเระ</t>
  </si>
  <si>
    <t>https://azizstan.net/student_image/26811.jpg</t>
  </si>
  <si>
    <t>26035</t>
  </si>
  <si>
    <t>ด.ช.อัฟหนัน เลาะสาเร๊าะ</t>
  </si>
  <si>
    <t>ม.1/3</t>
  </si>
  <si>
    <t>อก.1/3</t>
  </si>
  <si>
    <t>https://azizstan.net/student_image/26035.jpg</t>
  </si>
  <si>
    <t>26045</t>
  </si>
  <si>
    <t>ด.ช.ณเดชน์ องศารา</t>
  </si>
  <si>
    <t>https://azizstan.net/student_image/26045.jpg</t>
  </si>
  <si>
    <t>26056</t>
  </si>
  <si>
    <t>ด.ช.อัฟฟาน สาแม</t>
  </si>
  <si>
    <t>https://azizstan.net/student_image/26056.jpg</t>
  </si>
  <si>
    <t>26063</t>
  </si>
  <si>
    <t>ด.ช.อัฟฟาน ดาซิง</t>
  </si>
  <si>
    <t>https://azizstan.net/student_image/26063.jpg</t>
  </si>
  <si>
    <t>26074</t>
  </si>
  <si>
    <t>ด.ช.ซุบฮา ปรีฆี</t>
  </si>
  <si>
    <t>https://azizstan.net/student_image/26074.jpg</t>
  </si>
  <si>
    <t>26172</t>
  </si>
  <si>
    <t>ด.ช.ยุสรอน เจ๊ะสอเหาะ</t>
  </si>
  <si>
    <t>https://azizstan.net/student_image/26172.jpg</t>
  </si>
  <si>
    <t>26187</t>
  </si>
  <si>
    <t>ด.ช.อัยมัน ดาเระมูซอ</t>
  </si>
  <si>
    <t>https://azizstan.net/student_image/26187.jpg</t>
  </si>
  <si>
    <t>26220</t>
  </si>
  <si>
    <t>ด.ช.ซูลกิฟลี อาแด</t>
  </si>
  <si>
    <t>https://azizstan.net/student_image/26220.jpg</t>
  </si>
  <si>
    <t>26221</t>
  </si>
  <si>
    <t>ด.ช.อิรซาม ตาเละ</t>
  </si>
  <si>
    <t>https://azizstan.net/student_image/26221.jpg</t>
  </si>
  <si>
    <t>26222</t>
  </si>
  <si>
    <t>ด.ช.ซูฮัยมี ดามะเล๊าะ</t>
  </si>
  <si>
    <t>https://azizstan.net/student_image/26222.jpg</t>
  </si>
  <si>
    <t>26277</t>
  </si>
  <si>
    <t>ด.ช.อิรฟาน ยุโสะ</t>
  </si>
  <si>
    <t>https://azizstan.net/student_image/26277.jpg</t>
  </si>
  <si>
    <t>26304</t>
  </si>
  <si>
    <t>ด.ช.ฟารุต อาแวนิ</t>
  </si>
  <si>
    <t>https://azizstan.net/student_image/26304.jpg</t>
  </si>
  <si>
    <t>26319</t>
  </si>
  <si>
    <t>ด.ช.ฟากิร ดือราแม</t>
  </si>
  <si>
    <t>https://azizstan.net/student_image/26319.jpg</t>
  </si>
  <si>
    <t>26330</t>
  </si>
  <si>
    <t>ด.ช.อัลฟาริซี มิ่งมุฮัมวงศ์</t>
  </si>
  <si>
    <t>https://azizstan.net/student_image/26330.jpg</t>
  </si>
  <si>
    <t>26336</t>
  </si>
  <si>
    <t>ด.ช.นัสราน บือราเฮง</t>
  </si>
  <si>
    <t>https://azizstan.net/student_image/26336.jpg</t>
  </si>
  <si>
    <t>26356</t>
  </si>
  <si>
    <t>ด.ช.กฤษณ์ตะวัน ทองรอด</t>
  </si>
  <si>
    <t>https://azizstan.net/student_image/26356.jpg</t>
  </si>
  <si>
    <t>26361</t>
  </si>
  <si>
    <t>ด.ช.มูฮำหมัดซุกรอน แวเดร์</t>
  </si>
  <si>
    <t>https://azizstan.net/student_image/26361.jpg</t>
  </si>
  <si>
    <t>26363</t>
  </si>
  <si>
    <t>ด.ช.อิควันทร์ เจะมะ</t>
  </si>
  <si>
    <t>https://azizstan.net/student_image/26363.jpg</t>
  </si>
  <si>
    <t>26377</t>
  </si>
  <si>
    <t>ด.ช.ฟัรฮาน หะยียะซา</t>
  </si>
  <si>
    <t>https://azizstan.net/student_image/26377.jpg</t>
  </si>
  <si>
    <t>26378</t>
  </si>
  <si>
    <t>ด.ช.วารีส จินตานุสาร</t>
  </si>
  <si>
    <t>https://azizstan.net/student_image/26378.jpg</t>
  </si>
  <si>
    <t>26379</t>
  </si>
  <si>
    <t>ด.ช.อานัน แวบือซา</t>
  </si>
  <si>
    <t>https://azizstan.net/student_image/26379.jpg</t>
  </si>
  <si>
    <t>26380</t>
  </si>
  <si>
    <t>ด.ช.มูฮัมหมัดฟาอิฟ บอเตาะ</t>
  </si>
  <si>
    <t>https://azizstan.net/student_image/26380.jpg</t>
  </si>
  <si>
    <t>26382</t>
  </si>
  <si>
    <t>ด.ช.อับดุลเลาะ มอน๊อง</t>
  </si>
  <si>
    <t>https://azizstan.net/student_image/26382.jpg</t>
  </si>
  <si>
    <t>26383</t>
  </si>
  <si>
    <t>ด.ช.กฤตชยกันต์ เจ๊ะแล๊ะ</t>
  </si>
  <si>
    <t>https://azizstan.net/student_image/26383.jpg</t>
  </si>
  <si>
    <t>26384</t>
  </si>
  <si>
    <t>ด.ช.บัซรีย์ สะอะ</t>
  </si>
  <si>
    <t>https://azizstan.net/student_image/26384.jpg</t>
  </si>
  <si>
    <t>26386</t>
  </si>
  <si>
    <t>ด.ช.ซัลซาบีล สาและ</t>
  </si>
  <si>
    <t>https://azizstan.net/student_image/26386.jpg</t>
  </si>
  <si>
    <t>26446</t>
  </si>
  <si>
    <t>ด.ช.มูฮัมหมัดซัมรี บือราเฮง</t>
  </si>
  <si>
    <t>https://azizstan.net/student_image/26446.jpg</t>
  </si>
  <si>
    <t>26449</t>
  </si>
  <si>
    <t>ด.ช.นิอิคฟาน สะมาลา</t>
  </si>
  <si>
    <t>https://azizstan.net/student_image/26449.jpg</t>
  </si>
  <si>
    <t>26478</t>
  </si>
  <si>
    <t>ด.ช.มูฮัมหมัดฮานาฟี อาแว</t>
  </si>
  <si>
    <t>https://azizstan.net/student_image/26478.jpg</t>
  </si>
  <si>
    <t>26496</t>
  </si>
  <si>
    <t>ด.ช.อับดุลคอบีร สะมะแอ</t>
  </si>
  <si>
    <t>https://azizstan.net/student_image/26496.jpg</t>
  </si>
  <si>
    <t>26497</t>
  </si>
  <si>
    <t>ด.ช.ยะห์ยา เฮ็งปิยา</t>
  </si>
  <si>
    <t>https://azizstan.net/student_image/26497.jpg</t>
  </si>
  <si>
    <t>26498</t>
  </si>
  <si>
    <t>ด.ช.ฮัมดี กอและ</t>
  </si>
  <si>
    <t>https://azizstan.net/student_image/26498.jpg</t>
  </si>
  <si>
    <t>26499</t>
  </si>
  <si>
    <t>ด.ช.อามีน สะมาแอ</t>
  </si>
  <si>
    <t>https://azizstan.net/student_image/26499.jpg</t>
  </si>
  <si>
    <t>26500</t>
  </si>
  <si>
    <t>ด.ช.แวนัศรูน แวหะมะ</t>
  </si>
  <si>
    <t>https://azizstan.net/student_image/26500.jpg</t>
  </si>
  <si>
    <t>26703</t>
  </si>
  <si>
    <t>ด.ช.อับดุลวาซิส สาและ</t>
  </si>
  <si>
    <t>https://azizstan.net/student_image/26703.jpg</t>
  </si>
  <si>
    <t>26761</t>
  </si>
  <si>
    <t>ด.ช.ศุภากร หมัดอะหิน</t>
  </si>
  <si>
    <t>https://azizstan.net/student_image/26761.jpg</t>
  </si>
  <si>
    <t>26042</t>
  </si>
  <si>
    <t>ด.ช.นิอัรฟาน ตาเห</t>
  </si>
  <si>
    <t>ม.1/4</t>
  </si>
  <si>
    <t>PR 1/4</t>
  </si>
  <si>
    <t>https://azizstan.net/student_image/26042.jpg</t>
  </si>
  <si>
    <t>26101</t>
  </si>
  <si>
    <t>ด.ช.มูฮัมหมัดอินซาน หวังนุรักษ์</t>
  </si>
  <si>
    <t>https://azizstan.net/student_image/26101.jpg</t>
  </si>
  <si>
    <t>26102</t>
  </si>
  <si>
    <t>ด.ช.ฟิรฮาน หะมะ</t>
  </si>
  <si>
    <t>https://azizstan.net/student_image/26102.jpg</t>
  </si>
  <si>
    <t>26156</t>
  </si>
  <si>
    <t>ด.ช.อนิส แวหะยี</t>
  </si>
  <si>
    <t>https://azizstan.net/student_image/26156.jpg</t>
  </si>
  <si>
    <t>26161</t>
  </si>
  <si>
    <t>ด.ช.อัมรัน มะมิง</t>
  </si>
  <si>
    <t>https://azizstan.net/student_image/26161.jpg</t>
  </si>
  <si>
    <t>26184</t>
  </si>
  <si>
    <t>ด.ช.อับดุลคอริด กะลูแป</t>
  </si>
  <si>
    <t>https://azizstan.net/student_image/26184.jpg</t>
  </si>
  <si>
    <t>26189</t>
  </si>
  <si>
    <t>ด.ช.ซูไลมาน สะมะแอ</t>
  </si>
  <si>
    <t>https://azizstan.net/student_image/26189.jpg</t>
  </si>
  <si>
    <t>26197</t>
  </si>
  <si>
    <t>ด.ช.อานัส ดาเลง</t>
  </si>
  <si>
    <t>https://azizstan.net/student_image/26197.jpg</t>
  </si>
  <si>
    <t>26206</t>
  </si>
  <si>
    <t>ด.ช.นิอิรฟาน มีเนาะ</t>
  </si>
  <si>
    <t>https://azizstan.net/student_image/26206.jpg</t>
  </si>
  <si>
    <t>26254</t>
  </si>
  <si>
    <t>ด.ช.อิลฮาม สาและ</t>
  </si>
  <si>
    <t>https://azizstan.net/student_image/26254.jpg</t>
  </si>
  <si>
    <t>26258</t>
  </si>
  <si>
    <t>ด.ช.นัสรี เจ๊ะมะ</t>
  </si>
  <si>
    <t>https://azizstan.net/student_image/26258.jpg</t>
  </si>
  <si>
    <t>26269</t>
  </si>
  <si>
    <t>ด.ช.มูฮัมหมัดอามีน หะมะ</t>
  </si>
  <si>
    <t>https://azizstan.net/student_image/26269.jpg</t>
  </si>
  <si>
    <t>26274</t>
  </si>
  <si>
    <t>ด.ช.ฟารุ รอฮิง</t>
  </si>
  <si>
    <t>https://azizstan.net/student_image/26274.jpg</t>
  </si>
  <si>
    <t>26275</t>
  </si>
  <si>
    <t>ด.ช.ซูฮัย แลฮา</t>
  </si>
  <si>
    <t>https://azizstan.net/student_image/26275.jpg</t>
  </si>
  <si>
    <t>26278</t>
  </si>
  <si>
    <t>ด.ช.มูฮัมหมัดฟาริส มิแย</t>
  </si>
  <si>
    <t>https://azizstan.net/student_image/26278.jpg</t>
  </si>
  <si>
    <t>26295</t>
  </si>
  <si>
    <t>ด.ช.มูฮัมหมัดบัดรี ดือเร๊ะ</t>
  </si>
  <si>
    <t>https://azizstan.net/student_image/26295.jpg</t>
  </si>
  <si>
    <t>26301</t>
  </si>
  <si>
    <t>ด.ช.อิมรอล ยะฝาด</t>
  </si>
  <si>
    <t>https://azizstan.net/student_image/26301.jpg</t>
  </si>
  <si>
    <t>26343</t>
  </si>
  <si>
    <t>ด.ช.ตัสรีฟ เจะดอเลาะ</t>
  </si>
  <si>
    <t>https://azizstan.net/student_image/26343.jpg</t>
  </si>
  <si>
    <t>26365</t>
  </si>
  <si>
    <t>ด.ช.อบูฟิตรี สาแล๊ะ</t>
  </si>
  <si>
    <t>https://azizstan.net/student_image/26365.jpg</t>
  </si>
  <si>
    <t>26476</t>
  </si>
  <si>
    <t>ด.ช.อัษฎา หวังผล</t>
  </si>
  <si>
    <t>https://azizstan.net/student_image/26476.jpg</t>
  </si>
  <si>
    <t>26492</t>
  </si>
  <si>
    <t>ด.ช.นิอัลอามีน บินรัตแก้ว</t>
  </si>
  <si>
    <t>https://azizstan.net/student_image/26492.jpg</t>
  </si>
  <si>
    <t>26512</t>
  </si>
  <si>
    <t>ด.ช.มูฮัมหมัดนิสฟู หะยีสะอิ</t>
  </si>
  <si>
    <t>https://azizstan.net/student_image/26512.jpg</t>
  </si>
  <si>
    <t>26559</t>
  </si>
  <si>
    <t>ด.ช.กิตติกรณ์ บัวทิม</t>
  </si>
  <si>
    <t>https://azizstan.net/student_image/26559.jpg</t>
  </si>
  <si>
    <t>26571</t>
  </si>
  <si>
    <t>ด.ช.วาษิก หมัดสู</t>
  </si>
  <si>
    <t>https://azizstan.net/student_image/26571.jpg</t>
  </si>
  <si>
    <t>26585</t>
  </si>
  <si>
    <t>ด.ช.อิสกันดัร หะยีดือเระ</t>
  </si>
  <si>
    <t>https://azizstan.net/student_image/26585.jpg</t>
  </si>
  <si>
    <t>26592</t>
  </si>
  <si>
    <t>ด.ช.ภควินต์ ราชเพ็ชร</t>
  </si>
  <si>
    <t>https://azizstan.net/student_image/26592.jpg</t>
  </si>
  <si>
    <t>26600</t>
  </si>
  <si>
    <t>ด.ช.ฮาฟิก สาและ</t>
  </si>
  <si>
    <t>https://azizstan.net/student_image/26600.jpg</t>
  </si>
  <si>
    <t>26617</t>
  </si>
  <si>
    <t>ด.ช.อามีรุลมุอ์มีนีน อับดุลมานิ</t>
  </si>
  <si>
    <t>https://azizstan.net/student_image/26617.jpg</t>
  </si>
  <si>
    <t>26618</t>
  </si>
  <si>
    <t>ด.ช.รอมฎอน จาโรง</t>
  </si>
  <si>
    <t>https://azizstan.net/student_image/26618.jpg</t>
  </si>
  <si>
    <t>26621</t>
  </si>
  <si>
    <t>ด.ช.ฟารฮาน แวบือราเฮง</t>
  </si>
  <si>
    <t>https://azizstan.net/student_image/26621.jpg</t>
  </si>
  <si>
    <t>26644</t>
  </si>
  <si>
    <t>ด.ช.ซอดีกีน อาแวมะ</t>
  </si>
  <si>
    <t>https://azizstan.net/student_image/26644.jpg</t>
  </si>
  <si>
    <t>26650</t>
  </si>
  <si>
    <t>ด.ช.อานันต์ดา หะยีมะลี</t>
  </si>
  <si>
    <t>https://azizstan.net/student_image/26650.jpg</t>
  </si>
  <si>
    <t>26658</t>
  </si>
  <si>
    <t>ด.ช.นิฟารุ ดอเล๊าะลาโมะ</t>
  </si>
  <si>
    <t>https://azizstan.net/student_image/26658.jpg</t>
  </si>
  <si>
    <t>26680</t>
  </si>
  <si>
    <t>ด.ช.สถาพร พิมพกุล</t>
  </si>
  <si>
    <t>https://azizstan.net/student_image/26680.jpg</t>
  </si>
  <si>
    <t>26697</t>
  </si>
  <si>
    <t>ด.ช.ฟารุด ลาเส็น</t>
  </si>
  <si>
    <t>https://azizstan.net/student_image/26697.jpg</t>
  </si>
  <si>
    <t>26698</t>
  </si>
  <si>
    <t>ด.ช.บัสซำ มะเด็ง</t>
  </si>
  <si>
    <t>https://azizstan.net/student_image/26698.jpg</t>
  </si>
  <si>
    <t>26725</t>
  </si>
  <si>
    <t>ด.ช.มูฮัมหมัดฟุรซาน สาและ</t>
  </si>
  <si>
    <t>https://azizstan.net/student_image/26725.jpg</t>
  </si>
  <si>
    <t>26733</t>
  </si>
  <si>
    <t>ด.ช.นัสรูน มานะ</t>
  </si>
  <si>
    <t>https://azizstan.net/student_image/26733.jpg</t>
  </si>
  <si>
    <t>26756</t>
  </si>
  <si>
    <t>ด.ช.มูฮำหมัดเฟาซัน ดอเลาะ</t>
  </si>
  <si>
    <t>https://azizstan.net/student_image/26756.jpg</t>
  </si>
  <si>
    <t>26764</t>
  </si>
  <si>
    <t>ด.ช.มูฮำหมัดซิดดิก กาเดร์</t>
  </si>
  <si>
    <t>https://azizstan.net/student_image/26764.jpg</t>
  </si>
  <si>
    <t>26769</t>
  </si>
  <si>
    <t>ด.ช.อันนัส บือราเฮง</t>
  </si>
  <si>
    <t>https://azizstan.net/student_image/26769.jpg</t>
  </si>
  <si>
    <t>26770</t>
  </si>
  <si>
    <t>ด.ช.นิอับฮัร ดอแย</t>
  </si>
  <si>
    <t>https://azizstan.net/student_image/26770.jpg</t>
  </si>
  <si>
    <t>26791</t>
  </si>
  <si>
    <t>ด.ช.อามาล ศิริพิพัฒน์สกุล</t>
  </si>
  <si>
    <t>https://azizstan.net/student_image/26791.jpg</t>
  </si>
  <si>
    <t>26794</t>
  </si>
  <si>
    <t>ด.ช.มุฮัมหมัดฮาฟิส หมัดเอียด</t>
  </si>
  <si>
    <t>https://azizstan.net/student_image/26794.jpg</t>
  </si>
  <si>
    <t>26057</t>
  </si>
  <si>
    <t>ด.ช.อับดุลซอบูร สือแม</t>
  </si>
  <si>
    <t>ม.1/5</t>
  </si>
  <si>
    <t>อก.1/5</t>
  </si>
  <si>
    <t>https://azizstan.net/student_image/26057.jpg</t>
  </si>
  <si>
    <t>26072</t>
  </si>
  <si>
    <t>ด.ญ.นูรซัลวาณี บาราเฮ็ง</t>
  </si>
  <si>
    <t>https://azizstan.net/student_image/26072.jpg</t>
  </si>
  <si>
    <t>26077</t>
  </si>
  <si>
    <t>ด.ญ.นัซมี มามะ</t>
  </si>
  <si>
    <t>https://azizstan.net/student_image/26077.jpg</t>
  </si>
  <si>
    <t>26088</t>
  </si>
  <si>
    <t>ด.ช.สุรนนท์ ขะมิมะ</t>
  </si>
  <si>
    <t>https://azizstan.net/student_image/26088.jpg</t>
  </si>
  <si>
    <t>26103</t>
  </si>
  <si>
    <t>ด.ญ.วันนูรนาดา หะยีแวจิ</t>
  </si>
  <si>
    <t>https://azizstan.net/student_image/26103.jpg</t>
  </si>
  <si>
    <t>26105</t>
  </si>
  <si>
    <t>ด.ญ.อัลวานี สาและ</t>
  </si>
  <si>
    <t>https://azizstan.net/student_image/26105.jpg</t>
  </si>
  <si>
    <t>26134</t>
  </si>
  <si>
    <t>ด.ช.มูฮำมัด แยนา</t>
  </si>
  <si>
    <t>https://azizstan.net/student_image/26134.jpg</t>
  </si>
  <si>
    <t>26141</t>
  </si>
  <si>
    <t>ด.ญ.นุรลัยลา ล่ากูด</t>
  </si>
  <si>
    <t>https://azizstan.net/student_image/26141.jpg</t>
  </si>
  <si>
    <t>26144</t>
  </si>
  <si>
    <t>ด.ช.อับดุลดัยยาน อาแว</t>
  </si>
  <si>
    <t>https://azizstan.net/student_image/26144.jpg</t>
  </si>
  <si>
    <t>26173</t>
  </si>
  <si>
    <t>ด.ญ.นินัจวา กระจาย</t>
  </si>
  <si>
    <t>https://azizstan.net/student_image/26173.jpg</t>
  </si>
  <si>
    <t>26175</t>
  </si>
  <si>
    <t>ด.ญ.ซัลวา แมลาเต๊ะ</t>
  </si>
  <si>
    <t>https://azizstan.net/student_image/26175.jpg</t>
  </si>
  <si>
    <t>26180</t>
  </si>
  <si>
    <t>ด.ญ.นิสรีน สาแม</t>
  </si>
  <si>
    <t>https://azizstan.net/student_image/26180.jpg</t>
  </si>
  <si>
    <t>26181</t>
  </si>
  <si>
    <t>ด.ญ.อัฟซาร์ เจะฮะ</t>
  </si>
  <si>
    <t>https://azizstan.net/student_image/26181.jpg</t>
  </si>
  <si>
    <t>26182</t>
  </si>
  <si>
    <t>ด.ญ.นูรซากีลา มูซอ</t>
  </si>
  <si>
    <t>https://azizstan.net/student_image/26182.jpg</t>
  </si>
  <si>
    <t>26205</t>
  </si>
  <si>
    <t>ด.ญ.ฟิรดาวส์ หะยีสาแม</t>
  </si>
  <si>
    <t>https://azizstan.net/student_image/26205.jpg</t>
  </si>
  <si>
    <t>26217</t>
  </si>
  <si>
    <t>ด.ญ.ตัสนิน แขวงบู</t>
  </si>
  <si>
    <t>https://azizstan.net/student_image/26217.jpg</t>
  </si>
  <si>
    <t>26233</t>
  </si>
  <si>
    <t>ด.ญ.ฟาเดีย บือราเฮง</t>
  </si>
  <si>
    <t>https://azizstan.net/student_image/26233.jpg</t>
  </si>
  <si>
    <t>26234</t>
  </si>
  <si>
    <t>ด.ช.นาบิล สตาปอ</t>
  </si>
  <si>
    <t>https://azizstan.net/student_image/26234.jpg</t>
  </si>
  <si>
    <t>26252</t>
  </si>
  <si>
    <t>ด.ญ.ดารียา หัดสาหมัด</t>
  </si>
  <si>
    <t>https://azizstan.net/student_image/26252.jpg</t>
  </si>
  <si>
    <t>26289</t>
  </si>
  <si>
    <t>ด.ญ.นุรอานิส ดอเลาะ</t>
  </si>
  <si>
    <t>https://azizstan.net/student_image/26289.jpg</t>
  </si>
  <si>
    <t>26290</t>
  </si>
  <si>
    <t>ด.ญ.นูรอัสลีน เจ๊ะโซะ</t>
  </si>
  <si>
    <t>https://azizstan.net/student_image/26290.jpg</t>
  </si>
  <si>
    <t>26345</t>
  </si>
  <si>
    <t>ด.ญ.ศศิภัสสร์ สั่นสท้าน</t>
  </si>
  <si>
    <t>https://azizstan.net/student_image/26345.jpg</t>
  </si>
  <si>
    <t>26436</t>
  </si>
  <si>
    <t>ด.ญ.นูรลีนา ภูเวียง</t>
  </si>
  <si>
    <t>https://azizstan.net/student_image/26436.jpg</t>
  </si>
  <si>
    <t>26445</t>
  </si>
  <si>
    <t>ด.ญ.ซุลฟาร์ ปะจู</t>
  </si>
  <si>
    <t>https://azizstan.net/student_image/26445.jpg</t>
  </si>
  <si>
    <t>26447</t>
  </si>
  <si>
    <t>ด.ช.อัฟฮัม สาหลำ</t>
  </si>
  <si>
    <t>https://azizstan.net/student_image/26447.jpg</t>
  </si>
  <si>
    <t>26450</t>
  </si>
  <si>
    <t>ด.ช.ซอฟฟาร์น สามะ</t>
  </si>
  <si>
    <t>https://azizstan.net/student_image/26450.jpg</t>
  </si>
  <si>
    <t>26475</t>
  </si>
  <si>
    <t>ด.ญ.คอลีซา ดอเล๊าะ</t>
  </si>
  <si>
    <t>https://azizstan.net/student_image/26475.jpg</t>
  </si>
  <si>
    <t>26504</t>
  </si>
  <si>
    <t>ด.ช.อามีน คชสาร</t>
  </si>
  <si>
    <t>https://azizstan.net/student_image/26504.jpg</t>
  </si>
  <si>
    <t>26524</t>
  </si>
  <si>
    <t>ด.ญ.นูรอัยนา กูนา</t>
  </si>
  <si>
    <t>https://azizstan.net/student_image/26524.jpg</t>
  </si>
  <si>
    <t>26529</t>
  </si>
  <si>
    <t>ด.ญ.นินาดีละห์ อาลี</t>
  </si>
  <si>
    <t>https://azizstan.net/student_image/26529.jpg</t>
  </si>
  <si>
    <t>26717</t>
  </si>
  <si>
    <t>ด.ญ.นุรฟัจรี ดาราแม</t>
  </si>
  <si>
    <t>https://azizstan.net/student_image/26717.jpg</t>
  </si>
  <si>
    <t>26721</t>
  </si>
  <si>
    <t>ด.ญ.ฮุสนี ลาเต๊ะ</t>
  </si>
  <si>
    <t>https://azizstan.net/student_image/26721.jpg</t>
  </si>
  <si>
    <t>26729</t>
  </si>
  <si>
    <t>ด.ช.ชารีฟ อาลี</t>
  </si>
  <si>
    <t>https://azizstan.net/student_image/26729.jpg</t>
  </si>
  <si>
    <t>26748</t>
  </si>
  <si>
    <t>ด.ญ.วิรุฬรัตน์ ดาหลาย</t>
  </si>
  <si>
    <t>https://azizstan.net/student_image/26748.jpg</t>
  </si>
  <si>
    <t>26777</t>
  </si>
  <si>
    <t>ด.ญ.อัสมาณี แมเร๊าะ</t>
  </si>
  <si>
    <t>https://azizstan.net/student_image/26777.jpg</t>
  </si>
  <si>
    <t>26807</t>
  </si>
  <si>
    <t>ด.ญ.ฟาตีฮะห์ เปาะลอ</t>
  </si>
  <si>
    <t>https://azizstan.net/student_image/26807.jpg</t>
  </si>
  <si>
    <t>26053</t>
  </si>
  <si>
    <t>ด.ญ.ซอลีฮะห์ นิ</t>
  </si>
  <si>
    <t>ม.1/6</t>
  </si>
  <si>
    <t>PR 1/6</t>
  </si>
  <si>
    <t>https://azizstan.net/student_image/26053.jpg</t>
  </si>
  <si>
    <t>26054</t>
  </si>
  <si>
    <t>ด.ญ.อัสมะ อีซอ</t>
  </si>
  <si>
    <t>https://azizstan.net/student_image/26054.jpg</t>
  </si>
  <si>
    <t>26059</t>
  </si>
  <si>
    <t>ด.ญ.นูรมายามิน มะและ</t>
  </si>
  <si>
    <t>https://azizstan.net/student_image/26059.jpg</t>
  </si>
  <si>
    <t>26069</t>
  </si>
  <si>
    <t>ด.ญ.ฮัสมาฮ์ รมลี</t>
  </si>
  <si>
    <t>https://azizstan.net/student_image/26069.jpg</t>
  </si>
  <si>
    <t>26071</t>
  </si>
  <si>
    <t>ด.ญ.นุรมี คงสังข์ยิ้ม</t>
  </si>
  <si>
    <t>https://azizstan.net/student_image/26071.jpg</t>
  </si>
  <si>
    <t>26086</t>
  </si>
  <si>
    <t>ด.ญ.นัจมีย์ เจ๊ะเต๊ะ</t>
  </si>
  <si>
    <t>https://azizstan.net/student_image/26086.jpg</t>
  </si>
  <si>
    <t>26099</t>
  </si>
  <si>
    <t>ด.ญ.มณีซาน หะยีมามะ</t>
  </si>
  <si>
    <t>https://azizstan.net/student_image/26099.jpg</t>
  </si>
  <si>
    <t>26100</t>
  </si>
  <si>
    <t>ด.ญ.มัสรียา ยามา</t>
  </si>
  <si>
    <t>https://azizstan.net/student_image/26100.jpg</t>
  </si>
  <si>
    <t>26130</t>
  </si>
  <si>
    <t>ด.ญ.มีรฟัต สาแม</t>
  </si>
  <si>
    <t>https://azizstan.net/student_image/26130.jpg</t>
  </si>
  <si>
    <t>26137</t>
  </si>
  <si>
    <t>ด.ญ.อัรวา ทิ้งเหม</t>
  </si>
  <si>
    <t>https://azizstan.net/student_image/26137.jpg</t>
  </si>
  <si>
    <t>26153</t>
  </si>
  <si>
    <t>ด.ญ.นูรฮาฟีซัน กาเต็มมะดี</t>
  </si>
  <si>
    <t>https://azizstan.net/student_image/26153.jpg</t>
  </si>
  <si>
    <t>26177</t>
  </si>
  <si>
    <t>ด.ญ.นูรูลฮูดาห์ สะแม</t>
  </si>
  <si>
    <t>https://azizstan.net/student_image/26177.jpg</t>
  </si>
  <si>
    <t>26192</t>
  </si>
  <si>
    <t>ด.ญ.ซัลมี บากา</t>
  </si>
  <si>
    <t>https://azizstan.net/student_image/26192.jpg</t>
  </si>
  <si>
    <t>26193</t>
  </si>
  <si>
    <t>ด.ญ.อโนชา มูนี</t>
  </si>
  <si>
    <t>https://azizstan.net/student_image/26193.jpg</t>
  </si>
  <si>
    <t>26209</t>
  </si>
  <si>
    <t>ด.ญ.นูรอัยด้า อันวิเศษ</t>
  </si>
  <si>
    <t>https://azizstan.net/student_image/26209.jpg</t>
  </si>
  <si>
    <t>26216</t>
  </si>
  <si>
    <t>ด.ญ.นีซรีน ยาสา</t>
  </si>
  <si>
    <t>https://azizstan.net/student_image/26216.jpg</t>
  </si>
  <si>
    <t>26226</t>
  </si>
  <si>
    <t>ด.ญ.บิสมี สุหลง</t>
  </si>
  <si>
    <t>https://azizstan.net/student_image/26226.jpg</t>
  </si>
  <si>
    <t>26240</t>
  </si>
  <si>
    <t>ด.ญ.นูรูลอีห์ซาน ปะจูเซ็ง</t>
  </si>
  <si>
    <t>https://azizstan.net/student_image/26240.jpg</t>
  </si>
  <si>
    <t>26243</t>
  </si>
  <si>
    <t>ด.ญ.นูรตัสนีม มะหะ</t>
  </si>
  <si>
    <t>https://azizstan.net/student_image/26243.jpg</t>
  </si>
  <si>
    <t>26260</t>
  </si>
  <si>
    <t>ด.ญ.ฟัตมา มังสมาน</t>
  </si>
  <si>
    <t>https://azizstan.net/student_image/26260.jpg</t>
  </si>
  <si>
    <t>26316</t>
  </si>
  <si>
    <t>ด.ญ.นูรฟิตเราะห์ สาแม</t>
  </si>
  <si>
    <t>https://azizstan.net/student_image/26316.jpg</t>
  </si>
  <si>
    <t>26351</t>
  </si>
  <si>
    <t>ด.ญ.นัสรียา สะนิ</t>
  </si>
  <si>
    <t>https://azizstan.net/student_image/26351.jpg</t>
  </si>
  <si>
    <t>26352</t>
  </si>
  <si>
    <t>ด.ญ.กัสฮาวาตีย์ สะอะ</t>
  </si>
  <si>
    <t>https://azizstan.net/student_image/26352.jpg</t>
  </si>
  <si>
    <t>26360</t>
  </si>
  <si>
    <t>ด.ญ.ซันวาณี ดาราซอ</t>
  </si>
  <si>
    <t>https://azizstan.net/student_image/26360.jpg</t>
  </si>
  <si>
    <t>26391</t>
  </si>
  <si>
    <t>ด.ญ.วรรณโซเฟีย แวกะจิ</t>
  </si>
  <si>
    <t>https://azizstan.net/student_image/26391.jpg</t>
  </si>
  <si>
    <t>26399</t>
  </si>
  <si>
    <t>ด.ญ.นุรมา สะนิ</t>
  </si>
  <si>
    <t>https://azizstan.net/student_image/26399.jpg</t>
  </si>
  <si>
    <t>26409</t>
  </si>
  <si>
    <t>ด.ญ.ฟาตีมานี่ ยือเล๊าะ</t>
  </si>
  <si>
    <t>https://azizstan.net/student_image/26409.jpg</t>
  </si>
  <si>
    <t>26412</t>
  </si>
  <si>
    <t>ด.ญ.สุรัยญา กาเจ</t>
  </si>
  <si>
    <t>https://azizstan.net/student_image/26412.jpg</t>
  </si>
  <si>
    <t>26426</t>
  </si>
  <si>
    <t>ด.ญ.ฟิร์ดาวซ์ ราแดง</t>
  </si>
  <si>
    <t>https://azizstan.net/student_image/26426.jpg</t>
  </si>
  <si>
    <t>26429</t>
  </si>
  <si>
    <t>ด.ญ.ซอลีฮะห์ มอลอ</t>
  </si>
  <si>
    <t>https://azizstan.net/student_image/26429.jpg</t>
  </si>
  <si>
    <t>26430</t>
  </si>
  <si>
    <t>ด.ญ.อารีณา เจ๊ะและ</t>
  </si>
  <si>
    <t>https://azizstan.net/student_image/26430.jpg</t>
  </si>
  <si>
    <t>26467</t>
  </si>
  <si>
    <t>ด.ญ.นูรฟิรดาวส์ สะแปะอิง</t>
  </si>
  <si>
    <t>https://azizstan.net/student_image/26467.jpg</t>
  </si>
  <si>
    <t>26472</t>
  </si>
  <si>
    <t>ด.ญ.นินัซมีย์ นิเซ็ง</t>
  </si>
  <si>
    <t>https://azizstan.net/student_image/26472.jpg</t>
  </si>
  <si>
    <t>26481</t>
  </si>
  <si>
    <t>ด.ญ.นิฟาดีละห์ แวหามะ</t>
  </si>
  <si>
    <t>https://azizstan.net/student_image/26481.jpg</t>
  </si>
  <si>
    <t>26534</t>
  </si>
  <si>
    <t>ด.ญ.ฟิรดาวส์ เหตุหาก</t>
  </si>
  <si>
    <t>https://azizstan.net/student_image/26534.jpg</t>
  </si>
  <si>
    <t>26556</t>
  </si>
  <si>
    <t>ด.ญ.นัสรียะฮ์ กาเซะ</t>
  </si>
  <si>
    <t>https://azizstan.net/student_image/26556.jpg</t>
  </si>
  <si>
    <t>26638</t>
  </si>
  <si>
    <t>ด.ญ.โซบารีย๊ะ บือราเฮง</t>
  </si>
  <si>
    <t>https://azizstan.net/student_image/26638.jpg</t>
  </si>
  <si>
    <t>26660</t>
  </si>
  <si>
    <t>ด.ญ.รณิดา กล่อมสม</t>
  </si>
  <si>
    <t>https://azizstan.net/student_image/26660.jpg</t>
  </si>
  <si>
    <t>26662</t>
  </si>
  <si>
    <t>ด.ญ.นิซัลวา แวโดยี</t>
  </si>
  <si>
    <t>https://azizstan.net/student_image/26662.jpg</t>
  </si>
  <si>
    <t>26672</t>
  </si>
  <si>
    <t>ด.ญ.อามานี สาอะ</t>
  </si>
  <si>
    <t>https://azizstan.net/student_image/26672.jpg</t>
  </si>
  <si>
    <t>26727</t>
  </si>
  <si>
    <t>ด.ญ.นูรอาลีสา สะมาแอ</t>
  </si>
  <si>
    <t>https://azizstan.net/student_image/26727.jpg</t>
  </si>
  <si>
    <t>26780</t>
  </si>
  <si>
    <t>ด.ญ.สุกัญญา สือรี</t>
  </si>
  <si>
    <t>https://azizstan.net/student_image/26780.jpg</t>
  </si>
  <si>
    <t>26037</t>
  </si>
  <si>
    <t>ด.ญ.อุยูนีย์ มะแตหะ</t>
  </si>
  <si>
    <t>ม.1/7</t>
  </si>
  <si>
    <t>PR 1/7</t>
  </si>
  <si>
    <t>https://azizstan.net/student_image/26037.jpg</t>
  </si>
  <si>
    <t>26082</t>
  </si>
  <si>
    <t>ด.ญ.โซเฟีย มูซอ</t>
  </si>
  <si>
    <t>https://azizstan.net/student_image/26082.jpg</t>
  </si>
  <si>
    <t>26111</t>
  </si>
  <si>
    <t>ด.ญ.นูรอัยนี แวกะจิ</t>
  </si>
  <si>
    <t>https://azizstan.net/student_image/26111.jpg</t>
  </si>
  <si>
    <t>26115</t>
  </si>
  <si>
    <t>ด.ญ.นิอาวาตีฟ หะยีนิเงาะ</t>
  </si>
  <si>
    <t>https://azizstan.net/student_image/26115.jpg</t>
  </si>
  <si>
    <t>26117</t>
  </si>
  <si>
    <t>ด.ญ.นิสรีนนา แพทย์สาหลำ</t>
  </si>
  <si>
    <t>https://azizstan.net/student_image/26117.jpg</t>
  </si>
  <si>
    <t>26125</t>
  </si>
  <si>
    <t>ด.ญ.นิฮาวานี แยนา</t>
  </si>
  <si>
    <t>https://azizstan.net/student_image/26125.jpg</t>
  </si>
  <si>
    <t>26148</t>
  </si>
  <si>
    <t>ด.ญ.นูรีซา หลีต่อสาม</t>
  </si>
  <si>
    <t>https://azizstan.net/student_image/26148.jpg</t>
  </si>
  <si>
    <t>26155</t>
  </si>
  <si>
    <t>ด.ญ.นิซุลฟาณี ปาเนาะ</t>
  </si>
  <si>
    <t>https://azizstan.net/student_image/26155.jpg</t>
  </si>
  <si>
    <t>26163</t>
  </si>
  <si>
    <t>ด.ญ.ฮาบีบีย์ แมเหง๊าะ</t>
  </si>
  <si>
    <t>https://azizstan.net/student_image/26163.jpg</t>
  </si>
  <si>
    <t>26178</t>
  </si>
  <si>
    <t>ด.ญ.กูซัรฟา ปูเตะ</t>
  </si>
  <si>
    <t>https://azizstan.net/student_image/26178.jpg</t>
  </si>
  <si>
    <t>26202</t>
  </si>
  <si>
    <t>ด.ญ.นูรอัฟวาร์ ยะเอะ</t>
  </si>
  <si>
    <t>https://azizstan.net/student_image/26202.jpg</t>
  </si>
  <si>
    <t>26276</t>
  </si>
  <si>
    <t>ด.ญ.วิยดา มะแร</t>
  </si>
  <si>
    <t>https://azizstan.net/student_image/26276.jpg</t>
  </si>
  <si>
    <t>26296</t>
  </si>
  <si>
    <t>ด.ญ.ซัซวานี สาเระ</t>
  </si>
  <si>
    <t>https://azizstan.net/student_image/26296.jpg</t>
  </si>
  <si>
    <t>26323</t>
  </si>
  <si>
    <t>ด.ญ.นิอาดีรา อีนีละไม</t>
  </si>
  <si>
    <t>https://azizstan.net/student_image/26323.jpg</t>
  </si>
  <si>
    <t>26334</t>
  </si>
  <si>
    <t>ด.ญ.ซะซะนา สะแมดัม</t>
  </si>
  <si>
    <t>https://azizstan.net/student_image/26334.jpg</t>
  </si>
  <si>
    <t>26346</t>
  </si>
  <si>
    <t>ด.ญ.อารีนา แปแนะ</t>
  </si>
  <si>
    <t>https://azizstan.net/student_image/26346.jpg</t>
  </si>
  <si>
    <t>26390</t>
  </si>
  <si>
    <t>ด.ญ.นูรรีซัน อุมา</t>
  </si>
  <si>
    <t>https://azizstan.net/student_image/26390.jpg</t>
  </si>
  <si>
    <t>26401</t>
  </si>
  <si>
    <t>ด.ญ.นูรุลอีมาน ยะสารี</t>
  </si>
  <si>
    <t>https://azizstan.net/student_image/26401.jpg</t>
  </si>
  <si>
    <t>26402</t>
  </si>
  <si>
    <t>ด.ญ.ตัสนีม มะซง</t>
  </si>
  <si>
    <t>https://azizstan.net/student_image/26402.jpg</t>
  </si>
  <si>
    <t>26413</t>
  </si>
  <si>
    <t>ด.ญ.ฟารีนา เจะและ</t>
  </si>
  <si>
    <t>https://azizstan.net/student_image/26413.jpg</t>
  </si>
  <si>
    <t>26416</t>
  </si>
  <si>
    <t>ด.ญ.ลามีส ตาเห</t>
  </si>
  <si>
    <t>https://azizstan.net/student_image/26416.jpg</t>
  </si>
  <si>
    <t>26418</t>
  </si>
  <si>
    <t>ด.ญ.อารอฟะห์ อาลีมามะ</t>
  </si>
  <si>
    <t>https://azizstan.net/student_image/26418.jpg</t>
  </si>
  <si>
    <t>26428</t>
  </si>
  <si>
    <t>ด.ญ.รุสนา เจะแอ</t>
  </si>
  <si>
    <t>https://azizstan.net/student_image/26428.jpg</t>
  </si>
  <si>
    <t>26488</t>
  </si>
  <si>
    <t>ด.ญ.สารินี สันโต้ง</t>
  </si>
  <si>
    <t>https://azizstan.net/student_image/26488.jpg</t>
  </si>
  <si>
    <t>26539</t>
  </si>
  <si>
    <t>ด.ญ.ซาวิกา กาเสม</t>
  </si>
  <si>
    <t>https://azizstan.net/student_image/26539.jpg</t>
  </si>
  <si>
    <t>26547</t>
  </si>
  <si>
    <t>ด.ญ.นุรอิสตีฟา แวสาและ</t>
  </si>
  <si>
    <t>https://azizstan.net/student_image/26547.jpg</t>
  </si>
  <si>
    <t>26569</t>
  </si>
  <si>
    <t>ด.ญ.นูรอาลีซา มีเนาะ</t>
  </si>
  <si>
    <t>https://azizstan.net/student_image/26569.jpg</t>
  </si>
  <si>
    <t>26574</t>
  </si>
  <si>
    <t>ด.ญ.ฟาตีฮะห์ ดอเลาะ</t>
  </si>
  <si>
    <t>https://azizstan.net/student_image/26574.jpg</t>
  </si>
  <si>
    <t>26575</t>
  </si>
  <si>
    <t>ด.ญ.นาสูวา อาลี</t>
  </si>
  <si>
    <t>https://azizstan.net/student_image/26575.jpg</t>
  </si>
  <si>
    <t>26593</t>
  </si>
  <si>
    <t>ด.ญ.อัลวานี สะอะเซ็ง</t>
  </si>
  <si>
    <t>https://azizstan.net/student_image/26593.jpg</t>
  </si>
  <si>
    <t>26595</t>
  </si>
  <si>
    <t>ด.ญ.นูรูฮูดา เจะเตะ</t>
  </si>
  <si>
    <t>https://azizstan.net/student_image/26595.jpg</t>
  </si>
  <si>
    <t>26624</t>
  </si>
  <si>
    <t>ด.ญ.นัสริน เปาะหารง</t>
  </si>
  <si>
    <t>https://azizstan.net/student_image/26624.jpg</t>
  </si>
  <si>
    <t>26631</t>
  </si>
  <si>
    <t>ด.ญ.นุรฮาซีลา สาเมาะ</t>
  </si>
  <si>
    <t>https://azizstan.net/student_image/26631.jpg</t>
  </si>
  <si>
    <t>26640</t>
  </si>
  <si>
    <t>ด.ญ.นาบีฮา สาและ</t>
  </si>
  <si>
    <t>https://azizstan.net/student_image/26640.jpg</t>
  </si>
  <si>
    <t>26643</t>
  </si>
  <si>
    <t>ด.ญ.นุรฟาติน ตะซง</t>
  </si>
  <si>
    <t>https://azizstan.net/student_image/26643.jpg</t>
  </si>
  <si>
    <t>26652</t>
  </si>
  <si>
    <t>ด.ญ.รอบีอะห์ หะยีดือราแม</t>
  </si>
  <si>
    <t>https://azizstan.net/student_image/26652.jpg</t>
  </si>
  <si>
    <t>26653</t>
  </si>
  <si>
    <t>ด.ญ.นิสรีน หะซา</t>
  </si>
  <si>
    <t>https://azizstan.net/student_image/26653.jpg</t>
  </si>
  <si>
    <t>26726</t>
  </si>
  <si>
    <t>ด.ญ.ซัสวาณี แวอุเซ็ง</t>
  </si>
  <si>
    <t>https://azizstan.net/student_image/26726.jpg</t>
  </si>
  <si>
    <t>26747</t>
  </si>
  <si>
    <t>ด.ญ.นัจมี เซะ</t>
  </si>
  <si>
    <t>https://azizstan.net/student_image/26747.jpg</t>
  </si>
  <si>
    <t>26759</t>
  </si>
  <si>
    <t>ด.ญ.ฟุตตรี มะแซ</t>
  </si>
  <si>
    <t>https://azizstan.net/student_image/26759.jpg</t>
  </si>
  <si>
    <t>26802</t>
  </si>
  <si>
    <t>ด.ญ.ฟิรเดาส มามะ</t>
  </si>
  <si>
    <t>https://azizstan.net/student_image/26802.jpg</t>
  </si>
  <si>
    <t>26040</t>
  </si>
  <si>
    <t>ด.ญ.นัซญูวาย์ แอโนด</t>
  </si>
  <si>
    <t>ม.1/8</t>
  </si>
  <si>
    <t>PR 1/8</t>
  </si>
  <si>
    <t>https://azizstan.net/student_image/26040.jpg</t>
  </si>
  <si>
    <t>26041</t>
  </si>
  <si>
    <t>ด.ญ.ฟัตมา ดาโอะ</t>
  </si>
  <si>
    <t>https://azizstan.net/student_image/26041.jpg</t>
  </si>
  <si>
    <t>26043</t>
  </si>
  <si>
    <t>ด.ญ.อัฟรีดา ปัตตานี</t>
  </si>
  <si>
    <t>https://azizstan.net/student_image/26043.jpg</t>
  </si>
  <si>
    <t>26075</t>
  </si>
  <si>
    <t>ด.ญ.อามาณีย์ ฆาเราะ</t>
  </si>
  <si>
    <t>https://azizstan.net/student_image/26075.jpg</t>
  </si>
  <si>
    <t>26076</t>
  </si>
  <si>
    <t>ด.ญ.นูรอัยมาน หิเล</t>
  </si>
  <si>
    <t>https://azizstan.net/student_image/26076.jpg</t>
  </si>
  <si>
    <t>26087</t>
  </si>
  <si>
    <t>ด.ญ.นิฟาฏิน นิโอะ</t>
  </si>
  <si>
    <t>https://azizstan.net/student_image/26087.jpg</t>
  </si>
  <si>
    <t>26119</t>
  </si>
  <si>
    <t>ด.ญ.นูรุลอัสนีม แมเราะ</t>
  </si>
  <si>
    <t>https://azizstan.net/student_image/26119.jpg</t>
  </si>
  <si>
    <t>26138</t>
  </si>
  <si>
    <t>ด.ญ.สุไรยา ติตะ</t>
  </si>
  <si>
    <t>https://azizstan.net/student_image/26138.jpg</t>
  </si>
  <si>
    <t>26146</t>
  </si>
  <si>
    <t>ด.ญ.ยาวานี เง๊าะ</t>
  </si>
  <si>
    <t>https://azizstan.net/student_image/26146.jpg</t>
  </si>
  <si>
    <t>26164</t>
  </si>
  <si>
    <t>ด.ญ.นาซีฟะห์ หะหลี</t>
  </si>
  <si>
    <t>https://azizstan.net/student_image/26164.jpg</t>
  </si>
  <si>
    <t>26167</t>
  </si>
  <si>
    <t>ด.ญ.ซูไฮลา ยูโซะ</t>
  </si>
  <si>
    <t>https://azizstan.net/student_image/26167.jpg</t>
  </si>
  <si>
    <t>26168</t>
  </si>
  <si>
    <t>ด.ญ.อิสวาณีย์ สมานหะ</t>
  </si>
  <si>
    <t>https://azizstan.net/student_image/26168.jpg</t>
  </si>
  <si>
    <t>26199</t>
  </si>
  <si>
    <t>ด.ญ.นุรซีกีน ลีหมะ</t>
  </si>
  <si>
    <t>https://azizstan.net/student_image/26199.jpg</t>
  </si>
  <si>
    <t>26213</t>
  </si>
  <si>
    <t>ด.ญ.นริศรา สกุลพงศ์เศรษฐ์</t>
  </si>
  <si>
    <t>https://azizstan.net/student_image/26213.jpg</t>
  </si>
  <si>
    <t>26227</t>
  </si>
  <si>
    <t>ด.ญ.ฟีรดาว สะนิ</t>
  </si>
  <si>
    <t>https://azizstan.net/student_image/26227.jpg</t>
  </si>
  <si>
    <t>26245</t>
  </si>
  <si>
    <t>ด.ญ.ฮาฟีซา จิยีมะ</t>
  </si>
  <si>
    <t>https://azizstan.net/student_image/26245.jpg</t>
  </si>
  <si>
    <t>26246</t>
  </si>
  <si>
    <t>ด.ญ.วันซูฟียา แมวาโซะ</t>
  </si>
  <si>
    <t>https://azizstan.net/student_image/26246.jpg</t>
  </si>
  <si>
    <t>26298</t>
  </si>
  <si>
    <t>ด.ญ.สุไรดา รอดนวน</t>
  </si>
  <si>
    <t>https://azizstan.net/student_image/26298.jpg</t>
  </si>
  <si>
    <t>26311</t>
  </si>
  <si>
    <t>ด.ญ.สุภณิดา แก้วนวล</t>
  </si>
  <si>
    <t>https://azizstan.net/student_image/26311.jpg</t>
  </si>
  <si>
    <t>26322</t>
  </si>
  <si>
    <t>ด.ญ.ซาวีตา อาแว</t>
  </si>
  <si>
    <t>https://azizstan.net/student_image/26322.jpg</t>
  </si>
  <si>
    <t>26326</t>
  </si>
  <si>
    <t>ด.ญ.กัสมา อามะ</t>
  </si>
  <si>
    <t>https://azizstan.net/student_image/26326.jpg</t>
  </si>
  <si>
    <t>26332</t>
  </si>
  <si>
    <t>ด.ญ.ศกุณตลา นิดือมอง</t>
  </si>
  <si>
    <t>https://azizstan.net/student_image/26332.jpg</t>
  </si>
  <si>
    <t>26367</t>
  </si>
  <si>
    <t>ด.ญ.นัสรีน วาเลง</t>
  </si>
  <si>
    <t>https://azizstan.net/student_image/26367.jpg</t>
  </si>
  <si>
    <t>26368</t>
  </si>
  <si>
    <t>ด.ญ.ไซนุง แซโซะ</t>
  </si>
  <si>
    <t>https://azizstan.net/student_image/26368.jpg</t>
  </si>
  <si>
    <t>26371</t>
  </si>
  <si>
    <t>ด.ญ.รอยฮาน เจะเตะ</t>
  </si>
  <si>
    <t>https://azizstan.net/student_image/26371.jpg</t>
  </si>
  <si>
    <t>26392</t>
  </si>
  <si>
    <t>ด.ญ.นิสรีน อาแว</t>
  </si>
  <si>
    <t>https://azizstan.net/student_image/26392.jpg</t>
  </si>
  <si>
    <t>26421</t>
  </si>
  <si>
    <t>ด.ญ.ซุนนูรอยน์ เจ๊ะมะ</t>
  </si>
  <si>
    <t>https://azizstan.net/student_image/26421.jpg</t>
  </si>
  <si>
    <t>26451</t>
  </si>
  <si>
    <t>ด.ญ.อัญญิยา บือราเฮง</t>
  </si>
  <si>
    <t>https://azizstan.net/student_image/26451.jpg</t>
  </si>
  <si>
    <t>26452</t>
  </si>
  <si>
    <t>ด.ญ.นัสมี สามะ</t>
  </si>
  <si>
    <t>https://azizstan.net/student_image/26452.jpg</t>
  </si>
  <si>
    <t>26477</t>
  </si>
  <si>
    <t>ด.ญ.สริตา นรินทรางกูร ณ อยุธยา</t>
  </si>
  <si>
    <t>https://azizstan.net/student_image/26477.jpg</t>
  </si>
  <si>
    <t>26479</t>
  </si>
  <si>
    <t>ด.ญ.มุรณีย์ เจะอาแว</t>
  </si>
  <si>
    <t>https://azizstan.net/student_image/26479.jpg</t>
  </si>
  <si>
    <t>26526</t>
  </si>
  <si>
    <t>ด.ญ.อาอีชะห์ สุหลง</t>
  </si>
  <si>
    <t>https://azizstan.net/student_image/26526.jpg</t>
  </si>
  <si>
    <t>26563</t>
  </si>
  <si>
    <t>ด.ญ.นูรอยฮัน ดอเลาะ</t>
  </si>
  <si>
    <t>https://azizstan.net/student_image/26563.jpg</t>
  </si>
  <si>
    <t>26597</t>
  </si>
  <si>
    <t>ด.ญ.อารอฟัต โตะเลง</t>
  </si>
  <si>
    <t>https://azizstan.net/student_image/26597.jpg</t>
  </si>
  <si>
    <t>26601</t>
  </si>
  <si>
    <t>ด.ญ.ซูไฮลา อาลี</t>
  </si>
  <si>
    <t>https://azizstan.net/student_image/26601.jpg</t>
  </si>
  <si>
    <t>26616</t>
  </si>
  <si>
    <t>ด.ญ.ซูฮาดา ช่วยบำรุง</t>
  </si>
  <si>
    <t>https://azizstan.net/student_image/26616.jpg</t>
  </si>
  <si>
    <t>26646</t>
  </si>
  <si>
    <t>ด.ญ.นุรอัฟนาน แวลี</t>
  </si>
  <si>
    <t>https://azizstan.net/student_image/26646.jpg</t>
  </si>
  <si>
    <t>26648</t>
  </si>
  <si>
    <t>ด.ญ.นูรซัลซาบีล เจะสนิ</t>
  </si>
  <si>
    <t>https://azizstan.net/student_image/26648.jpg</t>
  </si>
  <si>
    <t>26738</t>
  </si>
  <si>
    <t>ด.ญ.นิอัซมาณีย์ ดอเลาะ</t>
  </si>
  <si>
    <t>https://azizstan.net/student_image/26738.jpg</t>
  </si>
  <si>
    <t>26746</t>
  </si>
  <si>
    <t>ด.ญ.รุสมานี แห่เหล็ม</t>
  </si>
  <si>
    <t>https://azizstan.net/student_image/26746.jpg</t>
  </si>
  <si>
    <t>26753</t>
  </si>
  <si>
    <t>ด.ญ.นัสริน เพ็งมูซอ</t>
  </si>
  <si>
    <t>https://azizstan.net/student_image/26753.jpg</t>
  </si>
  <si>
    <t>26755</t>
  </si>
  <si>
    <t>ด.ญ.อีมาน เจะอาลี</t>
  </si>
  <si>
    <t>https://azizstan.net/student_image/26755.jpg</t>
  </si>
  <si>
    <t>26786</t>
  </si>
  <si>
    <t>ด.ญ.คอดียะห์ สงเลิศ</t>
  </si>
  <si>
    <t>https://azizstan.net/student_image/26786.jpg</t>
  </si>
  <si>
    <t>25605</t>
  </si>
  <si>
    <t>ด.ญ.ตัสนีม เจะมะ</t>
  </si>
  <si>
    <t>ม.1/9</t>
  </si>
  <si>
    <t>PR 1/9</t>
  </si>
  <si>
    <t>https://azizstan.net/student_image/25605.jpg</t>
  </si>
  <si>
    <t>26036</t>
  </si>
  <si>
    <t>ด.ญ.อัสรีดา ดอมะ</t>
  </si>
  <si>
    <t>https://azizstan.net/student_image/26036.jpg</t>
  </si>
  <si>
    <t>26083</t>
  </si>
  <si>
    <t>ด.ญ.ตัสนีม บาเหม</t>
  </si>
  <si>
    <t>https://azizstan.net/student_image/26083.jpg</t>
  </si>
  <si>
    <t>26090</t>
  </si>
  <si>
    <t>ด.ญ.ศรัญญา กูโนะ</t>
  </si>
  <si>
    <t>https://azizstan.net/student_image/26090.jpg</t>
  </si>
  <si>
    <t>26093</t>
  </si>
  <si>
    <t>ด.ญ.ไดลามีย์ อาแว</t>
  </si>
  <si>
    <t>https://azizstan.net/student_image/26093.jpg</t>
  </si>
  <si>
    <t>26106</t>
  </si>
  <si>
    <t>ด.ญ.เจ๊ะจัลวาตีย์ ปูเต๊ะ</t>
  </si>
  <si>
    <t>https://azizstan.net/student_image/26106.jpg</t>
  </si>
  <si>
    <t>26118</t>
  </si>
  <si>
    <t>ด.ญ.บุสรอ สะตาปอ</t>
  </si>
  <si>
    <t>https://azizstan.net/student_image/26118.jpg</t>
  </si>
  <si>
    <t>26132</t>
  </si>
  <si>
    <t>ด.ญ.นูรดีนี มูนะ</t>
  </si>
  <si>
    <t>https://azizstan.net/student_image/26132.jpg</t>
  </si>
  <si>
    <t>26133</t>
  </si>
  <si>
    <t>ด.ญ.ยาวารี อุเซ็ง</t>
  </si>
  <si>
    <t>https://azizstan.net/student_image/26133.jpg</t>
  </si>
  <si>
    <t>26165</t>
  </si>
  <si>
    <t>ด.ญ.นูรมูรซีดา แมเหง๊าะ</t>
  </si>
  <si>
    <t>https://azizstan.net/student_image/26165.jpg</t>
  </si>
  <si>
    <t>26238</t>
  </si>
  <si>
    <t>ด.ญ.ศรัญญา วงษ์เต๊ะ</t>
  </si>
  <si>
    <t>https://azizstan.net/student_image/26238.jpg</t>
  </si>
  <si>
    <t>26241</t>
  </si>
  <si>
    <t>ด.ญ.นูรฮากีมีย์ มะแซ</t>
  </si>
  <si>
    <t>https://azizstan.net/student_image/26241.jpg</t>
  </si>
  <si>
    <t>26265</t>
  </si>
  <si>
    <t>ด.ญ.นูรยัสมีน มะแอ</t>
  </si>
  <si>
    <t>https://azizstan.net/student_image/26265.jpg</t>
  </si>
  <si>
    <t>26294</t>
  </si>
  <si>
    <t>ด.ญ.หนิอัสม๊ะ เดหนิ</t>
  </si>
  <si>
    <t>https://azizstan.net/student_image/26294.jpg</t>
  </si>
  <si>
    <t>26302</t>
  </si>
  <si>
    <t>ด.ญ.นุรซูซานา แวหนิ</t>
  </si>
  <si>
    <t>https://azizstan.net/student_image/26302.jpg</t>
  </si>
  <si>
    <t>26303</t>
  </si>
  <si>
    <t>ด.ญ.นูรูลฮูดา มุสอหัด</t>
  </si>
  <si>
    <t>https://azizstan.net/student_image/26303.jpg</t>
  </si>
  <si>
    <t>26324</t>
  </si>
  <si>
    <t>ด.ญ.นุอัฟนัน อีนีละไม</t>
  </si>
  <si>
    <t>https://azizstan.net/student_image/26324.jpg</t>
  </si>
  <si>
    <t>26329</t>
  </si>
  <si>
    <t>ด.ญ.ซอฟียะห์ แวสุหลง</t>
  </si>
  <si>
    <t>https://azizstan.net/student_image/26329.jpg</t>
  </si>
  <si>
    <t>26420</t>
  </si>
  <si>
    <t>ด.ญ.นิสรีน ยาแรสางะ</t>
  </si>
  <si>
    <t>https://azizstan.net/student_image/26420.jpg</t>
  </si>
  <si>
    <t>26427</t>
  </si>
  <si>
    <t>ด.ญ.วาฮีดา แมเราะ</t>
  </si>
  <si>
    <t>https://azizstan.net/student_image/26427.jpg</t>
  </si>
  <si>
    <t>26435</t>
  </si>
  <si>
    <t>ด.ญ.แวรุสนี ขาเดร์</t>
  </si>
  <si>
    <t>https://azizstan.net/student_image/26435.jpg</t>
  </si>
  <si>
    <t>26463</t>
  </si>
  <si>
    <t>ด.ญ.นินารีดา หมัดหนิ</t>
  </si>
  <si>
    <t>https://azizstan.net/student_image/26463.jpg</t>
  </si>
  <si>
    <t>26466</t>
  </si>
  <si>
    <t>ด.ญ.อานิส โอล่า</t>
  </si>
  <si>
    <t>https://azizstan.net/student_image/26466.jpg</t>
  </si>
  <si>
    <t>26489</t>
  </si>
  <si>
    <t>ด.ญ.จัสมิน ดอเลาะ</t>
  </si>
  <si>
    <t>https://azizstan.net/student_image/26489.jpg</t>
  </si>
  <si>
    <t>26493</t>
  </si>
  <si>
    <t>ด.ญ.นินัจวา เดหนิ</t>
  </si>
  <si>
    <t>https://azizstan.net/student_image/26493.jpg</t>
  </si>
  <si>
    <t>26508</t>
  </si>
  <si>
    <t>ด.ญ.อามีรา โชโด</t>
  </si>
  <si>
    <t>https://azizstan.net/student_image/26508.jpg</t>
  </si>
  <si>
    <t>26510</t>
  </si>
  <si>
    <t>ด.ญ.เอมตีฟัร ดือราแม</t>
  </si>
  <si>
    <t>https://azizstan.net/student_image/26510.jpg</t>
  </si>
  <si>
    <t>26523</t>
  </si>
  <si>
    <t>ด.ญ.นูรุลซากีลา สะมะแอ</t>
  </si>
  <si>
    <t>https://azizstan.net/student_image/26523.jpg</t>
  </si>
  <si>
    <t>26528</t>
  </si>
  <si>
    <t>ด.ญ.อาฟีซา คงไข่ศรี</t>
  </si>
  <si>
    <t>https://azizstan.net/student_image/26528.jpg</t>
  </si>
  <si>
    <t>26545</t>
  </si>
  <si>
    <t>ด.ญ.ฟิรดาว อธิชากุล</t>
  </si>
  <si>
    <t>https://azizstan.net/student_image/26545.jpg</t>
  </si>
  <si>
    <t>26558</t>
  </si>
  <si>
    <t>ด.ญ.ฮาบีบะห์ มะมิง</t>
  </si>
  <si>
    <t>https://azizstan.net/student_image/26558.jpg</t>
  </si>
  <si>
    <t>26567</t>
  </si>
  <si>
    <t>ด.ญ.นูรฮันนาน สาเมาะ</t>
  </si>
  <si>
    <t>https://azizstan.net/student_image/26567.jpg</t>
  </si>
  <si>
    <t>26576</t>
  </si>
  <si>
    <t>ด.ญ.นาตาซา เจะโมง</t>
  </si>
  <si>
    <t>https://azizstan.net/student_image/26576.jpg</t>
  </si>
  <si>
    <t>26586</t>
  </si>
  <si>
    <t>ด.ญ.นิซุลฟา กาเจ</t>
  </si>
  <si>
    <t>https://azizstan.net/student_image/26586.jpg</t>
  </si>
  <si>
    <t>26629</t>
  </si>
  <si>
    <t>ด.ญ.นุรโซเฟีย ยูโซะ</t>
  </si>
  <si>
    <t>https://azizstan.net/student_image/26629.jpg</t>
  </si>
  <si>
    <t>26645</t>
  </si>
  <si>
    <t>ด.ญ.นูนาดา เต๊ะอาปี</t>
  </si>
  <si>
    <t>https://azizstan.net/student_image/26645.jpg</t>
  </si>
  <si>
    <t>26669</t>
  </si>
  <si>
    <t>ด.ญ.นูรฮาซีกีน เจะอาแซ</t>
  </si>
  <si>
    <t>https://azizstan.net/student_image/26669.jpg</t>
  </si>
  <si>
    <t>26687</t>
  </si>
  <si>
    <t>ด.ญ.อินดะห์ซาฟิตรี หะมะ</t>
  </si>
  <si>
    <t>https://azizstan.net/student_image/26687.jpg</t>
  </si>
  <si>
    <t>26691</t>
  </si>
  <si>
    <t>ด.ญ.ชุติมา สุลง</t>
  </si>
  <si>
    <t>https://azizstan.net/student_image/26691.jpg</t>
  </si>
  <si>
    <t>26692</t>
  </si>
  <si>
    <t>ด.ญ.นูรุลญันนะฮ อาแซ</t>
  </si>
  <si>
    <t>https://azizstan.net/student_image/26692.jpg</t>
  </si>
  <si>
    <t>26705</t>
  </si>
  <si>
    <t>ด.ญ.อาฟีฟะห์ ยะมา</t>
  </si>
  <si>
    <t>https://azizstan.net/student_image/26705.jpg</t>
  </si>
  <si>
    <t>26706</t>
  </si>
  <si>
    <t>ด.ญ.ตัสณีม ดลล่าเต๊ะ</t>
  </si>
  <si>
    <t>https://azizstan.net/student_image/26706.jpg</t>
  </si>
  <si>
    <t>26044</t>
  </si>
  <si>
    <t>ด.ญ.อามีนีน อาลี</t>
  </si>
  <si>
    <t>ม.1/10</t>
  </si>
  <si>
    <t>อก.1/10</t>
  </si>
  <si>
    <t>https://azizstan.net/student_image/26044.jpg</t>
  </si>
  <si>
    <t>26060</t>
  </si>
  <si>
    <t>ด.ญ.นูรุลอิฮซาน สาและ</t>
  </si>
  <si>
    <t>https://azizstan.net/student_image/26060.jpg</t>
  </si>
  <si>
    <t>26113</t>
  </si>
  <si>
    <t>ด.ญ.นัจญ์วา หะยีบากา</t>
  </si>
  <si>
    <t>https://azizstan.net/student_image/26113.jpg</t>
  </si>
  <si>
    <t>26121</t>
  </si>
  <si>
    <t>ด.ญ.อามิตา สาเมาะ</t>
  </si>
  <si>
    <t>https://azizstan.net/student_image/26121.jpg</t>
  </si>
  <si>
    <t>26176</t>
  </si>
  <si>
    <t>ด.ช.บีลัล สานิ</t>
  </si>
  <si>
    <t>https://azizstan.net/student_image/26176.jpg</t>
  </si>
  <si>
    <t>26208</t>
  </si>
  <si>
    <t>ด.ญ.ฮัยฟะห์ เจะแว</t>
  </si>
  <si>
    <t>https://azizstan.net/student_image/26208.jpg</t>
  </si>
  <si>
    <t>26230</t>
  </si>
  <si>
    <t>ด.ญ.นูรซาฟีกา เจะอุมา</t>
  </si>
  <si>
    <t>https://azizstan.net/student_image/26230.jpg</t>
  </si>
  <si>
    <t>26242</t>
  </si>
  <si>
    <t>ด.ช.กัดดาฟี เฮ็งปิยา</t>
  </si>
  <si>
    <t>https://azizstan.net/student_image/26242.jpg</t>
  </si>
  <si>
    <t>26257</t>
  </si>
  <si>
    <t>ด.ญ.นูรฟาตีมะห์ กาเด็ง</t>
  </si>
  <si>
    <t>https://azizstan.net/student_image/26257.jpg</t>
  </si>
  <si>
    <t>26263</t>
  </si>
  <si>
    <t>ด.ญ.ยัสมีน แยนา</t>
  </si>
  <si>
    <t>https://azizstan.net/student_image/26263.jpg</t>
  </si>
  <si>
    <t>26285</t>
  </si>
  <si>
    <t>ด.ญ.ฟิรฮาน แวยูโซ๊ะ</t>
  </si>
  <si>
    <t>https://azizstan.net/student_image/26285.jpg</t>
  </si>
  <si>
    <t>26286</t>
  </si>
  <si>
    <t>ด.ญ.มูฮัยมีน บูเงาะแงะ</t>
  </si>
  <si>
    <t>https://azizstan.net/student_image/26286.jpg</t>
  </si>
  <si>
    <t>26299</t>
  </si>
  <si>
    <t>ด.ญ.นัสริน สูตี</t>
  </si>
  <si>
    <t>https://azizstan.net/student_image/26299.jpg</t>
  </si>
  <si>
    <t>26300</t>
  </si>
  <si>
    <t>ด.ญ.ดลีละฮ์ เจะเหมาะ</t>
  </si>
  <si>
    <t>https://azizstan.net/student_image/26300.jpg</t>
  </si>
  <si>
    <t>26308</t>
  </si>
  <si>
    <t>ด.ช.มุสลิม สามะ</t>
  </si>
  <si>
    <t>https://azizstan.net/student_image/26308.jpg</t>
  </si>
  <si>
    <t>26309</t>
  </si>
  <si>
    <t>ด.ช.ซาพารี เจะเลาะ</t>
  </si>
  <si>
    <t>https://azizstan.net/student_image/26309.jpg</t>
  </si>
  <si>
    <t>26310</t>
  </si>
  <si>
    <t>ด.ญ.นูรอัซมีนา อามะ</t>
  </si>
  <si>
    <t>https://azizstan.net/student_image/26310.jpg</t>
  </si>
  <si>
    <t>26376</t>
  </si>
  <si>
    <t>ด.ญ.มีนี แลเบาะ</t>
  </si>
  <si>
    <t>https://azizstan.net/student_image/26376.jpg</t>
  </si>
  <si>
    <t>26393</t>
  </si>
  <si>
    <t>ด.ช.ซารีฟ เง๊าะ</t>
  </si>
  <si>
    <t>https://azizstan.net/student_image/26393.jpg</t>
  </si>
  <si>
    <t>26394</t>
  </si>
  <si>
    <t>ด.ช.เจ๊ะมูฮำหมัดชาริฟ โว๊ะ</t>
  </si>
  <si>
    <t>https://azizstan.net/student_image/26394.jpg</t>
  </si>
  <si>
    <t>26457</t>
  </si>
  <si>
    <t>ด.ช.มูฮำหมัดชาฮิต ฮะยีบูสู</t>
  </si>
  <si>
    <t>https://azizstan.net/student_image/26457.jpg</t>
  </si>
  <si>
    <t>26550</t>
  </si>
  <si>
    <t>ด.ช.มูฮำหมัดฮานาฟี เมาะเหย</t>
  </si>
  <si>
    <t>https://azizstan.net/student_image/26550.jpg</t>
  </si>
  <si>
    <t>26560</t>
  </si>
  <si>
    <t>ด.ญ.ซอลีฮะห์ แฉะ</t>
  </si>
  <si>
    <t>https://azizstan.net/student_image/26560.jpg</t>
  </si>
  <si>
    <t>26591</t>
  </si>
  <si>
    <t>ด.ญ.นุรฟาตีน มะแซ</t>
  </si>
  <si>
    <t>https://azizstan.net/student_image/26591.jpg</t>
  </si>
  <si>
    <t>26612</t>
  </si>
  <si>
    <t>ด.ญ.มัลดาร์ ปะดอ</t>
  </si>
  <si>
    <t>https://azizstan.net/student_image/26612.jpg</t>
  </si>
  <si>
    <t>26613</t>
  </si>
  <si>
    <t>ด.ช.นาอีม โต๊ะด้วน</t>
  </si>
  <si>
    <t>https://azizstan.net/student_image/26613.jpg</t>
  </si>
  <si>
    <t>26642</t>
  </si>
  <si>
    <t>ด.ช.อัฟฎอล หะยียูโซะ</t>
  </si>
  <si>
    <t>https://azizstan.net/student_image/26642.jpg</t>
  </si>
  <si>
    <t>26670</t>
  </si>
  <si>
    <t>ด.ช.มีซาน ดาราแม</t>
  </si>
  <si>
    <t>https://azizstan.net/student_image/26670.jpg</t>
  </si>
  <si>
    <t>26673</t>
  </si>
  <si>
    <t>ด.ช.อัฮมัดอาลี เดสุหลง</t>
  </si>
  <si>
    <t>https://azizstan.net/student_image/26673.jpg</t>
  </si>
  <si>
    <t>26678</t>
  </si>
  <si>
    <t>ด.ญ.ฮูสนะห์ เจะเลาะ</t>
  </si>
  <si>
    <t>https://azizstan.net/student_image/26678.jpg</t>
  </si>
  <si>
    <t>26681</t>
  </si>
  <si>
    <t>ด.ญ.ฮัลวา มะสัน</t>
  </si>
  <si>
    <t>https://azizstan.net/student_image/26681.jpg</t>
  </si>
  <si>
    <t>26049</t>
  </si>
  <si>
    <t>ด.ช.ฮาซิก นินวน</t>
  </si>
  <si>
    <t>ม.1/11</t>
  </si>
  <si>
    <t>อก.1/11</t>
  </si>
  <si>
    <t>https://azizstan.net/student_image/26049.jpg</t>
  </si>
  <si>
    <t>26065</t>
  </si>
  <si>
    <t>ด.ช.อาดัม เจะเลง</t>
  </si>
  <si>
    <t>https://azizstan.net/student_image/26065.jpg</t>
  </si>
  <si>
    <t>26079</t>
  </si>
  <si>
    <t>ด.ช.มาลิค มูนะ</t>
  </si>
  <si>
    <t>https://azizstan.net/student_image/26079.jpg</t>
  </si>
  <si>
    <t>26091</t>
  </si>
  <si>
    <t>ด.ช.ฟาดีลัน ยูโซะ</t>
  </si>
  <si>
    <t>https://azizstan.net/student_image/26091.jpg</t>
  </si>
  <si>
    <t>26094</t>
  </si>
  <si>
    <t>ด.ญ.ฮัซวานี หะยียูนุ</t>
  </si>
  <si>
    <t>https://azizstan.net/student_image/26094.jpg</t>
  </si>
  <si>
    <t>26127</t>
  </si>
  <si>
    <t>ด.ญ.วันนูรฮัลวา แวมามะ</t>
  </si>
  <si>
    <t>https://azizstan.net/student_image/26127.jpg</t>
  </si>
  <si>
    <t>26128</t>
  </si>
  <si>
    <t>ด.ญ.นูรีน อุปมา</t>
  </si>
  <si>
    <t>https://azizstan.net/student_image/26128.jpg</t>
  </si>
  <si>
    <t>26142</t>
  </si>
  <si>
    <t>ด.ญ.นัสรีน มังสมาน</t>
  </si>
  <si>
    <t>https://azizstan.net/student_image/26142.jpg</t>
  </si>
  <si>
    <t>26174</t>
  </si>
  <si>
    <t>ด.ญ.ดาเนีย ยูโซะ</t>
  </si>
  <si>
    <t>https://azizstan.net/student_image/26174.jpg</t>
  </si>
  <si>
    <t>26185</t>
  </si>
  <si>
    <t>ด.ญ.นาตาชา พันธุสะ</t>
  </si>
  <si>
    <t>https://azizstan.net/student_image/26185.jpg</t>
  </si>
  <si>
    <t>26186</t>
  </si>
  <si>
    <t>ด.ญ.ธัญมล แหละหมัน</t>
  </si>
  <si>
    <t>https://azizstan.net/student_image/26186.jpg</t>
  </si>
  <si>
    <t>26194</t>
  </si>
  <si>
    <t>ด.ญ.ญาดา ชูสาเหาะ</t>
  </si>
  <si>
    <t>https://azizstan.net/student_image/26194.jpg</t>
  </si>
  <si>
    <t>26211</t>
  </si>
  <si>
    <t>ด.ช.ฟารุก สาหะ</t>
  </si>
  <si>
    <t>https://azizstan.net/student_image/26211.jpg</t>
  </si>
  <si>
    <t>26237</t>
  </si>
  <si>
    <t>ด.ญ.ฮัยฟาอ์ เบ็ญมูฮัมมัด</t>
  </si>
  <si>
    <t>https://azizstan.net/student_image/26237.jpg</t>
  </si>
  <si>
    <t>26239</t>
  </si>
  <si>
    <t>ด.ญ.นุรวีอาม อาลีมามะ</t>
  </si>
  <si>
    <t>https://azizstan.net/student_image/26239.jpg</t>
  </si>
  <si>
    <t>26251</t>
  </si>
  <si>
    <t>ด.ญ.ฟาร์ติญน์ อาแว</t>
  </si>
  <si>
    <t>https://azizstan.net/student_image/26251.jpg</t>
  </si>
  <si>
    <t>26268</t>
  </si>
  <si>
    <t>ด.ญ.นูรไลลา บาเหม</t>
  </si>
  <si>
    <t>https://azizstan.net/student_image/26268.jpg</t>
  </si>
  <si>
    <t>26284</t>
  </si>
  <si>
    <t>ด.ญ.กัลยรัตน์ โคตรสมบัติ</t>
  </si>
  <si>
    <t>https://azizstan.net/student_image/26284.jpg</t>
  </si>
  <si>
    <t>26297</t>
  </si>
  <si>
    <t>ด.ญ.ไลลา อาแว</t>
  </si>
  <si>
    <t>https://azizstan.net/student_image/26297.jpg</t>
  </si>
  <si>
    <t>26337</t>
  </si>
  <si>
    <t>ด.ญ.ซีตีข้อดีย๊ะ อำหมัด</t>
  </si>
  <si>
    <t>https://azizstan.net/student_image/26337.jpg</t>
  </si>
  <si>
    <t>26341</t>
  </si>
  <si>
    <t>ด.ญ.อีมาน แวดีซา</t>
  </si>
  <si>
    <t>https://azizstan.net/student_image/26341.jpg</t>
  </si>
  <si>
    <t>26417</t>
  </si>
  <si>
    <t>ด.ช.นาอิฟ บิลละโสย</t>
  </si>
  <si>
    <t>https://azizstan.net/student_image/26417.jpg</t>
  </si>
  <si>
    <t>26443</t>
  </si>
  <si>
    <t>ด.ญ.นุรฟิรดาวส์ อุมา</t>
  </si>
  <si>
    <t>https://azizstan.net/student_image/26443.jpg</t>
  </si>
  <si>
    <t>26444</t>
  </si>
  <si>
    <t>ด.ญ.ซัยดานี เส็นสะนา</t>
  </si>
  <si>
    <t>https://azizstan.net/student_image/26444.jpg</t>
  </si>
  <si>
    <t>26448</t>
  </si>
  <si>
    <t>ด.ช.ธาวิน โต๊ะสา</t>
  </si>
  <si>
    <t>https://azizstan.net/student_image/26448.jpg</t>
  </si>
  <si>
    <t>26454</t>
  </si>
  <si>
    <t>ด.ช.ฮาฟิส ลาเตะ</t>
  </si>
  <si>
    <t>https://azizstan.net/student_image/26454.jpg</t>
  </si>
  <si>
    <t>26459</t>
  </si>
  <si>
    <t>ด.ช.นูรุดดีน สุขสมบูรณ์</t>
  </si>
  <si>
    <t>https://azizstan.net/student_image/26459.jpg</t>
  </si>
  <si>
    <t>26505</t>
  </si>
  <si>
    <t>ด.ญ.ปวันรัตน์ ประสิทธิ์วณิช</t>
  </si>
  <si>
    <t>https://azizstan.net/student_image/26505.jpg</t>
  </si>
  <si>
    <t>26520</t>
  </si>
  <si>
    <t>ด.ช.กันตธีร์ สองเมือง</t>
  </si>
  <si>
    <t>https://azizstan.net/student_image/26520.jpg</t>
  </si>
  <si>
    <t>26521</t>
  </si>
  <si>
    <t>ด.ญ.ณดาเวียร์ สุวามีน</t>
  </si>
  <si>
    <t>https://azizstan.net/student_image/26521.jpg</t>
  </si>
  <si>
    <t>26598</t>
  </si>
  <si>
    <t>ด.ญ.ซัลบีนี เจ๊ะดาโอะ</t>
  </si>
  <si>
    <t>https://azizstan.net/student_image/26598.jpg</t>
  </si>
  <si>
    <t>26708</t>
  </si>
  <si>
    <t>ด.ญ.สิรินต้าร์ บรรดา</t>
  </si>
  <si>
    <t>https://azizstan.net/student_image/26708.jpg</t>
  </si>
  <si>
    <t>26730</t>
  </si>
  <si>
    <t>ด.ญ.ซาฮีเราะห์ อุมา</t>
  </si>
  <si>
    <t>https://azizstan.net/student_image/26730.jpg</t>
  </si>
  <si>
    <t>26763</t>
  </si>
  <si>
    <t>ด.ญ.นูรฟีดา อุมา</t>
  </si>
  <si>
    <t>https://azizstan.net/student_image/26763.jpg</t>
  </si>
  <si>
    <t>26806</t>
  </si>
  <si>
    <t>ด.ช.ฮัมดาน หะมะ</t>
  </si>
  <si>
    <t>https://azizstan.net/student_image/26806.jpg</t>
  </si>
  <si>
    <t>26039</t>
  </si>
  <si>
    <t>ด.ญ.ซาฟีรีน ดอเส็ง</t>
  </si>
  <si>
    <t>ม.1/12</t>
  </si>
  <si>
    <t>อก.1/12</t>
  </si>
  <si>
    <t>https://azizstan.net/student_image/26039.jpg</t>
  </si>
  <si>
    <t>26047</t>
  </si>
  <si>
    <t>ด.ญ.อัลวานี สูเล๊าะ</t>
  </si>
  <si>
    <t>https://azizstan.net/student_image/26047.jpg</t>
  </si>
  <si>
    <t>26058</t>
  </si>
  <si>
    <t>ด.ญ.อิบตีซาม เจะปอ</t>
  </si>
  <si>
    <t>https://azizstan.net/student_image/26058.jpg</t>
  </si>
  <si>
    <t>26067</t>
  </si>
  <si>
    <t>ด.ญ.ฟะฮ์มี หนิหมาน</t>
  </si>
  <si>
    <t>https://azizstan.net/student_image/26067.jpg</t>
  </si>
  <si>
    <t>26068</t>
  </si>
  <si>
    <t>ด.ญ.นัสริน ตีมันยา</t>
  </si>
  <si>
    <t>https://azizstan.net/student_image/26068.jpg</t>
  </si>
  <si>
    <t>26080</t>
  </si>
  <si>
    <t>ด.ญ.ซีมียาอ์ สาเมาะ</t>
  </si>
  <si>
    <t>https://azizstan.net/student_image/26080.jpg</t>
  </si>
  <si>
    <t>26084</t>
  </si>
  <si>
    <t>ด.ญ.นูรฟิรฎาวซ์ ประภาศิลป์</t>
  </si>
  <si>
    <t>https://azizstan.net/student_image/26084.jpg</t>
  </si>
  <si>
    <t>26092</t>
  </si>
  <si>
    <t>ด.ญ.ฮามีซะฮ์ สันบากอ</t>
  </si>
  <si>
    <t>https://azizstan.net/student_image/26092.jpg</t>
  </si>
  <si>
    <t>26107</t>
  </si>
  <si>
    <t>ด.ญ.ฟาติน ปูซู</t>
  </si>
  <si>
    <t>https://azizstan.net/student_image/26107.jpg</t>
  </si>
  <si>
    <t>26108</t>
  </si>
  <si>
    <t>ด.ญ.ร็อยฮาน ดอสอลี</t>
  </si>
  <si>
    <t>https://azizstan.net/student_image/26108.jpg</t>
  </si>
  <si>
    <t>26114</t>
  </si>
  <si>
    <t>ด.ญ.นูรอัยนาน กาสอ</t>
  </si>
  <si>
    <t>https://azizstan.net/student_image/26114.jpg</t>
  </si>
  <si>
    <t>26123</t>
  </si>
  <si>
    <t>ด.ญ.ซูไรยา สุหลง</t>
  </si>
  <si>
    <t>https://azizstan.net/student_image/26123.jpg</t>
  </si>
  <si>
    <t>26139</t>
  </si>
  <si>
    <t>ด.ญ.นาฟีซะฮ์ มาลาศรี</t>
  </si>
  <si>
    <t>https://azizstan.net/student_image/26139.jpg</t>
  </si>
  <si>
    <t>26150</t>
  </si>
  <si>
    <t>ด.ญ.อาวาติฟ เจ๊ะนิ</t>
  </si>
  <si>
    <t>https://azizstan.net/student_image/26150.jpg</t>
  </si>
  <si>
    <t>26151</t>
  </si>
  <si>
    <t>ด.ญ.ฮานีฟา สาเระ</t>
  </si>
  <si>
    <t>https://azizstan.net/student_image/26151.jpg</t>
  </si>
  <si>
    <t>26166</t>
  </si>
  <si>
    <t>ด.ญ.ฟิรดาวส์ สาและ</t>
  </si>
  <si>
    <t>https://azizstan.net/student_image/26166.jpg</t>
  </si>
  <si>
    <t>26200</t>
  </si>
  <si>
    <t>ด.ญ.นุรนาเดีย เสะอุเซ็ง</t>
  </si>
  <si>
    <t>https://azizstan.net/student_image/26200.jpg</t>
  </si>
  <si>
    <t>26201</t>
  </si>
  <si>
    <t>ด.ญ.อาตีฟา เสะอาลี</t>
  </si>
  <si>
    <t>https://azizstan.net/student_image/26201.jpg</t>
  </si>
  <si>
    <t>26204</t>
  </si>
  <si>
    <t>ด.ญ.นูรูลฮูดา มาหะ</t>
  </si>
  <si>
    <t>https://azizstan.net/student_image/26204.jpg</t>
  </si>
  <si>
    <t>26214</t>
  </si>
  <si>
    <t>ด.ญ.อุซมี สะหมันสาหรี</t>
  </si>
  <si>
    <t>https://azizstan.net/student_image/26214.jpg</t>
  </si>
  <si>
    <t>26225</t>
  </si>
  <si>
    <t>ด.ญ.ปพิชญา ราชเพ็ชร</t>
  </si>
  <si>
    <t>https://azizstan.net/student_image/26225.jpg</t>
  </si>
  <si>
    <t>26244</t>
  </si>
  <si>
    <t>ด.ญ.อะห์ลาม เจะหะ</t>
  </si>
  <si>
    <t>https://azizstan.net/student_image/26244.jpg</t>
  </si>
  <si>
    <t>26259</t>
  </si>
  <si>
    <t>ด.ญ.อามาณีย์ มะสัน</t>
  </si>
  <si>
    <t>https://azizstan.net/student_image/26259.jpg</t>
  </si>
  <si>
    <t>26267</t>
  </si>
  <si>
    <t>ด.ญ.อารีฟะ บินสือนิ</t>
  </si>
  <si>
    <t>https://azizstan.net/student_image/26267.jpg</t>
  </si>
  <si>
    <t>26281</t>
  </si>
  <si>
    <t>ด.ญ.นูรีน มาหมัด</t>
  </si>
  <si>
    <t>https://azizstan.net/student_image/26281.jpg</t>
  </si>
  <si>
    <t>26292</t>
  </si>
  <si>
    <t>ด.ญ.ซารวาณีย์ แลเจ๊าะ</t>
  </si>
  <si>
    <t>https://azizstan.net/student_image/26292.jpg</t>
  </si>
  <si>
    <t>26315</t>
  </si>
  <si>
    <t>ด.ญ.นูรอัยนี สานิ</t>
  </si>
  <si>
    <t>https://azizstan.net/student_image/26315.jpg</t>
  </si>
  <si>
    <t>26339</t>
  </si>
  <si>
    <t>ด.ญ.อัยมี่ ดอเล๊าะ</t>
  </si>
  <si>
    <t>https://azizstan.net/student_image/26339.jpg</t>
  </si>
  <si>
    <t>26375</t>
  </si>
  <si>
    <t>ด.ญ.อาฟีฟะห์ เปาะซา</t>
  </si>
  <si>
    <t>https://azizstan.net/student_image/26375.jpg</t>
  </si>
  <si>
    <t>26434</t>
  </si>
  <si>
    <t>ด.ญ.กรรณ์นารี สังวาลย์</t>
  </si>
  <si>
    <t>https://azizstan.net/student_image/26434.jpg</t>
  </si>
  <si>
    <t>26458</t>
  </si>
  <si>
    <t>ด.ญ.ฟิตรี สาและ</t>
  </si>
  <si>
    <t>https://azizstan.net/student_image/26458.jpg</t>
  </si>
  <si>
    <t>26468</t>
  </si>
  <si>
    <t>ด.ญ.ซัลซาบีลา ละแม</t>
  </si>
  <si>
    <t>https://azizstan.net/student_image/26468.jpg</t>
  </si>
  <si>
    <t>26482</t>
  </si>
  <si>
    <t>ด.ญ.ฟาดีลา มามะ</t>
  </si>
  <si>
    <t>https://azizstan.net/student_image/26482.jpg</t>
  </si>
  <si>
    <t>26506</t>
  </si>
  <si>
    <t>ด.ญ.ฮัซวานี แมเราะ</t>
  </si>
  <si>
    <t>https://azizstan.net/student_image/26506.jpg</t>
  </si>
  <si>
    <t>26509</t>
  </si>
  <si>
    <t>ด.ญ.อริณรดา งานแข็ง</t>
  </si>
  <si>
    <t>https://azizstan.net/student_image/26509.jpg</t>
  </si>
  <si>
    <t>26548</t>
  </si>
  <si>
    <t>ด.ญ.นัสมี ลือแบซา</t>
  </si>
  <si>
    <t>https://azizstan.net/student_image/26548.jpg</t>
  </si>
  <si>
    <t>26596</t>
  </si>
  <si>
    <t>ด.ญ.นูรหายาตี สาเฮาะ</t>
  </si>
  <si>
    <t>https://azizstan.net/student_image/26596.jpg</t>
  </si>
  <si>
    <t>26732</t>
  </si>
  <si>
    <t>ด.ญ.นูรุลตัสนีม กาโบะ</t>
  </si>
  <si>
    <t>https://azizstan.net/student_image/26732.jpg</t>
  </si>
  <si>
    <t>26064</t>
  </si>
  <si>
    <t>ด.ญ.อลีญา หมันหีม</t>
  </si>
  <si>
    <t>ม.1/13</t>
  </si>
  <si>
    <t>PR 1/13</t>
  </si>
  <si>
    <t>https://azizstan.net/student_image/26064.jpg</t>
  </si>
  <si>
    <t>26097</t>
  </si>
  <si>
    <t>ด.ญ.ไซรา บาเหม</t>
  </si>
  <si>
    <t>https://azizstan.net/student_image/26097.jpg</t>
  </si>
  <si>
    <t>26104</t>
  </si>
  <si>
    <t>ด.ญ.นูรอาลียานัซวา บือแน</t>
  </si>
  <si>
    <t>https://azizstan.net/student_image/26104.jpg</t>
  </si>
  <si>
    <t>26135</t>
  </si>
  <si>
    <t>ด.ญ.นัสรีณา ดือราแม</t>
  </si>
  <si>
    <t>https://azizstan.net/student_image/26135.jpg</t>
  </si>
  <si>
    <t>26152</t>
  </si>
  <si>
    <t>ด.ญ.อามามี สาแม</t>
  </si>
  <si>
    <t>https://azizstan.net/student_image/26152.jpg</t>
  </si>
  <si>
    <t>26162</t>
  </si>
  <si>
    <t>ด.ญ.นูรีซัน ยะโกะ</t>
  </si>
  <si>
    <t>https://azizstan.net/student_image/26162.jpg</t>
  </si>
  <si>
    <t>26179</t>
  </si>
  <si>
    <t>ด.ญ.รุสอัยนี ดอเลาะ</t>
  </si>
  <si>
    <t>https://azizstan.net/student_image/26179.jpg</t>
  </si>
  <si>
    <t>26198</t>
  </si>
  <si>
    <t>ด.ญ.นาบีลา ดามิ</t>
  </si>
  <si>
    <t>https://azizstan.net/student_image/26198.jpg</t>
  </si>
  <si>
    <t>26224</t>
  </si>
  <si>
    <t>ด.ญ.ตัซรีน หมัสเหล็ม</t>
  </si>
  <si>
    <t>https://azizstan.net/student_image/26224.jpg</t>
  </si>
  <si>
    <t>26235</t>
  </si>
  <si>
    <t>ด.ญ.ฟิดลา เจะอุบง</t>
  </si>
  <si>
    <t>https://azizstan.net/student_image/26235.jpg</t>
  </si>
  <si>
    <t>26248</t>
  </si>
  <si>
    <t>ด.ญ.นูรฮายาตี สามะ</t>
  </si>
  <si>
    <t>https://azizstan.net/student_image/26248.jpg</t>
  </si>
  <si>
    <t>26270</t>
  </si>
  <si>
    <t>ด.ญ.นัจญ์มี โตะโยะ</t>
  </si>
  <si>
    <t>https://azizstan.net/student_image/26270.jpg</t>
  </si>
  <si>
    <t>26288</t>
  </si>
  <si>
    <t>ด.ญ.กูนัสรีน เบญจมานะ</t>
  </si>
  <si>
    <t>https://azizstan.net/student_image/26288.jpg</t>
  </si>
  <si>
    <t>26306</t>
  </si>
  <si>
    <t>ด.ญ.รุนนะดา เจะหะ</t>
  </si>
  <si>
    <t>https://azizstan.net/student_image/26306.jpg</t>
  </si>
  <si>
    <t>26317</t>
  </si>
  <si>
    <t>ด.ญ.ณิสรีน ตันหยงสะมะแอ</t>
  </si>
  <si>
    <t>https://azizstan.net/student_image/26317.jpg</t>
  </si>
  <si>
    <t>26320</t>
  </si>
  <si>
    <t>ด.ญ.อิมตีณาน จิตอสอ</t>
  </si>
  <si>
    <t>https://azizstan.net/student_image/26320.jpg</t>
  </si>
  <si>
    <t>26325</t>
  </si>
  <si>
    <t>ด.ญ.ฟิราดาวส์ สาแม</t>
  </si>
  <si>
    <t>https://azizstan.net/student_image/26325.jpg</t>
  </si>
  <si>
    <t>26333</t>
  </si>
  <si>
    <t>ด.ญ.กัสมีนี หะยียูโซ๊ะ</t>
  </si>
  <si>
    <t>https://azizstan.net/student_image/26333.jpg</t>
  </si>
  <si>
    <t>26385</t>
  </si>
  <si>
    <t>ด.ญ.วิลาวรรณ์ ยีกะเส็ม</t>
  </si>
  <si>
    <t>https://azizstan.net/student_image/26385.jpg</t>
  </si>
  <si>
    <t>26387</t>
  </si>
  <si>
    <t>ด.ญ.ฮาซานะห์ โต๊ะหมาด</t>
  </si>
  <si>
    <t>https://azizstan.net/student_image/26387.jpg</t>
  </si>
  <si>
    <t>26395</t>
  </si>
  <si>
    <t>ด.ญ.นิฟาดา วายีเกา</t>
  </si>
  <si>
    <t>https://azizstan.net/student_image/26395.jpg</t>
  </si>
  <si>
    <t>26403</t>
  </si>
  <si>
    <t>ด.ญ.นุรซรีตา หะมะ</t>
  </si>
  <si>
    <t>https://azizstan.net/student_image/26403.jpg</t>
  </si>
  <si>
    <t>26431</t>
  </si>
  <si>
    <t>ด.ญ.ซูมัยยะห์ ยูโซ๊ะ</t>
  </si>
  <si>
    <t>https://azizstan.net/student_image/26431.jpg</t>
  </si>
  <si>
    <t>26455</t>
  </si>
  <si>
    <t>ด.ญ.อัฟเร๊าะห์ กาซา</t>
  </si>
  <si>
    <t>https://azizstan.net/student_image/26455.jpg</t>
  </si>
  <si>
    <t>26460</t>
  </si>
  <si>
    <t>ด.ญ.นุรฟัดดลีน หะยีสะแลแม</t>
  </si>
  <si>
    <t>https://azizstan.net/student_image/26460.jpg</t>
  </si>
  <si>
    <t>26462</t>
  </si>
  <si>
    <t>ด.ญ.ณัญมล มีหัด</t>
  </si>
  <si>
    <t>https://azizstan.net/student_image/26462.jpg</t>
  </si>
  <si>
    <t>26486</t>
  </si>
  <si>
    <t>ด.ญ.อาวาติฟ ดอเลาะแม</t>
  </si>
  <si>
    <t>https://azizstan.net/student_image/26486.jpg</t>
  </si>
  <si>
    <t>26495</t>
  </si>
  <si>
    <t>ด.ญ.ซุบัยดะฮ์ หมันหมาด</t>
  </si>
  <si>
    <t>https://azizstan.net/student_image/26495.jpg</t>
  </si>
  <si>
    <t>26507</t>
  </si>
  <si>
    <t>ด.ญ.นูรฟิรดาว สือนิ</t>
  </si>
  <si>
    <t>https://azizstan.net/student_image/26507.jpg</t>
  </si>
  <si>
    <t>26546</t>
  </si>
  <si>
    <t>ด.ญ.ซาวีตา สิริเต๊ะ</t>
  </si>
  <si>
    <t>https://azizstan.net/student_image/26546.jpg</t>
  </si>
  <si>
    <t>26573</t>
  </si>
  <si>
    <t>ด.ญ.นูรฮานันต์ กาลี</t>
  </si>
  <si>
    <t>https://azizstan.net/student_image/26573.jpg</t>
  </si>
  <si>
    <t>26594</t>
  </si>
  <si>
    <t>ด.ญ.นูรดีนี่ย์ บาเหม</t>
  </si>
  <si>
    <t>https://azizstan.net/student_image/26594.jpg</t>
  </si>
  <si>
    <t>26611</t>
  </si>
  <si>
    <t>ด.ญ.นูรุลอาซามี หะยีเจ๊ะมะ</t>
  </si>
  <si>
    <t>https://azizstan.net/student_image/26611.jpg</t>
  </si>
  <si>
    <t>26622</t>
  </si>
  <si>
    <t>ด.ญ.นัสรีน เจ๊ะฮะ</t>
  </si>
  <si>
    <t>https://azizstan.net/student_image/26622.jpg</t>
  </si>
  <si>
    <t>26633</t>
  </si>
  <si>
    <t>ด.ญ.อามีรา ปะหลง</t>
  </si>
  <si>
    <t>https://azizstan.net/student_image/26633.jpg</t>
  </si>
  <si>
    <t>26684</t>
  </si>
  <si>
    <t>ด.ญ.อาริสา ยุโสะ</t>
  </si>
  <si>
    <t>https://azizstan.net/student_image/26684.jpg</t>
  </si>
  <si>
    <t>26689</t>
  </si>
  <si>
    <t>ด.ญ.ดาร์นัสญา เจ๊ะโหวะ</t>
  </si>
  <si>
    <t>https://azizstan.net/student_image/26689.jpg</t>
  </si>
  <si>
    <t>26718</t>
  </si>
  <si>
    <t>ด.ญ.สาวียะห์ บือสา</t>
  </si>
  <si>
    <t>https://azizstan.net/student_image/26718.jpg</t>
  </si>
  <si>
    <t>26731</t>
  </si>
  <si>
    <t>ด.ญ.ซามีมี สาแม</t>
  </si>
  <si>
    <t>https://azizstan.net/student_image/26731.jpg</t>
  </si>
  <si>
    <t>26744</t>
  </si>
  <si>
    <t>ด.ญ.อานีเซีย กามา</t>
  </si>
  <si>
    <t>https://azizstan.net/student_image/26744.jpg</t>
  </si>
  <si>
    <t>26750</t>
  </si>
  <si>
    <t>ด.ญ.อารียา โต๊ะเหม</t>
  </si>
  <si>
    <t>https://azizstan.net/student_image/26750.jpg</t>
  </si>
  <si>
    <t>26050</t>
  </si>
  <si>
    <t>ด.ญ.ดารียา อาสากำแหง</t>
  </si>
  <si>
    <t>ม.1/14</t>
  </si>
  <si>
    <t>PR 1/14</t>
  </si>
  <si>
    <t>https://azizstan.net/student_image/26050.jpg</t>
  </si>
  <si>
    <t>26052</t>
  </si>
  <si>
    <t>ด.ญ.นูรบัลกิส มะแซ</t>
  </si>
  <si>
    <t>https://azizstan.net/student_image/26052.jpg</t>
  </si>
  <si>
    <t>26055</t>
  </si>
  <si>
    <t>ด.ญ.นูรอาวาตีฟ ดอเลาะ</t>
  </si>
  <si>
    <t>https://azizstan.net/student_image/26055.jpg</t>
  </si>
  <si>
    <t>26112</t>
  </si>
  <si>
    <t>ด.ญ.นิซัลวา สะดียามู</t>
  </si>
  <si>
    <t>https://azizstan.net/student_image/26112.jpg</t>
  </si>
  <si>
    <t>26122</t>
  </si>
  <si>
    <t>ด.ญ.มัสลินดา ลาเต๊ะ</t>
  </si>
  <si>
    <t>https://azizstan.net/student_image/26122.jpg</t>
  </si>
  <si>
    <t>26210</t>
  </si>
  <si>
    <t>ด.ญ.อาวาตีฟ ดือราเซะ</t>
  </si>
  <si>
    <t>https://azizstan.net/student_image/26210.jpg</t>
  </si>
  <si>
    <t>26256</t>
  </si>
  <si>
    <t>ด.ญ.นูรอัยนี สะมะแอ</t>
  </si>
  <si>
    <t>https://azizstan.net/student_image/26256.jpg</t>
  </si>
  <si>
    <t>26280</t>
  </si>
  <si>
    <t>ด.ญ.อณิศ มูซอ</t>
  </si>
  <si>
    <t>https://azizstan.net/student_image/26280.jpg</t>
  </si>
  <si>
    <t>26282</t>
  </si>
  <si>
    <t>ด.ญ.ตัสนีม สาแม</t>
  </si>
  <si>
    <t>https://azizstan.net/student_image/26282.jpg</t>
  </si>
  <si>
    <t>26312</t>
  </si>
  <si>
    <t>ด.ญ.อามานี สีฮี</t>
  </si>
  <si>
    <t>https://azizstan.net/student_image/26312.jpg</t>
  </si>
  <si>
    <t>26313</t>
  </si>
  <si>
    <t>ด.ญ.ซูไฮลา บุญเทพ</t>
  </si>
  <si>
    <t>https://azizstan.net/student_image/26313.jpg</t>
  </si>
  <si>
    <t>26335</t>
  </si>
  <si>
    <t>ด.ญ.นัฐวาตี สุลง</t>
  </si>
  <si>
    <t>https://azizstan.net/student_image/26335.jpg</t>
  </si>
  <si>
    <t>26374</t>
  </si>
  <si>
    <t>ด.ญ.อามาลีนา ยีเร็ง</t>
  </si>
  <si>
    <t>https://azizstan.net/student_image/26374.jpg</t>
  </si>
  <si>
    <t>26389</t>
  </si>
  <si>
    <t>ด.ญ.ซูฟียา บือราเฮง</t>
  </si>
  <si>
    <t>https://azizstan.net/student_image/26389.jpg</t>
  </si>
  <si>
    <t>26398</t>
  </si>
  <si>
    <t>ด.ญ.นริศรา มิ่งแม้น</t>
  </si>
  <si>
    <t>https://azizstan.net/student_image/26398.jpg</t>
  </si>
  <si>
    <t>26406</t>
  </si>
  <si>
    <t>ด.ญ.ซาบิตาร์ สาแล๊ะหมิน</t>
  </si>
  <si>
    <t>https://azizstan.net/student_image/26406.jpg</t>
  </si>
  <si>
    <t>26411</t>
  </si>
  <si>
    <t>ด.ญ.นารีสรา สลำเหม</t>
  </si>
  <si>
    <t>https://azizstan.net/student_image/26411.jpg</t>
  </si>
  <si>
    <t>26465</t>
  </si>
  <si>
    <t>ด.ญ.นูร์ฟิตดาวส์ ดาโอ๊ะ</t>
  </si>
  <si>
    <t>https://azizstan.net/student_image/26465.jpg</t>
  </si>
  <si>
    <t>26483</t>
  </si>
  <si>
    <t>ด.ญ.นูรฟาติน ดอเล๊าะ</t>
  </si>
  <si>
    <t>https://azizstan.net/student_image/26483.jpg</t>
  </si>
  <si>
    <t>26485</t>
  </si>
  <si>
    <t>ด.ญ.โซเฟียร์ เด็นเล๊าะ</t>
  </si>
  <si>
    <t>https://azizstan.net/student_image/26485.jpg</t>
  </si>
  <si>
    <t>26501</t>
  </si>
  <si>
    <t>ด.ญ.กูสมี มานิ๊</t>
  </si>
  <si>
    <t>https://azizstan.net/student_image/26501.jpg</t>
  </si>
  <si>
    <t>26514</t>
  </si>
  <si>
    <t>ด.ญ.อลิษา เตาวาโต</t>
  </si>
  <si>
    <t>https://azizstan.net/student_image/26514.jpg</t>
  </si>
  <si>
    <t>26533</t>
  </si>
  <si>
    <t>ด.ญ.ฟัรฮานา บือราเฮง</t>
  </si>
  <si>
    <t>https://azizstan.net/student_image/26533.jpg</t>
  </si>
  <si>
    <t>26568</t>
  </si>
  <si>
    <t>ด.ญ.รุสมีนา สีบู้</t>
  </si>
  <si>
    <t>https://azizstan.net/student_image/26568.jpg</t>
  </si>
  <si>
    <t>26580</t>
  </si>
  <si>
    <t>ด.ญ.อาอีเซาะห์ ยามา</t>
  </si>
  <si>
    <t>https://azizstan.net/student_image/26580.jpg</t>
  </si>
  <si>
    <t>26605</t>
  </si>
  <si>
    <t>ด.ญ.นูรซาฮาร่า ปาทาน</t>
  </si>
  <si>
    <t>https://azizstan.net/student_image/26605.jpg</t>
  </si>
  <si>
    <t>26608</t>
  </si>
  <si>
    <t>ด.ญ.มัซนี แยนา</t>
  </si>
  <si>
    <t>https://azizstan.net/student_image/26608.jpg</t>
  </si>
  <si>
    <t>26609</t>
  </si>
  <si>
    <t>ด.ญ.นูสรา สะมะฮอ</t>
  </si>
  <si>
    <t>https://azizstan.net/student_image/26609.jpg</t>
  </si>
  <si>
    <t>26614</t>
  </si>
  <si>
    <t>ด.ญ.ซอลิห๊ะ โต๊ะหลาง</t>
  </si>
  <si>
    <t>https://azizstan.net/student_image/26614.jpg</t>
  </si>
  <si>
    <t>26619</t>
  </si>
  <si>
    <t>ด.ญ.นูรูลอัลฟา เจ๊ะเละ</t>
  </si>
  <si>
    <t>https://azizstan.net/student_image/26619.jpg</t>
  </si>
  <si>
    <t>26628</t>
  </si>
  <si>
    <t>ด.ญ.นูรฟิรดาวซ์ วาจิ</t>
  </si>
  <si>
    <t>https://azizstan.net/student_image/26628.jpg</t>
  </si>
  <si>
    <t>26655</t>
  </si>
  <si>
    <t>ด.ญ.อนุสรา เต๊ะหมะ</t>
  </si>
  <si>
    <t>https://azizstan.net/student_image/26655.jpg</t>
  </si>
  <si>
    <t>26664</t>
  </si>
  <si>
    <t>ด.ญ.ดาวียะห์ มามะ</t>
  </si>
  <si>
    <t>https://azizstan.net/student_image/26664.jpg</t>
  </si>
  <si>
    <t>26688</t>
  </si>
  <si>
    <t>ด.ญ.อาวาติฟ ทิ้งแหล๊ะ</t>
  </si>
  <si>
    <t>https://azizstan.net/student_image/26688.jpg</t>
  </si>
  <si>
    <t>26715</t>
  </si>
  <si>
    <t>ด.ญ.กมลชนก แก้วมณี</t>
  </si>
  <si>
    <t>https://azizstan.net/student_image/26715.jpg</t>
  </si>
  <si>
    <t>26723</t>
  </si>
  <si>
    <t>ด.ญ.อามีร่า มูซอ</t>
  </si>
  <si>
    <t>https://azizstan.net/student_image/26723.jpg</t>
  </si>
  <si>
    <t>26743</t>
  </si>
  <si>
    <t>ด.ญ.โนรฮาซีกีนฮีดายะห์ ยายอ</t>
  </si>
  <si>
    <t>https://azizstan.net/student_image/26743.jpg</t>
  </si>
  <si>
    <t>25361</t>
  </si>
  <si>
    <t>ด.ช.มูฮัมหมัดฮัยกา สะนิดอเลาะ</t>
  </si>
  <si>
    <t>ม.2/1</t>
  </si>
  <si>
    <t>อก.1/1</t>
  </si>
  <si>
    <t>https://azizstan.net/student_image/25361.jpg</t>
  </si>
  <si>
    <t>25365</t>
  </si>
  <si>
    <t>ด.ช.นาฟีส บูละ</t>
  </si>
  <si>
    <t>https://azizstan.net/student_image/25365.jpg</t>
  </si>
  <si>
    <t>25370</t>
  </si>
  <si>
    <t>ด.ช.อับบัส ยะโยะ</t>
  </si>
  <si>
    <t>https://azizstan.net/student_image/25370.jpg</t>
  </si>
  <si>
    <t>25375</t>
  </si>
  <si>
    <t>ด.ช.มูฮัมหมัด บือราเฮง</t>
  </si>
  <si>
    <t>https://azizstan.net/student_image/25375.jpg</t>
  </si>
  <si>
    <t>25396</t>
  </si>
  <si>
    <t>ด.ช.ยาซิร แวหนิ</t>
  </si>
  <si>
    <t>https://azizstan.net/student_image/25396.jpg</t>
  </si>
  <si>
    <t>25411</t>
  </si>
  <si>
    <t>ด.ช.อาซูวัน กรูแป</t>
  </si>
  <si>
    <t>https://azizstan.net/student_image/25411.jpg</t>
  </si>
  <si>
    <t>25430</t>
  </si>
  <si>
    <t>ด.ช.ฟิกรี อาแด</t>
  </si>
  <si>
    <t>https://azizstan.net/student_image/25430.jpg</t>
  </si>
  <si>
    <t>25438</t>
  </si>
  <si>
    <t>ด.ช.มูฮัมหมัดฮากีมี มัดเลาะ</t>
  </si>
  <si>
    <t>https://azizstan.net/student_image/25438.jpg</t>
  </si>
  <si>
    <t>25503</t>
  </si>
  <si>
    <t>ด.ช.ฮากามารุ แวสุหลง</t>
  </si>
  <si>
    <t>https://azizstan.net/student_image/25503.jpg</t>
  </si>
  <si>
    <t>25506</t>
  </si>
  <si>
    <t>ด.ช.อิลมี มาหิเละ</t>
  </si>
  <si>
    <t>https://azizstan.net/student_image/25506.jpg</t>
  </si>
  <si>
    <t>25516</t>
  </si>
  <si>
    <t>ด.ช.มูฮัมหมัดชารีฟ โผะตือระ</t>
  </si>
  <si>
    <t>https://azizstan.net/student_image/25516.jpg</t>
  </si>
  <si>
    <t>25545</t>
  </si>
  <si>
    <t>ด.ช.อาร์ฟี ดาโอะ</t>
  </si>
  <si>
    <t>https://azizstan.net/student_image/25545.jpg</t>
  </si>
  <si>
    <t>25548</t>
  </si>
  <si>
    <t>ด.ช.มูฮัมหมัดฟารูจ ขามิจะ</t>
  </si>
  <si>
    <t>https://azizstan.net/student_image/25548.jpg</t>
  </si>
  <si>
    <t>25558</t>
  </si>
  <si>
    <t>ด.ช.มูฮัมหมัดรุสลัน อาแว</t>
  </si>
  <si>
    <t>https://azizstan.net/student_image/25558.jpg</t>
  </si>
  <si>
    <t>25562</t>
  </si>
  <si>
    <t>ด.ช.มูฮัมหมัดค็อยรุดดีน แปะแนะ</t>
  </si>
  <si>
    <t>https://azizstan.net/student_image/25562.jpg</t>
  </si>
  <si>
    <t>25588</t>
  </si>
  <si>
    <t>ด.ช.ฟัครี มูซอ</t>
  </si>
  <si>
    <t>https://azizstan.net/student_image/25588.jpg</t>
  </si>
  <si>
    <t>25638</t>
  </si>
  <si>
    <t>ด.ช.ซูฮัยมี มะมิง</t>
  </si>
  <si>
    <t>https://azizstan.net/student_image/25638.jpg</t>
  </si>
  <si>
    <t>25651</t>
  </si>
  <si>
    <t>ด.ช.อานีห ปูเต๊ะ</t>
  </si>
  <si>
    <t>https://azizstan.net/student_image/25651.jpg</t>
  </si>
  <si>
    <t>25661</t>
  </si>
  <si>
    <t>ด.ช.มูฮำหมัดนัดวี บาเหะ</t>
  </si>
  <si>
    <t>https://azizstan.net/student_image/25661.jpg</t>
  </si>
  <si>
    <t>25693</t>
  </si>
  <si>
    <t>ด.ช.อัฟฟานดี ยามูยีมะ</t>
  </si>
  <si>
    <t>https://azizstan.net/student_image/25693.jpg</t>
  </si>
  <si>
    <t>25695</t>
  </si>
  <si>
    <t>ด.ช.มูหัมหมัดอามีน บาดง</t>
  </si>
  <si>
    <t>https://azizstan.net/student_image/25695.jpg</t>
  </si>
  <si>
    <t>25696</t>
  </si>
  <si>
    <t>ด.ช.มุสตอฟา ปอสู</t>
  </si>
  <si>
    <t>https://azizstan.net/student_image/25696.jpg</t>
  </si>
  <si>
    <t>25711</t>
  </si>
  <si>
    <t>ด.ช.อารีฟีน ลาเต๊ะ</t>
  </si>
  <si>
    <t>https://azizstan.net/student_image/25711.jpg</t>
  </si>
  <si>
    <t>25713</t>
  </si>
  <si>
    <t>ด.ช.อัฟฟาน เจะมะ</t>
  </si>
  <si>
    <t>https://azizstan.net/student_image/25713.jpg</t>
  </si>
  <si>
    <t>25715</t>
  </si>
  <si>
    <t>ด.ช.อิดิ้ลอามีน อีซอ</t>
  </si>
  <si>
    <t>https://azizstan.net/student_image/25715.jpg</t>
  </si>
  <si>
    <t>25716</t>
  </si>
  <si>
    <t>ด.ช.มูฮัมหมัดคอยรูล จูแม</t>
  </si>
  <si>
    <t>https://azizstan.net/student_image/25716.jpg</t>
  </si>
  <si>
    <t>25733</t>
  </si>
  <si>
    <t>ด.ช.มูฮัมหมัดอัฟฟาน สาเงาะ</t>
  </si>
  <si>
    <t>https://azizstan.net/student_image/25733.jpg</t>
  </si>
  <si>
    <t>25744</t>
  </si>
  <si>
    <t>ด.ช.อามีรูล หัดกาเจ</t>
  </si>
  <si>
    <t>https://azizstan.net/student_image/25744.jpg</t>
  </si>
  <si>
    <t>25750</t>
  </si>
  <si>
    <t>ด.ช.มุสลีมีน เปาะสู</t>
  </si>
  <si>
    <t>https://azizstan.net/student_image/25750.jpg</t>
  </si>
  <si>
    <t>25782</t>
  </si>
  <si>
    <t>ด.ช.มูฮำหมัดอัฟวาน มารีเยาะ</t>
  </si>
  <si>
    <t>https://azizstan.net/student_image/25782.jpg</t>
  </si>
  <si>
    <t>25803</t>
  </si>
  <si>
    <t>ด.ช.อัฟฟาน จินตรา</t>
  </si>
  <si>
    <t>https://azizstan.net/student_image/25803.jpg</t>
  </si>
  <si>
    <t>25839</t>
  </si>
  <si>
    <t>ด.ช.อามีน อูมา</t>
  </si>
  <si>
    <t>https://azizstan.net/student_image/25839.jpg</t>
  </si>
  <si>
    <t>25864</t>
  </si>
  <si>
    <t>ด.ช.ฟะห์มาน มูเหล็ม</t>
  </si>
  <si>
    <t>https://azizstan.net/student_image/25864.jpg</t>
  </si>
  <si>
    <t>25888</t>
  </si>
  <si>
    <t>ด.ช.รอยยาน สามีแล</t>
  </si>
  <si>
    <t>https://azizstan.net/student_image/25888.jpg</t>
  </si>
  <si>
    <t>25893</t>
  </si>
  <si>
    <t>ด.ช.มะห์มุดดีน อาแด</t>
  </si>
  <si>
    <t>https://azizstan.net/student_image/25893.jpg</t>
  </si>
  <si>
    <t>25896</t>
  </si>
  <si>
    <t>ด.ช.อิลยัส หะยีดอเลาะ</t>
  </si>
  <si>
    <t>https://azizstan.net/student_image/25896.jpg</t>
  </si>
  <si>
    <t>25904</t>
  </si>
  <si>
    <t>ด.ช.เอกาสาปุตรา หะมะ</t>
  </si>
  <si>
    <t>https://azizstan.net/student_image/25904.jpg</t>
  </si>
  <si>
    <t>25908</t>
  </si>
  <si>
    <t>ด.ช.ลุตฟี เจ๊ะกาแม</t>
  </si>
  <si>
    <t>https://azizstan.net/student_image/25908.jpg</t>
  </si>
  <si>
    <t>25979</t>
  </si>
  <si>
    <t>ด.ช.มูฮำหมัดอิลฮำ พิศแลงาม</t>
  </si>
  <si>
    <t>https://azizstan.net/student_image/25979.jpg</t>
  </si>
  <si>
    <t>26010</t>
  </si>
  <si>
    <t>ด.ช.อาดีลัน สิเด๊ะ</t>
  </si>
  <si>
    <t>https://azizstan.net/student_image/26010.jpg</t>
  </si>
  <si>
    <t>26027</t>
  </si>
  <si>
    <t>ด.ช.ฟาริส สาแมสารี</t>
  </si>
  <si>
    <t>https://azizstan.net/student_image/26027.jpg</t>
  </si>
  <si>
    <t>26348</t>
  </si>
  <si>
    <t>ด.ช.อานัส สาลีเนาะ</t>
  </si>
  <si>
    <t>https://azizstan.net/student_image/26348.jpg</t>
  </si>
  <si>
    <t>26473</t>
  </si>
  <si>
    <t>ด.ช.ซากีลีน เจะเด็ง</t>
  </si>
  <si>
    <t>https://azizstan.net/student_image/26473.jpg</t>
  </si>
  <si>
    <t>26474</t>
  </si>
  <si>
    <t>ด.ช.มูฮำหมัดซอฟรี ดูมิแด</t>
  </si>
  <si>
    <t>https://azizstan.net/student_image/26474.jpg</t>
  </si>
  <si>
    <t>24952</t>
  </si>
  <si>
    <t>ด.ช.มะหามะ อาลี</t>
  </si>
  <si>
    <t>ม.2/2</t>
  </si>
  <si>
    <t>อก.1/2</t>
  </si>
  <si>
    <t>https://azizstan.net/student_image/24952.jpg</t>
  </si>
  <si>
    <t>25051</t>
  </si>
  <si>
    <t>ด.ช.มูฮัมหมัดชุกรี หวังจิ</t>
  </si>
  <si>
    <t>https://azizstan.net/student_image/25051.jpg</t>
  </si>
  <si>
    <t>25160</t>
  </si>
  <si>
    <t>ด.ช.อารีซัน วาโด</t>
  </si>
  <si>
    <t>https://azizstan.net/student_image/25160.jpg</t>
  </si>
  <si>
    <t>25388</t>
  </si>
  <si>
    <t>ด.ช.นิอากิฟ หนิจิบุลัด</t>
  </si>
  <si>
    <t>https://azizstan.net/student_image/25388.jpg</t>
  </si>
  <si>
    <t>25427</t>
  </si>
  <si>
    <t>ด.ช.มูฮัมหมัดฟารีส สมาน</t>
  </si>
  <si>
    <t>https://azizstan.net/student_image/25427.jpg</t>
  </si>
  <si>
    <t>25451</t>
  </si>
  <si>
    <t>ด.ช.อดิศร ยีมายอ</t>
  </si>
  <si>
    <t>https://azizstan.net/student_image/25451.jpg</t>
  </si>
  <si>
    <t>25453</t>
  </si>
  <si>
    <t>ด.ช.อาลีฟย์ สะนิ</t>
  </si>
  <si>
    <t>https://azizstan.net/student_image/25453.jpg</t>
  </si>
  <si>
    <t>25521</t>
  </si>
  <si>
    <t>ด.ช.แวมูฮัมหมัดอาบัส บินพิทักษ์ราษฏร์</t>
  </si>
  <si>
    <t>https://azizstan.net/student_image/25521.jpg</t>
  </si>
  <si>
    <t>25539</t>
  </si>
  <si>
    <t>ด.ช.อับดุลราหามัน -</t>
  </si>
  <si>
    <t>https://azizstan.net/student_image/25539.jpg</t>
  </si>
  <si>
    <t>25565</t>
  </si>
  <si>
    <t>ด.ช.นาวาวี หมะเด็น</t>
  </si>
  <si>
    <t>https://azizstan.net/student_image/25565.jpg</t>
  </si>
  <si>
    <t>25586</t>
  </si>
  <si>
    <t>ด.ช.สูอัยดี โอล่า</t>
  </si>
  <si>
    <t>https://azizstan.net/student_image/25586.jpg</t>
  </si>
  <si>
    <t>25626</t>
  </si>
  <si>
    <t>ด.ช.อิรฟาน สาและ</t>
  </si>
  <si>
    <t>https://azizstan.net/student_image/25626.jpg</t>
  </si>
  <si>
    <t>25639</t>
  </si>
  <si>
    <t>ด.ช.ฮารีฟีน มาหมะ</t>
  </si>
  <si>
    <t>https://azizstan.net/student_image/25639.jpg</t>
  </si>
  <si>
    <t>25643</t>
  </si>
  <si>
    <t>ด.ช.มุฮาญีรีน บูงอ</t>
  </si>
  <si>
    <t>https://azizstan.net/student_image/25643.jpg</t>
  </si>
  <si>
    <t>25656</t>
  </si>
  <si>
    <t>ด.ช.บุญญามีน เนือเรง</t>
  </si>
  <si>
    <t>https://azizstan.net/student_image/25656.jpg</t>
  </si>
  <si>
    <t>25665</t>
  </si>
  <si>
    <t>ด.ช.ฟัยศ็อล บีแตบูแล</t>
  </si>
  <si>
    <t>https://azizstan.net/student_image/25665.jpg</t>
  </si>
  <si>
    <t>25669</t>
  </si>
  <si>
    <t>ด.ช.อีลยัส ดอเลาะ</t>
  </si>
  <si>
    <t>https://azizstan.net/student_image/25669.jpg</t>
  </si>
  <si>
    <t>25678</t>
  </si>
  <si>
    <t>ด.ช.วาษิก เจ๊ะหล้อ</t>
  </si>
  <si>
    <t>https://azizstan.net/student_image/25678.jpg</t>
  </si>
  <si>
    <t>25710</t>
  </si>
  <si>
    <t>ด.ช.อิบรอเฮม มิง</t>
  </si>
  <si>
    <t>https://azizstan.net/student_image/25710.jpg</t>
  </si>
  <si>
    <t>25721</t>
  </si>
  <si>
    <t>ด.ช.มูฮัมหมัดชารีฟ มะเด็ง</t>
  </si>
  <si>
    <t>https://azizstan.net/student_image/25721.jpg</t>
  </si>
  <si>
    <t>25731</t>
  </si>
  <si>
    <t>ด.ช.มะฟัยรุด สนิ</t>
  </si>
  <si>
    <t>https://azizstan.net/student_image/25731.jpg</t>
  </si>
  <si>
    <t>25734</t>
  </si>
  <si>
    <t>ด.ช.รุสดี บาตูขาเด็ง</t>
  </si>
  <si>
    <t>https://azizstan.net/student_image/25734.jpg</t>
  </si>
  <si>
    <t>25742</t>
  </si>
  <si>
    <t>ด.ช.อามัส สือแม</t>
  </si>
  <si>
    <t>https://azizstan.net/student_image/25742.jpg</t>
  </si>
  <si>
    <t>25743</t>
  </si>
  <si>
    <t>ด.ช.นิเศรษฐ์ วันอารีย์สกุล</t>
  </si>
  <si>
    <t>https://azizstan.net/student_image/25743.jpg</t>
  </si>
  <si>
    <t>25766</t>
  </si>
  <si>
    <t>ด.ช.ซุกรอน บือราเฮง</t>
  </si>
  <si>
    <t>https://azizstan.net/student_image/25766.jpg</t>
  </si>
  <si>
    <t>25776</t>
  </si>
  <si>
    <t>ด.ช.เด่นคอสวาร์น มูดานอ</t>
  </si>
  <si>
    <t>https://azizstan.net/student_image/25776.jpg</t>
  </si>
  <si>
    <t>25783</t>
  </si>
  <si>
    <t>ด.ช.ซอฟรี ดีแม</t>
  </si>
  <si>
    <t>https://azizstan.net/student_image/25783.jpg</t>
  </si>
  <si>
    <t>25793</t>
  </si>
  <si>
    <t>ด.ช.ศอลีฮีน เบญอิสมาแอ</t>
  </si>
  <si>
    <t>https://azizstan.net/student_image/25793.jpg</t>
  </si>
  <si>
    <t>25834</t>
  </si>
  <si>
    <t>ด.ช.ฮาริสซัน มะลี</t>
  </si>
  <si>
    <t>https://azizstan.net/student_image/25834.jpg</t>
  </si>
  <si>
    <t>25835</t>
  </si>
  <si>
    <t>ด.ช.นัสรูน บือราเฮง</t>
  </si>
  <si>
    <t>https://azizstan.net/student_image/25835.jpg</t>
  </si>
  <si>
    <t>25848</t>
  </si>
  <si>
    <t>ด.ช.อารีฟีน กียะ</t>
  </si>
  <si>
    <t>https://azizstan.net/student_image/25848.jpg</t>
  </si>
  <si>
    <t>25860</t>
  </si>
  <si>
    <t>ด.ช.นัสราน ลือโมะ</t>
  </si>
  <si>
    <t>https://azizstan.net/student_image/25860.jpg</t>
  </si>
  <si>
    <t>25890</t>
  </si>
  <si>
    <t>ด.ช.กูซาฟีอี อีแต</t>
  </si>
  <si>
    <t>https://azizstan.net/student_image/25890.jpg</t>
  </si>
  <si>
    <t>25895</t>
  </si>
  <si>
    <t>ด.ช.อติเทพ บูกุ</t>
  </si>
  <si>
    <t>https://azizstan.net/student_image/25895.jpg</t>
  </si>
  <si>
    <t>25927</t>
  </si>
  <si>
    <t>ด.ช.ฮูซัยนี ทองสงค์</t>
  </si>
  <si>
    <t>https://azizstan.net/student_image/25927.jpg</t>
  </si>
  <si>
    <t>25936</t>
  </si>
  <si>
    <t>ด.ช.มูฮัมหมัดซะห์รูน ตาเละ</t>
  </si>
  <si>
    <t>https://azizstan.net/student_image/25936.jpg</t>
  </si>
  <si>
    <t>25993</t>
  </si>
  <si>
    <t>ด.ช.มูฮัมหมัด วาปี</t>
  </si>
  <si>
    <t>https://azizstan.net/student_image/25993.jpg</t>
  </si>
  <si>
    <t>26029</t>
  </si>
  <si>
    <t>ด.ช.ไฮกัล สาและ</t>
  </si>
  <si>
    <t>https://azizstan.net/student_image/26029.jpg</t>
  </si>
  <si>
    <t>26709</t>
  </si>
  <si>
    <t>ด.ช.มูฮัมหมัดอิรฟาน มะนาสียะ</t>
  </si>
  <si>
    <t>https://azizstan.net/student_image/26709.jpg</t>
  </si>
  <si>
    <t>26741</t>
  </si>
  <si>
    <t>ด.ช.อัรฮัม อาแว</t>
  </si>
  <si>
    <t>https://azizstan.net/student_image/26741.jpg</t>
  </si>
  <si>
    <t>26742</t>
  </si>
  <si>
    <t>ด.ช.อัฟฟานดีย์ สามะยีงอ</t>
  </si>
  <si>
    <t>https://azizstan.net/student_image/26742.jpg</t>
  </si>
  <si>
    <t>26779</t>
  </si>
  <si>
    <t>ด.ช.อีซาน บูเงาะแงะ</t>
  </si>
  <si>
    <t>https://azizstan.net/student_image/26779.jpg</t>
  </si>
  <si>
    <t>25380</t>
  </si>
  <si>
    <t>ด.ช.อลิฟ เต๊ะหมะ</t>
  </si>
  <si>
    <t>ม.2/3</t>
  </si>
  <si>
    <t>อก.2/9</t>
  </si>
  <si>
    <t>https://azizstan.net/student_image/25380.jpg</t>
  </si>
  <si>
    <t>25402</t>
  </si>
  <si>
    <t>ด.ช.อะห์หมัด สะดียามู</t>
  </si>
  <si>
    <t>https://azizstan.net/student_image/25402.jpg</t>
  </si>
  <si>
    <t>25431</t>
  </si>
  <si>
    <t>ด.ช.เจ๊ะมูฮัมหมัดซาอัด ดือราโก๊บ</t>
  </si>
  <si>
    <t>https://azizstan.net/student_image/25431.jpg</t>
  </si>
  <si>
    <t>25488</t>
  </si>
  <si>
    <t>ด.ช.ซูฮัยดี อุเซ็ง</t>
  </si>
  <si>
    <t>https://azizstan.net/student_image/25488.jpg</t>
  </si>
  <si>
    <t>25543</t>
  </si>
  <si>
    <t>ด.ช.มูฮัมหมัดฮาฟิส สาเมาะ</t>
  </si>
  <si>
    <t>https://azizstan.net/student_image/25543.jpg</t>
  </si>
  <si>
    <t>25546</t>
  </si>
  <si>
    <t>ด.ช.มูฮัมหมัดรัยฮาน ดรอแม</t>
  </si>
  <si>
    <t>https://azizstan.net/student_image/25546.jpg</t>
  </si>
  <si>
    <t>25553</t>
  </si>
  <si>
    <t>ด.ช.ซุกรอน บือซา</t>
  </si>
  <si>
    <t>https://azizstan.net/student_image/25553.jpg</t>
  </si>
  <si>
    <t>25554</t>
  </si>
  <si>
    <t>ด.ช.มูฮัมหมัดวีร์อัม มะแซ</t>
  </si>
  <si>
    <t>https://azizstan.net/student_image/25554.jpg</t>
  </si>
  <si>
    <t>25599</t>
  </si>
  <si>
    <t>ด.ช.อัฟฟาน อาสากำแหง</t>
  </si>
  <si>
    <t>https://azizstan.net/student_image/25599.jpg</t>
  </si>
  <si>
    <t>25621</t>
  </si>
  <si>
    <t>ด.ช.มูฮำมัดฮากีมี สุหลง</t>
  </si>
  <si>
    <t>https://azizstan.net/student_image/25621.jpg</t>
  </si>
  <si>
    <t>25657</t>
  </si>
  <si>
    <t>ด.ช.นูรดีน ซูตี</t>
  </si>
  <si>
    <t>https://azizstan.net/student_image/25657.jpg</t>
  </si>
  <si>
    <t>25801</t>
  </si>
  <si>
    <t>ด.ช.มูฮัมหมัดอามีน สะแต</t>
  </si>
  <si>
    <t>https://azizstan.net/student_image/25801.jpg</t>
  </si>
  <si>
    <t>25883</t>
  </si>
  <si>
    <t>ด.ช.มูฮัมหมัดฮากีมี แปแนะ</t>
  </si>
  <si>
    <t>https://azizstan.net/student_image/25883.jpg</t>
  </si>
  <si>
    <t>25914</t>
  </si>
  <si>
    <t>ด.ช.ธนกฤต ราศรีพฤกษ์</t>
  </si>
  <si>
    <t>https://azizstan.net/student_image/25914.jpg</t>
  </si>
  <si>
    <t>25931</t>
  </si>
  <si>
    <t>ด.ช.ธณเดช แดงขำ</t>
  </si>
  <si>
    <t>https://azizstan.net/student_image/25931.jpg</t>
  </si>
  <si>
    <t>25953</t>
  </si>
  <si>
    <t>ด.ช.ณัฐพงศ์ ลือมาน๊ะ</t>
  </si>
  <si>
    <t>https://azizstan.net/student_image/25953.jpg</t>
  </si>
  <si>
    <t>25956</t>
  </si>
  <si>
    <t>ด.ช.ชารีฟ กอและ</t>
  </si>
  <si>
    <t>https://azizstan.net/student_image/25956.jpg</t>
  </si>
  <si>
    <t>26026</t>
  </si>
  <si>
    <t>ด.ช.มูฮัมหมัดฟาริส มามุ</t>
  </si>
  <si>
    <t>https://azizstan.net/student_image/26026.jpg</t>
  </si>
  <si>
    <t>26191</t>
  </si>
  <si>
    <t>ด.ช.วีอาร์ม ดอเลาะ</t>
  </si>
  <si>
    <t>https://azizstan.net/student_image/26191.jpg</t>
  </si>
  <si>
    <t>26407</t>
  </si>
  <si>
    <t>ด.ช.มูฮำหมัดฟาฏอน มะเร๊ะ</t>
  </si>
  <si>
    <t>https://azizstan.net/student_image/26407.jpg</t>
  </si>
  <si>
    <t>26470</t>
  </si>
  <si>
    <t>ด.ช.นาอีฟ เปาะโกะ</t>
  </si>
  <si>
    <t>https://azizstan.net/student_image/26470.jpg</t>
  </si>
  <si>
    <t>26517</t>
  </si>
  <si>
    <t>ด.ช.ดนุพร เหล่หวัน</t>
  </si>
  <si>
    <t>https://azizstan.net/student_image/26517.jpg</t>
  </si>
  <si>
    <t>26809</t>
  </si>
  <si>
    <t>ด.ช.อิศกานดัร ยากรา</t>
  </si>
  <si>
    <t>https://azizstan.net/student_image/26809.jpg</t>
  </si>
  <si>
    <t>25371</t>
  </si>
  <si>
    <t>ด.ญ.อินตีนาน ยามา</t>
  </si>
  <si>
    <t>ม.2/4</t>
  </si>
  <si>
    <t>อก.1/4</t>
  </si>
  <si>
    <t>https://azizstan.net/student_image/25371.jpg</t>
  </si>
  <si>
    <t>25376</t>
  </si>
  <si>
    <t>ด.ญ.ฮานาน ปะดอดา</t>
  </si>
  <si>
    <t>https://azizstan.net/student_image/25376.jpg</t>
  </si>
  <si>
    <t>25386</t>
  </si>
  <si>
    <t>ด.ญ.ฮันนาน ยามา</t>
  </si>
  <si>
    <t>https://azizstan.net/student_image/25386.jpg</t>
  </si>
  <si>
    <t>25428</t>
  </si>
  <si>
    <t>ด.ญ.บุรฮานี ดอเลาะ</t>
  </si>
  <si>
    <t>https://azizstan.net/student_image/25428.jpg</t>
  </si>
  <si>
    <t>25445</t>
  </si>
  <si>
    <t>ด.ญ.ซีตีมารียำ ทิ้งจะนะ</t>
  </si>
  <si>
    <t>https://azizstan.net/student_image/25445.jpg</t>
  </si>
  <si>
    <t>25449</t>
  </si>
  <si>
    <t>ด.ญ.ฟาร์รียะ รักนุ้ย</t>
  </si>
  <si>
    <t>https://azizstan.net/student_image/25449.jpg</t>
  </si>
  <si>
    <t>25465</t>
  </si>
  <si>
    <t>ด.ญ.อัลฟาตีฮะห์ มะดิง</t>
  </si>
  <si>
    <t>https://azizstan.net/student_image/25465.jpg</t>
  </si>
  <si>
    <t>25480</t>
  </si>
  <si>
    <t>ด.ญ.ซาสบีลา ดอเลาะ</t>
  </si>
  <si>
    <t>https://azizstan.net/student_image/25480.jpg</t>
  </si>
  <si>
    <t>25481</t>
  </si>
  <si>
    <t>ด.ญ.ฟาตีฮะห์ แวแยนา</t>
  </si>
  <si>
    <t>https://azizstan.net/student_image/25481.jpg</t>
  </si>
  <si>
    <t>25493</t>
  </si>
  <si>
    <t>ด.ญ.ไรฮานะห์ เจะหลง</t>
  </si>
  <si>
    <t>https://azizstan.net/student_image/25493.jpg</t>
  </si>
  <si>
    <t>25496</t>
  </si>
  <si>
    <t>ด.ญ.ซูฟียะห์ เล๊าะมอง</t>
  </si>
  <si>
    <t>https://azizstan.net/student_image/25496.jpg</t>
  </si>
  <si>
    <t>25504</t>
  </si>
  <si>
    <t>ด.ญ.ชีฟาร์ มาหมัน</t>
  </si>
  <si>
    <t>https://azizstan.net/student_image/25504.jpg</t>
  </si>
  <si>
    <t>25510</t>
  </si>
  <si>
    <t>ด.ญ.นุรซาฮีรา มะสะ</t>
  </si>
  <si>
    <t>https://azizstan.net/student_image/25510.jpg</t>
  </si>
  <si>
    <t>25522</t>
  </si>
  <si>
    <t>ด.ญ.ฮาฟีซา กาลี</t>
  </si>
  <si>
    <t>https://azizstan.net/student_image/25522.jpg</t>
  </si>
  <si>
    <t>25564</t>
  </si>
  <si>
    <t>ด.ญ.นูรฟาติน มะตีเย๊าะ</t>
  </si>
  <si>
    <t>https://azizstan.net/student_image/25564.jpg</t>
  </si>
  <si>
    <t>25567</t>
  </si>
  <si>
    <t>ด.ญ.พิมรดา ชาอิด</t>
  </si>
  <si>
    <t>https://azizstan.net/student_image/25567.jpg</t>
  </si>
  <si>
    <t>25593</t>
  </si>
  <si>
    <t>ด.ญ.นุรฟาตีมะฮ์ สะมาแอ</t>
  </si>
  <si>
    <t>https://azizstan.net/student_image/25593.jpg</t>
  </si>
  <si>
    <t>25600</t>
  </si>
  <si>
    <t>ด.ญ.เรวดี ชูศรี</t>
  </si>
  <si>
    <t>https://azizstan.net/student_image/25600.jpg</t>
  </si>
  <si>
    <t>25607</t>
  </si>
  <si>
    <t>ด.ญ.ลาตีฟะห์ จะแหน</t>
  </si>
  <si>
    <t>https://azizstan.net/student_image/25607.jpg</t>
  </si>
  <si>
    <t>25629</t>
  </si>
  <si>
    <t>ด.ญ.นุรอัยนี ตาเฮ</t>
  </si>
  <si>
    <t>https://azizstan.net/student_image/25629.jpg</t>
  </si>
  <si>
    <t>25633</t>
  </si>
  <si>
    <t>ด.ญ.นูรุลอินอาม ม่าเย็บ</t>
  </si>
  <si>
    <t>https://azizstan.net/student_image/25633.jpg</t>
  </si>
  <si>
    <t>25645</t>
  </si>
  <si>
    <t>ด.ญ.อนุสรา มะแซ</t>
  </si>
  <si>
    <t>https://azizstan.net/student_image/25645.jpg</t>
  </si>
  <si>
    <t>25717</t>
  </si>
  <si>
    <t>ด.ญ.นิสูไฮลา เจะแม</t>
  </si>
  <si>
    <t>https://azizstan.net/student_image/25717.jpg</t>
  </si>
  <si>
    <t>25735</t>
  </si>
  <si>
    <t>ด.ญ.นูรไอนี บางปู</t>
  </si>
  <si>
    <t>https://azizstan.net/student_image/25735.jpg</t>
  </si>
  <si>
    <t>25738</t>
  </si>
  <si>
    <t>ด.ญ.นิทัศณี ภูมิภัทรญาณกูร</t>
  </si>
  <si>
    <t>https://azizstan.net/student_image/25738.jpg</t>
  </si>
  <si>
    <t>25754</t>
  </si>
  <si>
    <t>ด.ญ.อามีนา หนิตำ</t>
  </si>
  <si>
    <t>https://azizstan.net/student_image/25754.jpg</t>
  </si>
  <si>
    <t>25767</t>
  </si>
  <si>
    <t>ด.ญ.นาเดีย สาเนาะ</t>
  </si>
  <si>
    <t>https://azizstan.net/student_image/25767.jpg</t>
  </si>
  <si>
    <t>25786</t>
  </si>
  <si>
    <t>ด.ญ.ธัญญ่า ดอกอ</t>
  </si>
  <si>
    <t>https://azizstan.net/student_image/25786.jpg</t>
  </si>
  <si>
    <t>25787</t>
  </si>
  <si>
    <t>ด.ญ.รัตติกานต์ สาเมาะ</t>
  </si>
  <si>
    <t>https://azizstan.net/student_image/25787.jpg</t>
  </si>
  <si>
    <t>25830</t>
  </si>
  <si>
    <t>ด.ญ.นูรุลฟาดีญา กาบูติ้ง</t>
  </si>
  <si>
    <t>https://azizstan.net/student_image/25830.jpg</t>
  </si>
  <si>
    <t>25858</t>
  </si>
  <si>
    <t>ด.ญ.นูรฟาดีละห์ ดือเระ</t>
  </si>
  <si>
    <t>https://azizstan.net/student_image/25858.jpg</t>
  </si>
  <si>
    <t>25869</t>
  </si>
  <si>
    <t>ด.ญ.ตัสนิม ยง</t>
  </si>
  <si>
    <t>https://azizstan.net/student_image/25869.jpg</t>
  </si>
  <si>
    <t>25887</t>
  </si>
  <si>
    <t>ด.ญ.อิมตีนาล ยูโซะ</t>
  </si>
  <si>
    <t>https://azizstan.net/student_image/25887.jpg</t>
  </si>
  <si>
    <t>25906</t>
  </si>
  <si>
    <t>ด.ญ.นูรีย์มาน กูนา</t>
  </si>
  <si>
    <t>https://azizstan.net/student_image/25906.jpg</t>
  </si>
  <si>
    <t>25918</t>
  </si>
  <si>
    <t>ด.ญ.อาริซตาร์ บาโด</t>
  </si>
  <si>
    <t>https://azizstan.net/student_image/25918.jpg</t>
  </si>
  <si>
    <t>25967</t>
  </si>
  <si>
    <t>ด.ญ.นูรอาฟิตเราะฮ์ ยา</t>
  </si>
  <si>
    <t>https://azizstan.net/student_image/25967.jpg</t>
  </si>
  <si>
    <t>26129</t>
  </si>
  <si>
    <t>ด.ญ.นูรฟาฏิน จะปะกิยา</t>
  </si>
  <si>
    <t>https://azizstan.net/student_image/26129.jpg</t>
  </si>
  <si>
    <t>26542</t>
  </si>
  <si>
    <t>ด.ญ.ศศิมา สะ</t>
  </si>
  <si>
    <t>https://azizstan.net/student_image/26542.jpg</t>
  </si>
  <si>
    <t>26719</t>
  </si>
  <si>
    <t>ด.ญ.อิมตีนาน กระเดื่องเดช</t>
  </si>
  <si>
    <t>https://azizstan.net/student_image/26719.jpg</t>
  </si>
  <si>
    <t>25383</t>
  </si>
  <si>
    <t>ด.ญ.อามานิสา เส็นเหล็ม</t>
  </si>
  <si>
    <t>ม.2/5</t>
  </si>
  <si>
    <t>อก.2/5</t>
  </si>
  <si>
    <t>https://azizstan.net/student_image/25383.jpg</t>
  </si>
  <si>
    <t>25385</t>
  </si>
  <si>
    <t>ด.ญ.นูรีน มูนีมูสี</t>
  </si>
  <si>
    <t>https://azizstan.net/student_image/25385.jpg</t>
  </si>
  <si>
    <t>25409</t>
  </si>
  <si>
    <t>ด.ญ.อะห์ลาม แปแนะ</t>
  </si>
  <si>
    <t>https://azizstan.net/student_image/25409.jpg</t>
  </si>
  <si>
    <t>25416</t>
  </si>
  <si>
    <t>ด.ญ.ซูเฟีย บาโงสะตา</t>
  </si>
  <si>
    <t>https://azizstan.net/student_image/25416.jpg</t>
  </si>
  <si>
    <t>25437</t>
  </si>
  <si>
    <t>ด.ญ.รินรดา ทิพย์แลหมัน</t>
  </si>
  <si>
    <t>https://azizstan.net/student_image/25437.jpg</t>
  </si>
  <si>
    <t>25455</t>
  </si>
  <si>
    <t>ด.ช.กษิดิศ อินทร์สุไว</t>
  </si>
  <si>
    <t>https://azizstan.net/student_image/25455.jpg</t>
  </si>
  <si>
    <t>25469</t>
  </si>
  <si>
    <t>ด.ญ.อานีสซาเฟีย หะยียูโซะ</t>
  </si>
  <si>
    <t>https://azizstan.net/student_image/25469.jpg</t>
  </si>
  <si>
    <t>25473</t>
  </si>
  <si>
    <t>ด.ช.กูอริสมันต์ สาแลหมัน</t>
  </si>
  <si>
    <t>https://azizstan.net/student_image/25473.jpg</t>
  </si>
  <si>
    <t>25478</t>
  </si>
  <si>
    <t>ด.ญ.นูรฮายาตี สาเล็ง</t>
  </si>
  <si>
    <t>https://azizstan.net/student_image/25478.jpg</t>
  </si>
  <si>
    <t>25479</t>
  </si>
  <si>
    <t>ด.ญ.นูรอัฟละห์ ดอเลาะ</t>
  </si>
  <si>
    <t>https://azizstan.net/student_image/25479.jpg</t>
  </si>
  <si>
    <t>25489</t>
  </si>
  <si>
    <t>ด.ช.มูฮัมหมัดซอรีฟ กาหลง</t>
  </si>
  <si>
    <t>https://azizstan.net/student_image/25489.jpg</t>
  </si>
  <si>
    <t>25494</t>
  </si>
  <si>
    <t>ด.ช.ฟารดี เบ็ญนูรดีน</t>
  </si>
  <si>
    <t>https://azizstan.net/student_image/25494.jpg</t>
  </si>
  <si>
    <t>25525</t>
  </si>
  <si>
    <t>ด.ญ.ศิริน มะเกะ</t>
  </si>
  <si>
    <t>https://azizstan.net/student_image/25525.jpg</t>
  </si>
  <si>
    <t>25528</t>
  </si>
  <si>
    <t>ด.ช.อัยมีน หลีดีใจ</t>
  </si>
  <si>
    <t>https://azizstan.net/student_image/25528.jpg</t>
  </si>
  <si>
    <t>25556</t>
  </si>
  <si>
    <t>ด.ญ.นินาดา สะมาลา</t>
  </si>
  <si>
    <t>https://azizstan.net/student_image/25556.jpg</t>
  </si>
  <si>
    <t>25576</t>
  </si>
  <si>
    <t>ด.ญ.ดาเนีย หมีนกาด้า</t>
  </si>
  <si>
    <t>https://azizstan.net/student_image/25576.jpg</t>
  </si>
  <si>
    <t>25594</t>
  </si>
  <si>
    <t>ด.ญ.ณัฐณิชา แวววันจิต</t>
  </si>
  <si>
    <t>https://azizstan.net/student_image/25594.jpg</t>
  </si>
  <si>
    <t>25603</t>
  </si>
  <si>
    <t>ด.ญ.โซเฟีย เลรักมาน</t>
  </si>
  <si>
    <t>https://azizstan.net/student_image/25603.jpg</t>
  </si>
  <si>
    <t>25615</t>
  </si>
  <si>
    <t>ด.ช.นากีบ สาฮะ</t>
  </si>
  <si>
    <t>https://azizstan.net/student_image/25615.jpg</t>
  </si>
  <si>
    <t>25619</t>
  </si>
  <si>
    <t>ด.ญ.ชูฮาดา เจ๊ะปอ</t>
  </si>
  <si>
    <t>https://azizstan.net/student_image/25619.jpg</t>
  </si>
  <si>
    <t>25646</t>
  </si>
  <si>
    <t>ด.ญ.ฟัยรูซ หมะอะ</t>
  </si>
  <si>
    <t>https://azizstan.net/student_image/25646.jpg</t>
  </si>
  <si>
    <t>25647</t>
  </si>
  <si>
    <t>ด.ญ.นารีมาลย์ แวเดร์</t>
  </si>
  <si>
    <t>https://azizstan.net/student_image/25647.jpg</t>
  </si>
  <si>
    <t>25649</t>
  </si>
  <si>
    <t>ด.ญ.กัลยาณี สาหลำ</t>
  </si>
  <si>
    <t>https://azizstan.net/student_image/25649.jpg</t>
  </si>
  <si>
    <t>25662</t>
  </si>
  <si>
    <t>ด.ช.นกิ๊บ เล๊ะนุ๊</t>
  </si>
  <si>
    <t>https://azizstan.net/student_image/25662.jpg</t>
  </si>
  <si>
    <t>25664</t>
  </si>
  <si>
    <t>ด.ช.มูฮัมหมัดไฟศอล หะยีวามิส</t>
  </si>
  <si>
    <t>https://azizstan.net/student_image/25664.jpg</t>
  </si>
  <si>
    <t>25676</t>
  </si>
  <si>
    <t>ด.ญ.ซอฟาวาตี มามะ</t>
  </si>
  <si>
    <t>https://azizstan.net/student_image/25676.jpg</t>
  </si>
  <si>
    <t>25687</t>
  </si>
  <si>
    <t>ด.ญ.นาดียา โดยหมะ</t>
  </si>
  <si>
    <t>https://azizstan.net/student_image/25687.jpg</t>
  </si>
  <si>
    <t>25712</t>
  </si>
  <si>
    <t>ด.ญ.มัสนานี เหมอุดม</t>
  </si>
  <si>
    <t>https://azizstan.net/student_image/25712.jpg</t>
  </si>
  <si>
    <t>25819</t>
  </si>
  <si>
    <t>ด.ญ.อารีณี ดาเระมูซอ</t>
  </si>
  <si>
    <t>https://azizstan.net/student_image/25819.jpg</t>
  </si>
  <si>
    <t>25836</t>
  </si>
  <si>
    <t>ด.ช.ฟารุก ดอเล็ง</t>
  </si>
  <si>
    <t>https://azizstan.net/student_image/25836.jpg</t>
  </si>
  <si>
    <t>25917</t>
  </si>
  <si>
    <t>ด.ญ.อามาณี เจะสนิ</t>
  </si>
  <si>
    <t>https://azizstan.net/student_image/25917.jpg</t>
  </si>
  <si>
    <t>25934</t>
  </si>
  <si>
    <t>ด.ญ.ฮัซวานี มูละ</t>
  </si>
  <si>
    <t>https://azizstan.net/student_image/25934.jpg</t>
  </si>
  <si>
    <t>25942</t>
  </si>
  <si>
    <t>ด.ญ.บัฎรีญา เงดฉูนุ้ย</t>
  </si>
  <si>
    <t>https://azizstan.net/student_image/25942.jpg</t>
  </si>
  <si>
    <t>25950</t>
  </si>
  <si>
    <t>ด.ญ.นาบีลา บือราเฮง</t>
  </si>
  <si>
    <t>https://azizstan.net/student_image/25950.jpg</t>
  </si>
  <si>
    <t>25970</t>
  </si>
  <si>
    <t>ด.ช.อับดุลอาซิซ ส่าหนิ</t>
  </si>
  <si>
    <t>https://azizstan.net/student_image/25970.jpg</t>
  </si>
  <si>
    <t>25351</t>
  </si>
  <si>
    <t>ด.ญ.อาตีนุช แมวาโซะ</t>
  </si>
  <si>
    <t>ม.2/6</t>
  </si>
  <si>
    <t>อก.1/6</t>
  </si>
  <si>
    <t>https://azizstan.net/student_image/25351.jpg</t>
  </si>
  <si>
    <t>25363</t>
  </si>
  <si>
    <t>ด.ญ.ซาเรีย หมัดเหร็ม</t>
  </si>
  <si>
    <t>https://azizstan.net/student_image/25363.jpg</t>
  </si>
  <si>
    <t>25394</t>
  </si>
  <si>
    <t>ด.ญ.ตอยยีบะห์ ล่อเต๊ะ</t>
  </si>
  <si>
    <t>https://azizstan.net/student_image/25394.jpg</t>
  </si>
  <si>
    <t>25408</t>
  </si>
  <si>
    <t>ด.ญ.ซูฮัยลา สะหนิ</t>
  </si>
  <si>
    <t>https://azizstan.net/student_image/25408.jpg</t>
  </si>
  <si>
    <t>25410</t>
  </si>
  <si>
    <t>ด.ญ.นุรนาซูฮา หนิเด</t>
  </si>
  <si>
    <t>https://azizstan.net/student_image/25410.jpg</t>
  </si>
  <si>
    <t>25436</t>
  </si>
  <si>
    <t>ด.ญ.วนันยา เจ๊ะโอ๊ะห์</t>
  </si>
  <si>
    <t>https://azizstan.net/student_image/25436.jpg</t>
  </si>
  <si>
    <t>25447</t>
  </si>
  <si>
    <t>ด.ญ.นูรอารีซัน ตาเยะ</t>
  </si>
  <si>
    <t>https://azizstan.net/student_image/25447.jpg</t>
  </si>
  <si>
    <t>25452</t>
  </si>
  <si>
    <t>ด.ญ.นูรไลลา ยามา</t>
  </si>
  <si>
    <t>https://azizstan.net/student_image/25452.jpg</t>
  </si>
  <si>
    <t>25477</t>
  </si>
  <si>
    <t>ด.ญ.อังฟาล ระแว้ง</t>
  </si>
  <si>
    <t>https://azizstan.net/student_image/25477.jpg</t>
  </si>
  <si>
    <t>25502</t>
  </si>
  <si>
    <t>ด.ญ.นูรอาฟานี สะอูน</t>
  </si>
  <si>
    <t>https://azizstan.net/student_image/25502.jpg</t>
  </si>
  <si>
    <t>25512</t>
  </si>
  <si>
    <t>ด.ญ.นิลาวัล นิเดหะ</t>
  </si>
  <si>
    <t>https://azizstan.net/student_image/25512.jpg</t>
  </si>
  <si>
    <t>25523</t>
  </si>
  <si>
    <t>ด.ญ.นิตัสนีม สะมะแอ</t>
  </si>
  <si>
    <t>https://azizstan.net/student_image/25523.jpg</t>
  </si>
  <si>
    <t>25533</t>
  </si>
  <si>
    <t>ด.ญ.มาดีฮะห์ โต๊ะกาเตะ</t>
  </si>
  <si>
    <t>https://azizstan.net/student_image/25533.jpg</t>
  </si>
  <si>
    <t>25560</t>
  </si>
  <si>
    <t>ด.ญ.ซอฟาวาตี ดาโอะ</t>
  </si>
  <si>
    <t>https://azizstan.net/student_image/25560.jpg</t>
  </si>
  <si>
    <t>25587</t>
  </si>
  <si>
    <t>ด.ญ.อาดีละห์ เจะแฮ</t>
  </si>
  <si>
    <t>https://azizstan.net/student_image/25587.jpg</t>
  </si>
  <si>
    <t>25612</t>
  </si>
  <si>
    <t>ด.ญ.นูรฮีดายะห์ หะยีสะมะแอ</t>
  </si>
  <si>
    <t>https://azizstan.net/student_image/25612.jpg</t>
  </si>
  <si>
    <t>25620</t>
  </si>
  <si>
    <t>ด.ญ.นูรฟาเดียร์ ฮาแวมาเนาะ</t>
  </si>
  <si>
    <t>https://azizstan.net/student_image/25620.jpg</t>
  </si>
  <si>
    <t>25641</t>
  </si>
  <si>
    <t>ด.ญ.นุรอัยน่า มะนอสะ</t>
  </si>
  <si>
    <t>https://azizstan.net/student_image/25641.jpg</t>
  </si>
  <si>
    <t>25659</t>
  </si>
  <si>
    <t>ด.ญ.นัจญวา กาเดร์</t>
  </si>
  <si>
    <t>https://azizstan.net/student_image/25659.jpg</t>
  </si>
  <si>
    <t>25666</t>
  </si>
  <si>
    <t>ด.ญ.นูรูลรีฟา ดอเล๊าะ</t>
  </si>
  <si>
    <t>https://azizstan.net/student_image/25666.jpg</t>
  </si>
  <si>
    <t>25672</t>
  </si>
  <si>
    <t>ด.ญ.อินอาม บริพันธ์</t>
  </si>
  <si>
    <t>https://azizstan.net/student_image/25672.jpg</t>
  </si>
  <si>
    <t>25699</t>
  </si>
  <si>
    <t>ด.ญ.นูรุนนิดดา เจ๊ะเหาะ</t>
  </si>
  <si>
    <t>https://azizstan.net/student_image/25699.jpg</t>
  </si>
  <si>
    <t>25732</t>
  </si>
  <si>
    <t>ด.ญ.นูรฮาลีซา ดอเลาะ</t>
  </si>
  <si>
    <t>https://azizstan.net/student_image/25732.jpg</t>
  </si>
  <si>
    <t>25761</t>
  </si>
  <si>
    <t>ด.ญ.อารีนี มะเด็ง</t>
  </si>
  <si>
    <t>https://azizstan.net/student_image/25761.jpg</t>
  </si>
  <si>
    <t>25791</t>
  </si>
  <si>
    <t>ด.ญ.ฏอยยีบะห์ เจ๊ะแวดอเล๊าะ</t>
  </si>
  <si>
    <t>https://azizstan.net/student_image/25791.jpg</t>
  </si>
  <si>
    <t>25799</t>
  </si>
  <si>
    <t>ด.ญ.อัฟนาน ลาเตะ</t>
  </si>
  <si>
    <t>https://azizstan.net/student_image/25799.jpg</t>
  </si>
  <si>
    <t>25832</t>
  </si>
  <si>
    <t>ด.ญ.นูรนาซีฟา มาซา</t>
  </si>
  <si>
    <t>https://azizstan.net/student_image/25832.jpg</t>
  </si>
  <si>
    <t>25844</t>
  </si>
  <si>
    <t>ด.ญ.นาริน สะแลแม็ง</t>
  </si>
  <si>
    <t>https://azizstan.net/student_image/25844.jpg</t>
  </si>
  <si>
    <t>25849</t>
  </si>
  <si>
    <t>ด.ญ.ซากีเราะห์ ปูเต๊ะ</t>
  </si>
  <si>
    <t>https://azizstan.net/student_image/25849.jpg</t>
  </si>
  <si>
    <t>25866</t>
  </si>
  <si>
    <t>ด.ญ.อามานี เองตาร์</t>
  </si>
  <si>
    <t>https://azizstan.net/student_image/25866.jpg</t>
  </si>
  <si>
    <t>25870</t>
  </si>
  <si>
    <t>ด.ญ.มัยดีญา ดาโอ๊ะมุสอ</t>
  </si>
  <si>
    <t>https://azizstan.net/student_image/25870.jpg</t>
  </si>
  <si>
    <t>25875</t>
  </si>
  <si>
    <t>ด.ญ.นูรีซา เจะเลาะ</t>
  </si>
  <si>
    <t>https://azizstan.net/student_image/25875.jpg</t>
  </si>
  <si>
    <t>25948</t>
  </si>
  <si>
    <t>ด.ญ.สุวรรณา มะหลี</t>
  </si>
  <si>
    <t>https://azizstan.net/student_image/25948.jpg</t>
  </si>
  <si>
    <t>25960</t>
  </si>
  <si>
    <t>ด.ญ.นิฮัสนี สิเดะ</t>
  </si>
  <si>
    <t>https://azizstan.net/student_image/25960.jpg</t>
  </si>
  <si>
    <t>25964</t>
  </si>
  <si>
    <t>ด.ญ.นิฟาเดีย หะยียูโซะ</t>
  </si>
  <si>
    <t>https://azizstan.net/student_image/25964.jpg</t>
  </si>
  <si>
    <t>25976</t>
  </si>
  <si>
    <t>ด.ญ.ฮานีฟา มะมิง</t>
  </si>
  <si>
    <t>https://azizstan.net/student_image/25976.jpg</t>
  </si>
  <si>
    <t>25977</t>
  </si>
  <si>
    <t>ด.ญ.นูรฮาฟีซา อามีน</t>
  </si>
  <si>
    <t>https://azizstan.net/student_image/25977.jpg</t>
  </si>
  <si>
    <t>25984</t>
  </si>
  <si>
    <t>ด.ญ.สุไวบะห์ สะแลบอกอ</t>
  </si>
  <si>
    <t>https://azizstan.net/student_image/25984.jpg</t>
  </si>
  <si>
    <t>26008</t>
  </si>
  <si>
    <t>ด.ญ.นูรญันนะฮ์ กองบก</t>
  </si>
  <si>
    <t>https://azizstan.net/student_image/26008.jpg</t>
  </si>
  <si>
    <t>26012</t>
  </si>
  <si>
    <t>ด.ญ.แอมมีร่า เกื้อศิลป์</t>
  </si>
  <si>
    <t>https://azizstan.net/student_image/26012.jpg</t>
  </si>
  <si>
    <t>26066</t>
  </si>
  <si>
    <t>ด.ญ.นูรฮีดายะห์ มะสารี</t>
  </si>
  <si>
    <t>https://azizstan.net/student_image/26066.jpg</t>
  </si>
  <si>
    <t>26671</t>
  </si>
  <si>
    <t>ด.ญ.ต่วนอามีนา แซแร</t>
  </si>
  <si>
    <t>https://azizstan.net/student_image/26671.jpg</t>
  </si>
  <si>
    <t>25372</t>
  </si>
  <si>
    <t>ด.ญ.โซฟียะห์ มิเร็ม</t>
  </si>
  <si>
    <t>ม.2/7</t>
  </si>
  <si>
    <t>อก.1/7</t>
  </si>
  <si>
    <t>https://azizstan.net/student_image/25372.jpg</t>
  </si>
  <si>
    <t>25387</t>
  </si>
  <si>
    <t>ด.ญ.ศิริญญา เจะโซะ</t>
  </si>
  <si>
    <t>https://azizstan.net/student_image/25387.jpg</t>
  </si>
  <si>
    <t>25448</t>
  </si>
  <si>
    <t>ด.ญ.นูรอาลีซา ยูโซะ</t>
  </si>
  <si>
    <t>https://azizstan.net/student_image/25448.jpg</t>
  </si>
  <si>
    <t>25475</t>
  </si>
  <si>
    <t>ด.ญ.ซอฟีรา แซมา</t>
  </si>
  <si>
    <t>https://azizstan.net/student_image/25475.jpg</t>
  </si>
  <si>
    <t>25491</t>
  </si>
  <si>
    <t>ด.ญ.นูรอายน์ นิอารียา</t>
  </si>
  <si>
    <t>https://azizstan.net/student_image/25491.jpg</t>
  </si>
  <si>
    <t>25513</t>
  </si>
  <si>
    <t>ด.ญ.นูรุลอัฮลาม มูซอ</t>
  </si>
  <si>
    <t>https://azizstan.net/student_image/25513.jpg</t>
  </si>
  <si>
    <t>25569</t>
  </si>
  <si>
    <t>ด.ญ.นุรอซิกีน อาแด</t>
  </si>
  <si>
    <t>https://azizstan.net/student_image/25569.jpg</t>
  </si>
  <si>
    <t>25574</t>
  </si>
  <si>
    <t>ด.ญ.ปริญญา สาหลำ</t>
  </si>
  <si>
    <t>https://azizstan.net/student_image/25574.jpg</t>
  </si>
  <si>
    <t>25578</t>
  </si>
  <si>
    <t>ด.ญ.นูรฮาซีกีน แวหะยี</t>
  </si>
  <si>
    <t>https://azizstan.net/student_image/25578.jpg</t>
  </si>
  <si>
    <t>25596</t>
  </si>
  <si>
    <t>ด.ญ.ฟาฏอรอนี โต๊ะหลาง</t>
  </si>
  <si>
    <t>https://azizstan.net/student_image/25596.jpg</t>
  </si>
  <si>
    <t>25609</t>
  </si>
  <si>
    <t>ด.ญ.นูรูลฮูดา มะลี</t>
  </si>
  <si>
    <t>https://azizstan.net/student_image/25609.jpg</t>
  </si>
  <si>
    <t>25610</t>
  </si>
  <si>
    <t>ด.ญ.ยิ่งลักษณ์ สิงสาโร</t>
  </si>
  <si>
    <t>https://azizstan.net/student_image/25610.jpg</t>
  </si>
  <si>
    <t>25611</t>
  </si>
  <si>
    <t>ด.ญ.อัซวานา สาเล็ง</t>
  </si>
  <si>
    <t>https://azizstan.net/student_image/25611.jpg</t>
  </si>
  <si>
    <t>25614</t>
  </si>
  <si>
    <t>ด.ญ.ซัลวานีย์ มะเส็น</t>
  </si>
  <si>
    <t>https://azizstan.net/student_image/25614.jpg</t>
  </si>
  <si>
    <t>25617</t>
  </si>
  <si>
    <t>ด.ญ.นูรมา ยามา</t>
  </si>
  <si>
    <t>https://azizstan.net/student_image/25617.jpg</t>
  </si>
  <si>
    <t>25627</t>
  </si>
  <si>
    <t>ด.ญ.รุสดา ดือเฆะ</t>
  </si>
  <si>
    <t>https://azizstan.net/student_image/25627.jpg</t>
  </si>
  <si>
    <t>25630</t>
  </si>
  <si>
    <t>ด.ญ.อิมตีนาน เจะเลง</t>
  </si>
  <si>
    <t>https://azizstan.net/student_image/25630.jpg</t>
  </si>
  <si>
    <t>25679</t>
  </si>
  <si>
    <t>ด.ญ.นูรฟิตดาว มูซอ</t>
  </si>
  <si>
    <t>https://azizstan.net/student_image/25679.jpg</t>
  </si>
  <si>
    <t>25684</t>
  </si>
  <si>
    <t>ด.ญ.บีสมินลา มะเย็ง</t>
  </si>
  <si>
    <t>https://azizstan.net/student_image/25684.jpg</t>
  </si>
  <si>
    <t>25685</t>
  </si>
  <si>
    <t>ด.ญ.นุไอนี บากา</t>
  </si>
  <si>
    <t>https://azizstan.net/student_image/25685.jpg</t>
  </si>
  <si>
    <t>25686</t>
  </si>
  <si>
    <t>ด.ญ.นูไรฮัน ยูโซะ</t>
  </si>
  <si>
    <t>https://azizstan.net/student_image/25686.jpg</t>
  </si>
  <si>
    <t>25692</t>
  </si>
  <si>
    <t>ด.ญ.ฟิรดาว หะมิ</t>
  </si>
  <si>
    <t>https://azizstan.net/student_image/25692.jpg</t>
  </si>
  <si>
    <t>25705</t>
  </si>
  <si>
    <t>ด.ญ.ฟารีดา หวังบู</t>
  </si>
  <si>
    <t>https://azizstan.net/student_image/25705.jpg</t>
  </si>
  <si>
    <t>25718</t>
  </si>
  <si>
    <t>ด.ญ.สุดารัตน์ เจ๊ะกอม๊ะ</t>
  </si>
  <si>
    <t>https://azizstan.net/student_image/25718.jpg</t>
  </si>
  <si>
    <t>25726</t>
  </si>
  <si>
    <t>ด.ญ.กัสวานี ซอมิง</t>
  </si>
  <si>
    <t>https://azizstan.net/student_image/25726.jpg</t>
  </si>
  <si>
    <t>25736</t>
  </si>
  <si>
    <t>ด.ญ.ซีฮาม มะเซ็ง</t>
  </si>
  <si>
    <t>https://azizstan.net/student_image/25736.jpg</t>
  </si>
  <si>
    <t>25737</t>
  </si>
  <si>
    <t>ด.ญ.นุรกามีเลีย ตาเละ</t>
  </si>
  <si>
    <t>https://azizstan.net/student_image/25737.jpg</t>
  </si>
  <si>
    <t>25810</t>
  </si>
  <si>
    <t>ด.ญ.นูรวาณี สาเร๊ะ</t>
  </si>
  <si>
    <t>https://azizstan.net/student_image/25810.jpg</t>
  </si>
  <si>
    <t>25818</t>
  </si>
  <si>
    <t>ด.ญ.สีตีมารียาณี สูหลง</t>
  </si>
  <si>
    <t>https://azizstan.net/student_image/25818.jpg</t>
  </si>
  <si>
    <t>25831</t>
  </si>
  <si>
    <t>ด.ญ.ฟิตตรี สะนอยานยา</t>
  </si>
  <si>
    <t>https://azizstan.net/student_image/25831.jpg</t>
  </si>
  <si>
    <t>25852</t>
  </si>
  <si>
    <t>ด.ญ.นูรีน ดอเล๊าะอุมา</t>
  </si>
  <si>
    <t>https://azizstan.net/student_image/25852.jpg</t>
  </si>
  <si>
    <t>25863</t>
  </si>
  <si>
    <t>ด.ญ.ฟาตีเม๊าะห์ สาหลำ</t>
  </si>
  <si>
    <t>https://azizstan.net/student_image/25863.jpg</t>
  </si>
  <si>
    <t>25872</t>
  </si>
  <si>
    <t>ด.ญ.อัสมาวาตี ดุลยดากรณ์</t>
  </si>
  <si>
    <t>https://azizstan.net/student_image/25872.jpg</t>
  </si>
  <si>
    <t>25886</t>
  </si>
  <si>
    <t>ด.ญ.ฟิรดาว สาเมาะ</t>
  </si>
  <si>
    <t>https://azizstan.net/student_image/25886.jpg</t>
  </si>
  <si>
    <t>25892</t>
  </si>
  <si>
    <t>ด.ญ.นูรฮีดาญะด์ หะมะ</t>
  </si>
  <si>
    <t>https://azizstan.net/student_image/25892.jpg</t>
  </si>
  <si>
    <t>25921</t>
  </si>
  <si>
    <t>ด.ญ.ซูฟีเราะห์ ไชยมิกัน</t>
  </si>
  <si>
    <t>https://azizstan.net/student_image/25921.jpg</t>
  </si>
  <si>
    <t>25941</t>
  </si>
  <si>
    <t>ด.ญ.ณัฐชาวาร์ โคกเขา</t>
  </si>
  <si>
    <t>https://azizstan.net/student_image/25941.jpg</t>
  </si>
  <si>
    <t>25965</t>
  </si>
  <si>
    <t>ด.ญ.อันดา แมเราะ</t>
  </si>
  <si>
    <t>https://azizstan.net/student_image/25965.jpg</t>
  </si>
  <si>
    <t>25983</t>
  </si>
  <si>
    <t>ด.ญ.อารยาณีย์ แวกะจิ</t>
  </si>
  <si>
    <t>https://azizstan.net/student_image/25983.jpg</t>
  </si>
  <si>
    <t>26018</t>
  </si>
  <si>
    <t>ด.ญ.นูรอัยรีณ เจะหนิ</t>
  </si>
  <si>
    <t>https://azizstan.net/student_image/26018.jpg</t>
  </si>
  <si>
    <t>26518</t>
  </si>
  <si>
    <t>ด.ญ.อาฟานี หลำสะ</t>
  </si>
  <si>
    <t>https://azizstan.net/student_image/26518.jpg</t>
  </si>
  <si>
    <t>25359</t>
  </si>
  <si>
    <t>ด.ญ.นูรฮายาตี สาและ</t>
  </si>
  <si>
    <t>ม.2/8</t>
  </si>
  <si>
    <t>อก.1/8</t>
  </si>
  <si>
    <t>https://azizstan.net/student_image/25359.jpg</t>
  </si>
  <si>
    <t>25399</t>
  </si>
  <si>
    <t>ด.ญ.ซัซวานี สูดี</t>
  </si>
  <si>
    <t>https://azizstan.net/student_image/25399.jpg</t>
  </si>
  <si>
    <t>25400</t>
  </si>
  <si>
    <t>ด.ญ.ซอฟาวาตีย์ มะสารี</t>
  </si>
  <si>
    <t>https://azizstan.net/student_image/25400.jpg</t>
  </si>
  <si>
    <t>25405</t>
  </si>
  <si>
    <t>ด.ญ.นุรฟิเดาห์ กาเดร์</t>
  </si>
  <si>
    <t>https://azizstan.net/student_image/25405.jpg</t>
  </si>
  <si>
    <t>25420</t>
  </si>
  <si>
    <t>ด.ญ.นริศรา หะยีสาวี</t>
  </si>
  <si>
    <t>https://azizstan.net/student_image/25420.jpg</t>
  </si>
  <si>
    <t>25446</t>
  </si>
  <si>
    <t>ด.ญ.นาตาชา ลือบาน๊ะ</t>
  </si>
  <si>
    <t>https://azizstan.net/student_image/25446.jpg</t>
  </si>
  <si>
    <t>25458</t>
  </si>
  <si>
    <t>ด.ญ.นุรอัยนา มาหมะ</t>
  </si>
  <si>
    <t>https://azizstan.net/student_image/25458.jpg</t>
  </si>
  <si>
    <t>25476</t>
  </si>
  <si>
    <t>ด.ญ.นูรีดา หลีต่อสาม</t>
  </si>
  <si>
    <t>https://azizstan.net/student_image/25476.jpg</t>
  </si>
  <si>
    <t>25484</t>
  </si>
  <si>
    <t>ด.ญ.นูรีซัน ปาทาน</t>
  </si>
  <si>
    <t>https://azizstan.net/student_image/25484.jpg</t>
  </si>
  <si>
    <t>25487</t>
  </si>
  <si>
    <t>ด.ญ.นูรูลฮัสณี หวังมะ</t>
  </si>
  <si>
    <t>https://azizstan.net/student_image/25487.jpg</t>
  </si>
  <si>
    <t>25498</t>
  </si>
  <si>
    <t>ด.ญ.นูรีฟะฮ์ ยูโซ๊ะ</t>
  </si>
  <si>
    <t>https://azizstan.net/student_image/25498.jpg</t>
  </si>
  <si>
    <t>25509</t>
  </si>
  <si>
    <t>ด.ญ.ฮัสวานีย์ แวหะยี</t>
  </si>
  <si>
    <t>https://azizstan.net/student_image/25509.jpg</t>
  </si>
  <si>
    <t>25511</t>
  </si>
  <si>
    <t>ด.ญ.อัลวานี ติ่งไหลเสน</t>
  </si>
  <si>
    <t>https://azizstan.net/student_image/25511.jpg</t>
  </si>
  <si>
    <t>25520</t>
  </si>
  <si>
    <t>ด.ญ.นาดียะห์ แวยูโซะ</t>
  </si>
  <si>
    <t>https://azizstan.net/student_image/25520.jpg</t>
  </si>
  <si>
    <t>25550</t>
  </si>
  <si>
    <t>ด.ญ.นูรอามานี หมีนหวัง</t>
  </si>
  <si>
    <t>https://azizstan.net/student_image/25550.jpg</t>
  </si>
  <si>
    <t>25557</t>
  </si>
  <si>
    <t>ด.ญ.กัสมีน สือแม</t>
  </si>
  <si>
    <t>https://azizstan.net/student_image/25557.jpg</t>
  </si>
  <si>
    <t>25570</t>
  </si>
  <si>
    <t>ด.ญ.ฮัยฟาร์ โต๊ะตียอ</t>
  </si>
  <si>
    <t>https://azizstan.net/student_image/25570.jpg</t>
  </si>
  <si>
    <t>25579</t>
  </si>
  <si>
    <t>ด.ญ.อัสมะห์ ดอเลาะ</t>
  </si>
  <si>
    <t>https://azizstan.net/student_image/25579.jpg</t>
  </si>
  <si>
    <t>25585</t>
  </si>
  <si>
    <t>ด.ญ.กูนัซมีย์ เบญจมานะ</t>
  </si>
  <si>
    <t>https://azizstan.net/student_image/25585.jpg</t>
  </si>
  <si>
    <t>25601</t>
  </si>
  <si>
    <t>ด.ญ.กัญลญาณีย์ เดเระมะ</t>
  </si>
  <si>
    <t>https://azizstan.net/student_image/25601.jpg</t>
  </si>
  <si>
    <t>25608</t>
  </si>
  <si>
    <t>ด.ญ.นิอาวาติฟ หลงสะ</t>
  </si>
  <si>
    <t>https://azizstan.net/student_image/25608.jpg</t>
  </si>
  <si>
    <t>25674</t>
  </si>
  <si>
    <t>ด.ญ.ยัสมิน ดอเล๊าะ</t>
  </si>
  <si>
    <t>https://azizstan.net/student_image/25674.jpg</t>
  </si>
  <si>
    <t>25691</t>
  </si>
  <si>
    <t>ด.ญ.นูรีซัน โตะเซ่ง</t>
  </si>
  <si>
    <t>https://azizstan.net/student_image/25691.jpg</t>
  </si>
  <si>
    <t>25694</t>
  </si>
  <si>
    <t>ด.ญ.สุภัทรชา สุหลง</t>
  </si>
  <si>
    <t>https://azizstan.net/student_image/25694.jpg</t>
  </si>
  <si>
    <t>25741</t>
  </si>
  <si>
    <t>ด.ญ.ฟารีดา ดอนิ</t>
  </si>
  <si>
    <t>https://azizstan.net/student_image/25741.jpg</t>
  </si>
  <si>
    <t>25755</t>
  </si>
  <si>
    <t>ด.ญ.นิอารีนา เจะเย๊ะ</t>
  </si>
  <si>
    <t>https://azizstan.net/student_image/25755.jpg</t>
  </si>
  <si>
    <t>25769</t>
  </si>
  <si>
    <t>ด.ญ.อาลาเวีย หมัดยาดำ</t>
  </si>
  <si>
    <t>https://azizstan.net/student_image/25769.jpg</t>
  </si>
  <si>
    <t>25785</t>
  </si>
  <si>
    <t>ด.ญ.โยวีตา สาและ</t>
  </si>
  <si>
    <t>https://azizstan.net/student_image/25785.jpg</t>
  </si>
  <si>
    <t>25788</t>
  </si>
  <si>
    <t>ด.ญ.อนุสรา สาฟีอีน</t>
  </si>
  <si>
    <t>https://azizstan.net/student_image/25788.jpg</t>
  </si>
  <si>
    <t>25804</t>
  </si>
  <si>
    <t>ด.ญ.ซีรีฮาน อิตำ</t>
  </si>
  <si>
    <t>https://azizstan.net/student_image/25804.jpg</t>
  </si>
  <si>
    <t>25814</t>
  </si>
  <si>
    <t>ด.ญ.นูรคาลิซา หะสีแม</t>
  </si>
  <si>
    <t>https://azizstan.net/student_image/25814.jpg</t>
  </si>
  <si>
    <t>25822</t>
  </si>
  <si>
    <t>ด.ญ.ซาวาตี มะเด็ง</t>
  </si>
  <si>
    <t>https://azizstan.net/student_image/25822.jpg</t>
  </si>
  <si>
    <t>25823</t>
  </si>
  <si>
    <t>ด.ญ.ซัลซะบีล จาเละ</t>
  </si>
  <si>
    <t>https://azizstan.net/student_image/25823.jpg</t>
  </si>
  <si>
    <t>25920</t>
  </si>
  <si>
    <t>ด.ญ.อัลฟา ชายแผะ</t>
  </si>
  <si>
    <t>https://azizstan.net/student_image/25920.jpg</t>
  </si>
  <si>
    <t>25922</t>
  </si>
  <si>
    <t>ด.ญ.นัซนีน มุสอ</t>
  </si>
  <si>
    <t>https://azizstan.net/student_image/25922.jpg</t>
  </si>
  <si>
    <t>25929</t>
  </si>
  <si>
    <t>ด.ญ.นูรซาฮีดะห์ จาเละ</t>
  </si>
  <si>
    <t>https://azizstan.net/student_image/25929.jpg</t>
  </si>
  <si>
    <t>25971</t>
  </si>
  <si>
    <t>ด.ญ.นภสร มุณี</t>
  </si>
  <si>
    <t>https://azizstan.net/student_image/25971.jpg</t>
  </si>
  <si>
    <t>25987</t>
  </si>
  <si>
    <t>ด.ญ.นัจวา ดือรามะ</t>
  </si>
  <si>
    <t>https://azizstan.net/student_image/25987.jpg</t>
  </si>
  <si>
    <t>25990</t>
  </si>
  <si>
    <t>ด.ญ.นูรีฟา ตาเฮ</t>
  </si>
  <si>
    <t>https://azizstan.net/student_image/25990.jpg</t>
  </si>
  <si>
    <t>25994</t>
  </si>
  <si>
    <t>ด.ญ.ก๊อฏรุนนะดา อัมภรัตน์</t>
  </si>
  <si>
    <t>https://azizstan.net/student_image/25994.jpg</t>
  </si>
  <si>
    <t>25395</t>
  </si>
  <si>
    <t>ด.ญ.ธนัชชา สาหมาน</t>
  </si>
  <si>
    <t>ม.2/9</t>
  </si>
  <si>
    <t>อก.1/9</t>
  </si>
  <si>
    <t>https://azizstan.net/student_image/25395.jpg</t>
  </si>
  <si>
    <t>25398</t>
  </si>
  <si>
    <t>ด.ญ.โซเฟีย ยูโซะ</t>
  </si>
  <si>
    <t>https://azizstan.net/student_image/25398.jpg</t>
  </si>
  <si>
    <t>25439</t>
  </si>
  <si>
    <t>ด.ญ.ยัสมี นาคอ</t>
  </si>
  <si>
    <t>https://azizstan.net/student_image/25439.jpg</t>
  </si>
  <si>
    <t>25464</t>
  </si>
  <si>
    <t>ด.ญ.นูรฮัลวา หะยีเยะ</t>
  </si>
  <si>
    <t>https://azizstan.net/student_image/25464.jpg</t>
  </si>
  <si>
    <t>25490</t>
  </si>
  <si>
    <t>ด.ญ.นิอารฟา ยะโกะ</t>
  </si>
  <si>
    <t>https://azizstan.net/student_image/25490.jpg</t>
  </si>
  <si>
    <t>25499</t>
  </si>
  <si>
    <t>ด.ญ.โซฟีย๊ะ สะหะ</t>
  </si>
  <si>
    <t>https://azizstan.net/student_image/25499.jpg</t>
  </si>
  <si>
    <t>25547</t>
  </si>
  <si>
    <t>ด.ญ.นุรนัสรินดา ดอเลาะ</t>
  </si>
  <si>
    <t>https://azizstan.net/student_image/25547.jpg</t>
  </si>
  <si>
    <t>25563</t>
  </si>
  <si>
    <t>ด.ญ.นูรีฮัน สะนอ</t>
  </si>
  <si>
    <t>https://azizstan.net/student_image/25563.jpg</t>
  </si>
  <si>
    <t>25571</t>
  </si>
  <si>
    <t>ด.ญ.ดารูณีย์ เวาะโย๊ะ</t>
  </si>
  <si>
    <t>https://azizstan.net/student_image/25571.jpg</t>
  </si>
  <si>
    <t>25590</t>
  </si>
  <si>
    <t>ด.ญ.ซูฮาดา จักษุณาณ</t>
  </si>
  <si>
    <t>https://azizstan.net/student_image/25590.jpg</t>
  </si>
  <si>
    <t>25597</t>
  </si>
  <si>
    <t>ด.ญ.ซาฮัยฟาร์ ลาเส็น</t>
  </si>
  <si>
    <t>https://azizstan.net/student_image/25597.jpg</t>
  </si>
  <si>
    <t>25604</t>
  </si>
  <si>
    <t>ด.ญ.นูรีตา ปุเตะ</t>
  </si>
  <si>
    <t>https://azizstan.net/student_image/25604.jpg</t>
  </si>
  <si>
    <t>25640</t>
  </si>
  <si>
    <t>ด.ญ.นูรไอนี ยามา</t>
  </si>
  <si>
    <t>https://azizstan.net/student_image/25640.jpg</t>
  </si>
  <si>
    <t>25697</t>
  </si>
  <si>
    <t>ด.ญ.นูรอารีย์ฟา หมะสมาน</t>
  </si>
  <si>
    <t>https://azizstan.net/student_image/25697.jpg</t>
  </si>
  <si>
    <t>25756</t>
  </si>
  <si>
    <t>ด.ญ.นูรไอ เปาะโกะ</t>
  </si>
  <si>
    <t>https://azizstan.net/student_image/25756.jpg</t>
  </si>
  <si>
    <t>25775</t>
  </si>
  <si>
    <t>ด.ญ.นูรฟิรดาว วาแม็ง</t>
  </si>
  <si>
    <t>https://azizstan.net/student_image/25775.jpg</t>
  </si>
  <si>
    <t>25781</t>
  </si>
  <si>
    <t>ด.ญ.โชติกา ขะรีทัดมา</t>
  </si>
  <si>
    <t>https://azizstan.net/student_image/25781.jpg</t>
  </si>
  <si>
    <t>25825</t>
  </si>
  <si>
    <t>ด.ญ.โซเฟีย ดอเลาะ</t>
  </si>
  <si>
    <t>https://azizstan.net/student_image/25825.jpg</t>
  </si>
  <si>
    <t>25828</t>
  </si>
  <si>
    <t>ด.ญ.ตุลฟะฮ์ อาบูวะ</t>
  </si>
  <si>
    <t>https://azizstan.net/student_image/25828.jpg</t>
  </si>
  <si>
    <t>25837</t>
  </si>
  <si>
    <t>ด.ญ.ไอร์ราฏา มามะ</t>
  </si>
  <si>
    <t>https://azizstan.net/student_image/25837.jpg</t>
  </si>
  <si>
    <t>25838</t>
  </si>
  <si>
    <t>ด.ญ.อัสมี ดองอย</t>
  </si>
  <si>
    <t>https://azizstan.net/student_image/25838.jpg</t>
  </si>
  <si>
    <t>25850</t>
  </si>
  <si>
    <t>ด.ญ.นิอัลวานี สะตาปอ</t>
  </si>
  <si>
    <t>https://azizstan.net/student_image/25850.jpg</t>
  </si>
  <si>
    <t>25851</t>
  </si>
  <si>
    <t>ด.ญ.นาดา สลำเหม</t>
  </si>
  <si>
    <t>https://azizstan.net/student_image/25851.jpg</t>
  </si>
  <si>
    <t>25854</t>
  </si>
  <si>
    <t>ด.ญ.อามานี โส๊ะบอ</t>
  </si>
  <si>
    <t>https://azizstan.net/student_image/25854.jpg</t>
  </si>
  <si>
    <t>25867</t>
  </si>
  <si>
    <t>ด.ญ.ฟิฏตรี สาและ</t>
  </si>
  <si>
    <t>https://azizstan.net/student_image/25867.jpg</t>
  </si>
  <si>
    <t>25905</t>
  </si>
  <si>
    <t>ด.ญ.นันธิชา กูลูแว</t>
  </si>
  <si>
    <t>https://azizstan.net/student_image/25905.jpg</t>
  </si>
  <si>
    <t>25930</t>
  </si>
  <si>
    <t>ด.ญ.อารีนา ลาเตะ</t>
  </si>
  <si>
    <t>https://azizstan.net/student_image/25930.jpg</t>
  </si>
  <si>
    <t>25943</t>
  </si>
  <si>
    <t>ด.ญ.ซอฟัร มะหะ</t>
  </si>
  <si>
    <t>https://azizstan.net/student_image/25943.jpg</t>
  </si>
  <si>
    <t>25952</t>
  </si>
  <si>
    <t>ด.ญ.นูรุลฮูดา กาหม๊ะ</t>
  </si>
  <si>
    <t>https://azizstan.net/student_image/25952.jpg</t>
  </si>
  <si>
    <t>25963</t>
  </si>
  <si>
    <t>ด.ญ.ตัสนีม ดอคอ</t>
  </si>
  <si>
    <t>https://azizstan.net/student_image/25963.jpg</t>
  </si>
  <si>
    <t>25998</t>
  </si>
  <si>
    <t>ด.ญ.ฟิรดาว สาหะ</t>
  </si>
  <si>
    <t>https://azizstan.net/student_image/25998.jpg</t>
  </si>
  <si>
    <t>26679</t>
  </si>
  <si>
    <t>ด.ญ.อามาลีน ศิริพิพัฒน์สกุล</t>
  </si>
  <si>
    <t>https://azizstan.net/student_image/26679.jpg</t>
  </si>
  <si>
    <t>25366</t>
  </si>
  <si>
    <t>ด.ญ.ฟาตีเม๊าะ มะลี</t>
  </si>
  <si>
    <t>ม.2/10</t>
  </si>
  <si>
    <t>อก.2/10</t>
  </si>
  <si>
    <t>https://azizstan.net/student_image/25366.jpg</t>
  </si>
  <si>
    <t>25373</t>
  </si>
  <si>
    <t>ด.ญ.นูรุลซูฮัยดา ปลัดมะเสาะ</t>
  </si>
  <si>
    <t>https://azizstan.net/student_image/25373.jpg</t>
  </si>
  <si>
    <t>25378</t>
  </si>
  <si>
    <t>ด.ญ.นูรอน แวดาโอะ</t>
  </si>
  <si>
    <t>https://azizstan.net/student_image/25378.jpg</t>
  </si>
  <si>
    <t>25381</t>
  </si>
  <si>
    <t>ด.ช.อารีฟีร์ มะเจ๊ะแน</t>
  </si>
  <si>
    <t>https://azizstan.net/student_image/25381.jpg</t>
  </si>
  <si>
    <t>25392</t>
  </si>
  <si>
    <t>ด.ญ.นูรบีดายะห์ สาอิ</t>
  </si>
  <si>
    <t>https://azizstan.net/student_image/25392.jpg</t>
  </si>
  <si>
    <t>25393</t>
  </si>
  <si>
    <t>ด.ญ.นูรอีนายะห์ สาอิ</t>
  </si>
  <si>
    <t>https://azizstan.net/student_image/25393.jpg</t>
  </si>
  <si>
    <t>25421</t>
  </si>
  <si>
    <t>ด.ญ.นุรอานีฟา อาแด</t>
  </si>
  <si>
    <t>https://azizstan.net/student_image/25421.jpg</t>
  </si>
  <si>
    <t>25424</t>
  </si>
  <si>
    <t>ด.ญ.ฟัรฮานา ลาแล</t>
  </si>
  <si>
    <t>https://azizstan.net/student_image/25424.jpg</t>
  </si>
  <si>
    <t>25429</t>
  </si>
  <si>
    <t>ด.ช.มูฮัมหมัดรุสลัน เจะสนิ</t>
  </si>
  <si>
    <t>https://azizstan.net/student_image/25429.jpg</t>
  </si>
  <si>
    <t>25440</t>
  </si>
  <si>
    <t>ด.ญ.นูรไฮฟะห์ ดอเล๊าะ</t>
  </si>
  <si>
    <t>https://azizstan.net/student_image/25440.jpg</t>
  </si>
  <si>
    <t>25441</t>
  </si>
  <si>
    <t>ด.ญ.ฮานีฟา อาแว</t>
  </si>
  <si>
    <t>https://azizstan.net/student_image/25441.jpg</t>
  </si>
  <si>
    <t>25442</t>
  </si>
  <si>
    <t>ด.ญ.นูรุลซีกีน เจะซอ</t>
  </si>
  <si>
    <t>https://azizstan.net/student_image/25442.jpg</t>
  </si>
  <si>
    <t>25443</t>
  </si>
  <si>
    <t>ด.ช.ฟาฎิล ยาเด็น</t>
  </si>
  <si>
    <t>https://azizstan.net/student_image/25443.jpg</t>
  </si>
  <si>
    <t>25444</t>
  </si>
  <si>
    <t>ด.ญ.ฮาซานะ ลิบง</t>
  </si>
  <si>
    <t>https://azizstan.net/student_image/25444.jpg</t>
  </si>
  <si>
    <t>25471</t>
  </si>
  <si>
    <t>ด.ญ.อิฟตีนา หนิหลง</t>
  </si>
  <si>
    <t>https://azizstan.net/student_image/25471.jpg</t>
  </si>
  <si>
    <t>25472</t>
  </si>
  <si>
    <t>ด.ญ.นัจญมี สาแม</t>
  </si>
  <si>
    <t>https://azizstan.net/student_image/25472.jpg</t>
  </si>
  <si>
    <t>25495</t>
  </si>
  <si>
    <t>ด.ญ.อัสซิลมีย์ โรมรินทร์</t>
  </si>
  <si>
    <t>https://azizstan.net/student_image/25495.jpg</t>
  </si>
  <si>
    <t>25505</t>
  </si>
  <si>
    <t>ด.ช.มูฮัมหมัดนาบิล ดือราแม</t>
  </si>
  <si>
    <t>https://azizstan.net/student_image/25505.jpg</t>
  </si>
  <si>
    <t>25507</t>
  </si>
  <si>
    <t>ด.ญ.นูรฟาเดียร์ เฮ็ง</t>
  </si>
  <si>
    <t>https://azizstan.net/student_image/25507.jpg</t>
  </si>
  <si>
    <t>25515</t>
  </si>
  <si>
    <t>ด.ญ.นูรบัลกิซ อิสมิง</t>
  </si>
  <si>
    <t>https://azizstan.net/student_image/25515.jpg</t>
  </si>
  <si>
    <t>25555</t>
  </si>
  <si>
    <t>ด.ช.อาฟันดี้ เนื้ออ่อน</t>
  </si>
  <si>
    <t>https://azizstan.net/student_image/25555.jpg</t>
  </si>
  <si>
    <t>25566</t>
  </si>
  <si>
    <t>ด.ญ.ยัสมีย์ บีแต</t>
  </si>
  <si>
    <t>https://azizstan.net/student_image/25566.jpg</t>
  </si>
  <si>
    <t>25572</t>
  </si>
  <si>
    <t>ด.ญ.อารีณีย์ บือราแง</t>
  </si>
  <si>
    <t>https://azizstan.net/student_image/25572.jpg</t>
  </si>
  <si>
    <t>25573</t>
  </si>
  <si>
    <t>ด.ญ.อารีณาร์ บือราแง</t>
  </si>
  <si>
    <t>https://azizstan.net/student_image/25573.jpg</t>
  </si>
  <si>
    <t>25616</t>
  </si>
  <si>
    <t>ด.ญ.นูรมา แวนาฮะ</t>
  </si>
  <si>
    <t>https://azizstan.net/student_image/25616.jpg</t>
  </si>
  <si>
    <t>25642</t>
  </si>
  <si>
    <t>ด.ช.มูฮำมัดเนาฟัล แวนาแว</t>
  </si>
  <si>
    <t>https://azizstan.net/student_image/25642.jpg</t>
  </si>
  <si>
    <t>25764</t>
  </si>
  <si>
    <t>ด.ช.เนรมิตร สังข์จันทร์</t>
  </si>
  <si>
    <t>https://azizstan.net/student_image/25764.jpg</t>
  </si>
  <si>
    <t>25774</t>
  </si>
  <si>
    <t>ด.ญ.เกาซาร์ คามิส</t>
  </si>
  <si>
    <t>https://azizstan.net/student_image/25774.jpg</t>
  </si>
  <si>
    <t>25792</t>
  </si>
  <si>
    <t>ด.ญ.ชารีฟาร์ สามิง</t>
  </si>
  <si>
    <t>https://azizstan.net/student_image/25792.jpg</t>
  </si>
  <si>
    <t>25821</t>
  </si>
  <si>
    <t>ด.ช.มูฮัมมัดนัซรูณ สาแมง</t>
  </si>
  <si>
    <t>https://azizstan.net/student_image/25821.jpg</t>
  </si>
  <si>
    <t>25874</t>
  </si>
  <si>
    <t>ด.ญ.ริฟฮาน ลำเดาะ</t>
  </si>
  <si>
    <t>https://azizstan.net/student_image/25874.jpg</t>
  </si>
  <si>
    <t>25894</t>
  </si>
  <si>
    <t>ด.ญ.วรรณาอีมีน ดือราแม</t>
  </si>
  <si>
    <t>https://azizstan.net/student_image/25894.jpg</t>
  </si>
  <si>
    <t>25915</t>
  </si>
  <si>
    <t>ด.ช.มูฮำหมัดฟุลกอล สาแม</t>
  </si>
  <si>
    <t>https://azizstan.net/student_image/25915.jpg</t>
  </si>
  <si>
    <t>25981</t>
  </si>
  <si>
    <t>ด.ญ.นูรูลฮูดา รอยะ</t>
  </si>
  <si>
    <t>https://azizstan.net/student_image/25981.jpg</t>
  </si>
  <si>
    <t>25360</t>
  </si>
  <si>
    <t>ด.ญ.นัจญ์วา บากา</t>
  </si>
  <si>
    <t>ม.2/11</t>
  </si>
  <si>
    <t>อก.2/11</t>
  </si>
  <si>
    <t>https://azizstan.net/student_image/25360.jpg</t>
  </si>
  <si>
    <t>25362</t>
  </si>
  <si>
    <t>ด.ช.ดาเนียล สุเรรัตน์</t>
  </si>
  <si>
    <t>https://azizstan.net/student_image/25362.jpg</t>
  </si>
  <si>
    <t>25367</t>
  </si>
  <si>
    <t>ด.ญ.อชิรญา วานิ</t>
  </si>
  <si>
    <t>https://azizstan.net/student_image/25367.jpg</t>
  </si>
  <si>
    <t>25377</t>
  </si>
  <si>
    <t>ด.ญ.ซัซวานี สาแม</t>
  </si>
  <si>
    <t>https://azizstan.net/student_image/25377.jpg</t>
  </si>
  <si>
    <t>25404</t>
  </si>
  <si>
    <t>ด.ญ.อัสมะ บาราเฮง</t>
  </si>
  <si>
    <t>https://azizstan.net/student_image/25404.jpg</t>
  </si>
  <si>
    <t>25417</t>
  </si>
  <si>
    <t>ด.ญ.นิคอานีซะห์ บือราเฮง</t>
  </si>
  <si>
    <t>https://azizstan.net/student_image/25417.jpg</t>
  </si>
  <si>
    <t>25423</t>
  </si>
  <si>
    <t>ด.ญ.อารีฟา อับดุลวาฮับ</t>
  </si>
  <si>
    <t>https://azizstan.net/student_image/25423.jpg</t>
  </si>
  <si>
    <t>25456</t>
  </si>
  <si>
    <t>ด.ญ.นูรไอณี สาเมาะ</t>
  </si>
  <si>
    <t>https://azizstan.net/student_image/25456.jpg</t>
  </si>
  <si>
    <t>25457</t>
  </si>
  <si>
    <t>ด.ญ.นุรฮาปีซา การิง</t>
  </si>
  <si>
    <t>https://azizstan.net/student_image/25457.jpg</t>
  </si>
  <si>
    <t>25466</t>
  </si>
  <si>
    <t>ด.ญ.แวอิลฮัม ยาโงะ</t>
  </si>
  <si>
    <t>https://azizstan.net/student_image/25466.jpg</t>
  </si>
  <si>
    <t>25497</t>
  </si>
  <si>
    <t>ด.ญ.อารอฟะห์ ตาเยะ</t>
  </si>
  <si>
    <t>https://azizstan.net/student_image/25497.jpg</t>
  </si>
  <si>
    <t>25500</t>
  </si>
  <si>
    <t>ด.ญ.ญาดา ใบหมัด</t>
  </si>
  <si>
    <t>https://azizstan.net/student_image/25500.jpg</t>
  </si>
  <si>
    <t>25529</t>
  </si>
  <si>
    <t>ด.ช.อารีฟ อาดำ</t>
  </si>
  <si>
    <t>https://azizstan.net/student_image/25529.jpg</t>
  </si>
  <si>
    <t>25542</t>
  </si>
  <si>
    <t>ด.ญ.อามาลีนา สิริเต๊ะ</t>
  </si>
  <si>
    <t>https://azizstan.net/student_image/25542.jpg</t>
  </si>
  <si>
    <t>25551</t>
  </si>
  <si>
    <t>ด.ญ.ฮัลวา ลาเตะ</t>
  </si>
  <si>
    <t>https://azizstan.net/student_image/25551.jpg</t>
  </si>
  <si>
    <t>25583</t>
  </si>
  <si>
    <t>ด.ญ.ซิลมี สะอะ</t>
  </si>
  <si>
    <t>https://azizstan.net/student_image/25583.jpg</t>
  </si>
  <si>
    <t>25623</t>
  </si>
  <si>
    <t>ด.ญ.นัสริน หวังแฉะ</t>
  </si>
  <si>
    <t>https://azizstan.net/student_image/25623.jpg</t>
  </si>
  <si>
    <t>25624</t>
  </si>
  <si>
    <t>ด.ญ.ซูอัยซ์ยาร์ โอล่า</t>
  </si>
  <si>
    <t>https://azizstan.net/student_image/25624.jpg</t>
  </si>
  <si>
    <t>25631</t>
  </si>
  <si>
    <t>ด.ญ.แวรุสนา แวแซ</t>
  </si>
  <si>
    <t>https://azizstan.net/student_image/25631.jpg</t>
  </si>
  <si>
    <t>25635</t>
  </si>
  <si>
    <t>ด.ญ.นิอาเดีย อับดุลวาฮับ</t>
  </si>
  <si>
    <t>https://azizstan.net/student_image/25635.jpg</t>
  </si>
  <si>
    <t>25648</t>
  </si>
  <si>
    <t>ด.ญ.มาสีเตาะ ดอหนิ</t>
  </si>
  <si>
    <t>https://azizstan.net/student_image/25648.jpg</t>
  </si>
  <si>
    <t>25650</t>
  </si>
  <si>
    <t>ด.ญ.อัฟนาน วะจิดี</t>
  </si>
  <si>
    <t>https://azizstan.net/student_image/25650.jpg</t>
  </si>
  <si>
    <t>25671</t>
  </si>
  <si>
    <t>ด.ญ.ฟาติมาอัสมะ ยะนาย</t>
  </si>
  <si>
    <t>https://azizstan.net/student_image/25671.jpg</t>
  </si>
  <si>
    <t>25673</t>
  </si>
  <si>
    <t>ด.ญ.นัสรี อุตส่าห์ราชการ</t>
  </si>
  <si>
    <t>https://azizstan.net/student_image/25673.jpg</t>
  </si>
  <si>
    <t>25675</t>
  </si>
  <si>
    <t>ด.ญ.วารียา จารู</t>
  </si>
  <si>
    <t>https://azizstan.net/student_image/25675.jpg</t>
  </si>
  <si>
    <t>25746</t>
  </si>
  <si>
    <t>ด.ช.ซุฟเฟียน ปาเนาะ</t>
  </si>
  <si>
    <t>https://azizstan.net/student_image/25746.jpg</t>
  </si>
  <si>
    <t>25760</t>
  </si>
  <si>
    <t>ด.ญ.คอดีเยาะ อีแต</t>
  </si>
  <si>
    <t>https://azizstan.net/student_image/25760.jpg</t>
  </si>
  <si>
    <t>25770</t>
  </si>
  <si>
    <t>ด.ช.นิอากิฟ อับดุลวาฮับ</t>
  </si>
  <si>
    <t>https://azizstan.net/student_image/25770.jpg</t>
  </si>
  <si>
    <t>25773</t>
  </si>
  <si>
    <t>ด.ญ.ซีฟ้าอ์ สะมะแอ</t>
  </si>
  <si>
    <t>https://azizstan.net/student_image/25773.jpg</t>
  </si>
  <si>
    <t>25778</t>
  </si>
  <si>
    <t>ด.ช.ซัฟรันต์ แก้วมรกฏ</t>
  </si>
  <si>
    <t>https://azizstan.net/student_image/25778.jpg</t>
  </si>
  <si>
    <t>25779</t>
  </si>
  <si>
    <t>ด.ช.นัซมีย์ บิลละโสย</t>
  </si>
  <si>
    <t>https://azizstan.net/student_image/25779.jpg</t>
  </si>
  <si>
    <t>25861</t>
  </si>
  <si>
    <t>ด.ญ.โรสมีย์ มามะ</t>
  </si>
  <si>
    <t>https://azizstan.net/student_image/25861.jpg</t>
  </si>
  <si>
    <t>25910</t>
  </si>
  <si>
    <t>ด.ช.อิกรอม มะดีเยาะ</t>
  </si>
  <si>
    <t>https://azizstan.net/student_image/25910.jpg</t>
  </si>
  <si>
    <t>25911</t>
  </si>
  <si>
    <t>ด.ญ.ฮานาน หะยีอาแว</t>
  </si>
  <si>
    <t>https://azizstan.net/student_image/25911.jpg</t>
  </si>
  <si>
    <t>25949</t>
  </si>
  <si>
    <t>ด.ช.นัควัต อิสลาม</t>
  </si>
  <si>
    <t>https://azizstan.net/student_image/25949.jpg</t>
  </si>
  <si>
    <t>25966</t>
  </si>
  <si>
    <t>ด.ช.ตะวัน ธานมาศ</t>
  </si>
  <si>
    <t>https://azizstan.net/student_image/25966.jpg</t>
  </si>
  <si>
    <t>25975</t>
  </si>
  <si>
    <t>ด.ญ.นูรุลฮูดา อูเซ็ง</t>
  </si>
  <si>
    <t>https://azizstan.net/student_image/25975.jpg</t>
  </si>
  <si>
    <t>25353</t>
  </si>
  <si>
    <t>ด.ญ.อัยรีณน่า เอี่ยมโสภา</t>
  </si>
  <si>
    <t>ม.2/12</t>
  </si>
  <si>
    <t>อก.2/12</t>
  </si>
  <si>
    <t>https://azizstan.net/student_image/25353.jpg</t>
  </si>
  <si>
    <t>25368</t>
  </si>
  <si>
    <t>ด.ญ.รัยญาณ บือซา</t>
  </si>
  <si>
    <t>https://azizstan.net/student_image/25368.jpg</t>
  </si>
  <si>
    <t>25382</t>
  </si>
  <si>
    <t>ด.ญ.นุรไรฮาน สาเมาะ</t>
  </si>
  <si>
    <t>https://azizstan.net/student_image/25382.jpg</t>
  </si>
  <si>
    <t>25384</t>
  </si>
  <si>
    <t>ด.ญ.นูรฟารีดา หมันล๊ะ</t>
  </si>
  <si>
    <t>https://azizstan.net/student_image/25384.jpg</t>
  </si>
  <si>
    <t>25401</t>
  </si>
  <si>
    <t>ด.ญ.บัลกิส บือราเฮง</t>
  </si>
  <si>
    <t>https://azizstan.net/student_image/25401.jpg</t>
  </si>
  <si>
    <t>25418</t>
  </si>
  <si>
    <t>ด.ญ.ปาริตา หวังแฉะ</t>
  </si>
  <si>
    <t>https://azizstan.net/student_image/25418.jpg</t>
  </si>
  <si>
    <t>25422</t>
  </si>
  <si>
    <t>ด.ญ.นิรุสนา ดาโอะ</t>
  </si>
  <si>
    <t>https://azizstan.net/student_image/25422.jpg</t>
  </si>
  <si>
    <t>25426</t>
  </si>
  <si>
    <t>ด.ญ.บุรลันตีย์ กูนา</t>
  </si>
  <si>
    <t>https://azizstan.net/student_image/25426.jpg</t>
  </si>
  <si>
    <t>25470</t>
  </si>
  <si>
    <t>ด.ญ.นุรฟิรดาวส์ แวอุมา</t>
  </si>
  <si>
    <t>https://azizstan.net/student_image/25470.jpg</t>
  </si>
  <si>
    <t>25474</t>
  </si>
  <si>
    <t>ด.ญ.วรรณิษา แก้วกุ้ง</t>
  </si>
  <si>
    <t>https://azizstan.net/student_image/25474.jpg</t>
  </si>
  <si>
    <t>25514</t>
  </si>
  <si>
    <t>ด.ญ.สารีนา สาเลง</t>
  </si>
  <si>
    <t>https://azizstan.net/student_image/25514.jpg</t>
  </si>
  <si>
    <t>25518</t>
  </si>
  <si>
    <t>ด.ญ.อารีน่า บือแน</t>
  </si>
  <si>
    <t>https://azizstan.net/student_image/25518.jpg</t>
  </si>
  <si>
    <t>25519</t>
  </si>
  <si>
    <t>ด.ญ.ซัลซาบีล บาโด</t>
  </si>
  <si>
    <t>https://azizstan.net/student_image/25519.jpg</t>
  </si>
  <si>
    <t>25537</t>
  </si>
  <si>
    <t>ด.ญ.ฮานีฟะห์ ตาเยะ</t>
  </si>
  <si>
    <t>https://azizstan.net/student_image/25537.jpg</t>
  </si>
  <si>
    <t>25538</t>
  </si>
  <si>
    <t>ด.ญ.ซัลวาร์ ยะมะแซ</t>
  </si>
  <si>
    <t>https://azizstan.net/student_image/25538.jpg</t>
  </si>
  <si>
    <t>25552</t>
  </si>
  <si>
    <t>ด.ญ.นัสรีน หะยีมะแซ</t>
  </si>
  <si>
    <t>https://azizstan.net/student_image/25552.jpg</t>
  </si>
  <si>
    <t>25559</t>
  </si>
  <si>
    <t>ด.ญ.ฟาดา สนิตา</t>
  </si>
  <si>
    <t>https://azizstan.net/student_image/25559.jpg</t>
  </si>
  <si>
    <t>25561</t>
  </si>
  <si>
    <t>ด.ญ.นูรีน ดอเลาะ</t>
  </si>
  <si>
    <t>https://azizstan.net/student_image/25561.jpg</t>
  </si>
  <si>
    <t>25568</t>
  </si>
  <si>
    <t>ด.ญ.นูรนาดา สาและ</t>
  </si>
  <si>
    <t>https://azizstan.net/student_image/25568.jpg</t>
  </si>
  <si>
    <t>25577</t>
  </si>
  <si>
    <t>ด.ญ.อิสรา เมโส</t>
  </si>
  <si>
    <t>https://azizstan.net/student_image/25577.jpg</t>
  </si>
  <si>
    <t>25592</t>
  </si>
  <si>
    <t>ด.ญ.ตัสนีม ดาฮิม</t>
  </si>
  <si>
    <t>https://azizstan.net/student_image/25592.jpg</t>
  </si>
  <si>
    <t>25618</t>
  </si>
  <si>
    <t>ด.ญ.นูรุลฮูดา สะแม</t>
  </si>
  <si>
    <t>https://azizstan.net/student_image/25618.jpg</t>
  </si>
  <si>
    <t>25644</t>
  </si>
  <si>
    <t>ด.ญ.อัมณีญา เลาะมัน</t>
  </si>
  <si>
    <t>https://azizstan.net/student_image/25644.jpg</t>
  </si>
  <si>
    <t>25663</t>
  </si>
  <si>
    <t>ด.ญ.ร๊อฎวา อับดุลซอมะ</t>
  </si>
  <si>
    <t>https://azizstan.net/student_image/25663.jpg</t>
  </si>
  <si>
    <t>25677</t>
  </si>
  <si>
    <t>ด.ญ.นุรอัยนาบีลา เจะและ</t>
  </si>
  <si>
    <t>https://azizstan.net/student_image/25677.jpg</t>
  </si>
  <si>
    <t>25706</t>
  </si>
  <si>
    <t>ด.ญ.ฟัรฮานา สิดิ</t>
  </si>
  <si>
    <t>https://azizstan.net/student_image/25706.jpg</t>
  </si>
  <si>
    <t>25708</t>
  </si>
  <si>
    <t>ด.ญ.ฟีรเดาซ์ ยูโซะ</t>
  </si>
  <si>
    <t>https://azizstan.net/student_image/25708.jpg</t>
  </si>
  <si>
    <t>25768</t>
  </si>
  <si>
    <t>ด.ญ.อิลฮัม บือแน</t>
  </si>
  <si>
    <t>https://azizstan.net/student_image/25768.jpg</t>
  </si>
  <si>
    <t>25809</t>
  </si>
  <si>
    <t>ด.ญ.นูรอามีนีน ดาหมิ</t>
  </si>
  <si>
    <t>https://azizstan.net/student_image/25809.jpg</t>
  </si>
  <si>
    <t>25827</t>
  </si>
  <si>
    <t>ด.ญ.อาดีละห์ มาฮะ</t>
  </si>
  <si>
    <t>https://azizstan.net/student_image/25827.jpg</t>
  </si>
  <si>
    <t>25882</t>
  </si>
  <si>
    <t>ด.ญ.ชนิสรา มิน่าวัง</t>
  </si>
  <si>
    <t>https://azizstan.net/student_image/25882.jpg</t>
  </si>
  <si>
    <t>25995</t>
  </si>
  <si>
    <t>ด.ญ.จัสมีน ใบตาเย๊ะ</t>
  </si>
  <si>
    <t>https://azizstan.net/student_image/25995.jpg</t>
  </si>
  <si>
    <t>24592</t>
  </si>
  <si>
    <t>ด.ช.อิคลาส บาฮอ</t>
  </si>
  <si>
    <t>ม.3/1</t>
  </si>
  <si>
    <t>อก.2/1</t>
  </si>
  <si>
    <t>https://azizstan.net/student_image/24592.jpg</t>
  </si>
  <si>
    <t>24618</t>
  </si>
  <si>
    <t>ด.ช.อิมรอน อามัด</t>
  </si>
  <si>
    <t>https://azizstan.net/student_image/24618.jpg</t>
  </si>
  <si>
    <t>24622</t>
  </si>
  <si>
    <t>ด.ช.อาร์ฟาน ยุโซ๊ะ</t>
  </si>
  <si>
    <t>https://azizstan.net/student_image/24622.jpg</t>
  </si>
  <si>
    <t>24650</t>
  </si>
  <si>
    <t>ด.ช.มูฮำหมัดซากีร ดาหมิ</t>
  </si>
  <si>
    <t>https://azizstan.net/student_image/24650.jpg</t>
  </si>
  <si>
    <t>24663</t>
  </si>
  <si>
    <t>ด.ช.อานัสรี มะลี</t>
  </si>
  <si>
    <t>https://azizstan.net/student_image/24663.jpg</t>
  </si>
  <si>
    <t>24664</t>
  </si>
  <si>
    <t>ด.ช.ลุตฟีย์ มะซง</t>
  </si>
  <si>
    <t>https://azizstan.net/student_image/24664.jpg</t>
  </si>
  <si>
    <t>24696</t>
  </si>
  <si>
    <t>ด.ช.ฮัสบุลเลาะห์ ซา</t>
  </si>
  <si>
    <t>https://azizstan.net/student_image/24696.jpg</t>
  </si>
  <si>
    <t>24706</t>
  </si>
  <si>
    <t>ด.ช.ฮาริซ สาแล๊ะหมิน</t>
  </si>
  <si>
    <t>https://azizstan.net/student_image/24706.jpg</t>
  </si>
  <si>
    <t>24737</t>
  </si>
  <si>
    <t>ด.ช.มะกอเซ็ง ลาเต๊ะ</t>
  </si>
  <si>
    <t>https://azizstan.net/student_image/24737.jpg</t>
  </si>
  <si>
    <t>24767</t>
  </si>
  <si>
    <t>ด.ช.หนิฮะซะนัย หลงหนิ</t>
  </si>
  <si>
    <t>https://azizstan.net/student_image/24767.jpg</t>
  </si>
  <si>
    <t>24800</t>
  </si>
  <si>
    <t>ด.ช.อนัส สาและ</t>
  </si>
  <si>
    <t>https://azizstan.net/student_image/24800.jpg</t>
  </si>
  <si>
    <t>24817</t>
  </si>
  <si>
    <t>ด.ช.อิลฮัม ลือแบเต๊ะ</t>
  </si>
  <si>
    <t>https://azizstan.net/student_image/24817.jpg</t>
  </si>
  <si>
    <t>24819</t>
  </si>
  <si>
    <t>ด.ช.อัสนาวี สะอุ</t>
  </si>
  <si>
    <t>https://azizstan.net/student_image/24819.jpg</t>
  </si>
  <si>
    <t>https://azizstan.net/student_image/24864.jpg</t>
  </si>
  <si>
    <t>24881</t>
  </si>
  <si>
    <t>ด.ช.ฟารูกอาดัม มิน่าวัง</t>
  </si>
  <si>
    <t>https://azizstan.net/student_image/24881.jpg</t>
  </si>
  <si>
    <t>24902</t>
  </si>
  <si>
    <t>ด.ช.บัดรูน ยะโยะ</t>
  </si>
  <si>
    <t>https://azizstan.net/student_image/24902.jpg</t>
  </si>
  <si>
    <t>24920</t>
  </si>
  <si>
    <t>ด.ช.ซัยนุดดีน สะอะ</t>
  </si>
  <si>
    <t>https://azizstan.net/student_image/24920.jpg</t>
  </si>
  <si>
    <t>24925</t>
  </si>
  <si>
    <t>ด.ช.อานัส จิตรศิริ</t>
  </si>
  <si>
    <t>https://azizstan.net/student_image/24925.jpg</t>
  </si>
  <si>
    <t>24939</t>
  </si>
  <si>
    <t>ด.ช.สุลัยมาน ดอเลาะโง</t>
  </si>
  <si>
    <t>https://azizstan.net/student_image/24939.jpg</t>
  </si>
  <si>
    <t>24977</t>
  </si>
  <si>
    <t>ด.ช.อานัส ลูกหยี</t>
  </si>
  <si>
    <t>https://azizstan.net/student_image/24977.jpg</t>
  </si>
  <si>
    <t>24984</t>
  </si>
  <si>
    <t>ด.ช.แวฮาซัน หะยีแวบูละ</t>
  </si>
  <si>
    <t>https://azizstan.net/student_image/24984.jpg</t>
  </si>
  <si>
    <t>25017</t>
  </si>
  <si>
    <t>ด.ช.มูฮัมหมัดซัยฟู แขวง</t>
  </si>
  <si>
    <t>https://azizstan.net/student_image/25017.jpg</t>
  </si>
  <si>
    <t>25049</t>
  </si>
  <si>
    <t>ด.ช.มูฮำหมัดบัซรี เปาะเงาะ</t>
  </si>
  <si>
    <t>https://azizstan.net/student_image/25049.jpg</t>
  </si>
  <si>
    <t>25063</t>
  </si>
  <si>
    <t>ด.ช.มาฮิร ยูโซ๊ะ</t>
  </si>
  <si>
    <t>https://azizstan.net/student_image/25063.jpg</t>
  </si>
  <si>
    <t>25094</t>
  </si>
  <si>
    <t>ด.ช.มูฮัมหมัดไซฟูน สาและ</t>
  </si>
  <si>
    <t>https://azizstan.net/student_image/25094.jpg</t>
  </si>
  <si>
    <t>25101</t>
  </si>
  <si>
    <t>ด.ช.บัดรี่ ตาเห</t>
  </si>
  <si>
    <t>https://azizstan.net/student_image/25101.jpg</t>
  </si>
  <si>
    <t>25114</t>
  </si>
  <si>
    <t>ด.ช.รออีฟ ดือราแม</t>
  </si>
  <si>
    <t>https://azizstan.net/student_image/25114.jpg</t>
  </si>
  <si>
    <t>25130</t>
  </si>
  <si>
    <t>ด.ช.ฟุรกอน ดอเลาะ</t>
  </si>
  <si>
    <t>https://azizstan.net/student_image/25130.jpg</t>
  </si>
  <si>
    <t>25141</t>
  </si>
  <si>
    <t>ด.ช.ฟาริส เหมมา</t>
  </si>
  <si>
    <t>https://azizstan.net/student_image/25141.jpg</t>
  </si>
  <si>
    <t>25177</t>
  </si>
  <si>
    <t>ด.ช.มูฮำหมัดสุกรี สาแม</t>
  </si>
  <si>
    <t>https://azizstan.net/student_image/25177.jpg</t>
  </si>
  <si>
    <t>25182</t>
  </si>
  <si>
    <t>ด.ช.มูฮัมหมัดอานาวี หะ</t>
  </si>
  <si>
    <t>https://azizstan.net/student_image/25182.jpg</t>
  </si>
  <si>
    <t>25190</t>
  </si>
  <si>
    <t>ด.ช.ซีดิกร์ อาแด</t>
  </si>
  <si>
    <t>https://azizstan.net/student_image/25190.jpg</t>
  </si>
  <si>
    <t>25210</t>
  </si>
  <si>
    <t>ด.ช.ซัมอูนล์ สาและ</t>
  </si>
  <si>
    <t>https://azizstan.net/student_image/25210.jpg</t>
  </si>
  <si>
    <t>25244</t>
  </si>
  <si>
    <t>ด.ช.อัฟนัน ดามะยะ</t>
  </si>
  <si>
    <t>https://azizstan.net/student_image/25244.jpg</t>
  </si>
  <si>
    <t>25258</t>
  </si>
  <si>
    <t>ด.ช.นิอาฟานดี ดอเลาะ</t>
  </si>
  <si>
    <t>https://azizstan.net/student_image/25258.jpg</t>
  </si>
  <si>
    <t>25310</t>
  </si>
  <si>
    <t>ด.ช.ฟาริก ดอเลาะ</t>
  </si>
  <si>
    <t>https://azizstan.net/student_image/25310.jpg</t>
  </si>
  <si>
    <t>25313</t>
  </si>
  <si>
    <t>ด.ช.ซรี อาลี</t>
  </si>
  <si>
    <t>https://azizstan.net/student_image/25313.jpg</t>
  </si>
  <si>
    <t>25314</t>
  </si>
  <si>
    <t>ด.ช.แวฟุรกอน ยูโซะ</t>
  </si>
  <si>
    <t>https://azizstan.net/student_image/25314.jpg</t>
  </si>
  <si>
    <t>25329</t>
  </si>
  <si>
    <t>ด.ช.ฮานาฟีย์ วาเตะ</t>
  </si>
  <si>
    <t>https://azizstan.net/student_image/25329.jpg</t>
  </si>
  <si>
    <t>https://azizstan.net/student_image/25865.jpg</t>
  </si>
  <si>
    <t>24602</t>
  </si>
  <si>
    <t>ด.ญ.นูรฮัลฟารา มะมิง</t>
  </si>
  <si>
    <t>ม.3/2</t>
  </si>
  <si>
    <t>อก.2/2</t>
  </si>
  <si>
    <t>https://azizstan.net/student_image/24602.jpg</t>
  </si>
  <si>
    <t>24656</t>
  </si>
  <si>
    <t>ด.ญ.อัสมา จิสา</t>
  </si>
  <si>
    <t>https://azizstan.net/student_image/24656.jpg</t>
  </si>
  <si>
    <t>24675</t>
  </si>
  <si>
    <t>ด.ญ.นูรฮัยรา หะยีเยะ</t>
  </si>
  <si>
    <t>https://azizstan.net/student_image/24675.jpg</t>
  </si>
  <si>
    <t>24681</t>
  </si>
  <si>
    <t>ด.ญ.นูรซาซ่า แวมายอ</t>
  </si>
  <si>
    <t>https://azizstan.net/student_image/24681.jpg</t>
  </si>
  <si>
    <t>24689</t>
  </si>
  <si>
    <t>ด.ญ.นัสรีน มิเด</t>
  </si>
  <si>
    <t>https://azizstan.net/student_image/24689.jpg</t>
  </si>
  <si>
    <t>24705</t>
  </si>
  <si>
    <t>ด.ญ.ซัลมีลา นามายัม</t>
  </si>
  <si>
    <t>https://azizstan.net/student_image/24705.jpg</t>
  </si>
  <si>
    <t>24732</t>
  </si>
  <si>
    <t>ด.ญ.กัฟฟานี อาซ่อง</t>
  </si>
  <si>
    <t>https://azizstan.net/student_image/24732.jpg</t>
  </si>
  <si>
    <t>24735</t>
  </si>
  <si>
    <t>ด.ญ.นิสรีน หมันหมู้</t>
  </si>
  <si>
    <t>https://azizstan.net/student_image/24735.jpg</t>
  </si>
  <si>
    <t>24736</t>
  </si>
  <si>
    <t>ด.ญ.วรัญญา จิอู๋</t>
  </si>
  <si>
    <t>https://azizstan.net/student_image/24736.jpg</t>
  </si>
  <si>
    <t>24753</t>
  </si>
  <si>
    <t>ด.ญ.นูรูลฮูดา สากา</t>
  </si>
  <si>
    <t>https://azizstan.net/student_image/24753.jpg</t>
  </si>
  <si>
    <t>24754</t>
  </si>
  <si>
    <t>ด.ญ.กมลกาญจน์ ทองรอด</t>
  </si>
  <si>
    <t>https://azizstan.net/student_image/24754.jpg</t>
  </si>
  <si>
    <t>24798</t>
  </si>
  <si>
    <t>ด.ญ.นิซัรวาน สามะอาลี</t>
  </si>
  <si>
    <t>https://azizstan.net/student_image/24798.jpg</t>
  </si>
  <si>
    <t>24801</t>
  </si>
  <si>
    <t>ด.ญ.นิยัสมีณ นิเฮ็ง</t>
  </si>
  <si>
    <t>https://azizstan.net/student_image/24801.jpg</t>
  </si>
  <si>
    <t>24844</t>
  </si>
  <si>
    <t>ด.ญ.ฮัสนา อับดุลลี</t>
  </si>
  <si>
    <t>https://azizstan.net/student_image/24844.jpg</t>
  </si>
  <si>
    <t>24845</t>
  </si>
  <si>
    <t>ด.ญ.นาดีเราะ หมะสาเม๊าะ</t>
  </si>
  <si>
    <t>https://azizstan.net/student_image/24845.jpg</t>
  </si>
  <si>
    <t>24848</t>
  </si>
  <si>
    <t>ด.ญ.รอซีกีน มาเละ</t>
  </si>
  <si>
    <t>https://azizstan.net/student_image/24848.jpg</t>
  </si>
  <si>
    <t>24856</t>
  </si>
  <si>
    <t>ด.ญ.กรกมล โพธิ์อินทร์</t>
  </si>
  <si>
    <t>https://azizstan.net/student_image/24856.jpg</t>
  </si>
  <si>
    <t>24860</t>
  </si>
  <si>
    <t>ด.ญ.อาดีลา สาและ</t>
  </si>
  <si>
    <t>https://azizstan.net/student_image/24860.jpg</t>
  </si>
  <si>
    <t>24951</t>
  </si>
  <si>
    <t>ด.ญ.นูฮา บือราเฮง</t>
  </si>
  <si>
    <t>https://azizstan.net/student_image/24951.jpg</t>
  </si>
  <si>
    <t>24982</t>
  </si>
  <si>
    <t>ด.ญ.ปวีณ์นุช คงสมคิด</t>
  </si>
  <si>
    <t>https://azizstan.net/student_image/24982.jpg</t>
  </si>
  <si>
    <t>25001</t>
  </si>
  <si>
    <t>ด.ญ.ฟาตอนะอ์ ศรีน้อย</t>
  </si>
  <si>
    <t>https://azizstan.net/student_image/25001.jpg</t>
  </si>
  <si>
    <t>25005</t>
  </si>
  <si>
    <t>ด.ญ.อัสวามี โต๊ะสอ</t>
  </si>
  <si>
    <t>https://azizstan.net/student_image/25005.jpg</t>
  </si>
  <si>
    <t>25022</t>
  </si>
  <si>
    <t>ด.ญ.สุกัณยา หะยีสาแม</t>
  </si>
  <si>
    <t>https://azizstan.net/student_image/25022.jpg</t>
  </si>
  <si>
    <t>25091</t>
  </si>
  <si>
    <t>ด.ญ.ฟาตีฮะฮ โพธิ์ศรี</t>
  </si>
  <si>
    <t>https://azizstan.net/student_image/25091.jpg</t>
  </si>
  <si>
    <t>25123</t>
  </si>
  <si>
    <t>ด.ญ.อัฟดีนา วาแม็ง</t>
  </si>
  <si>
    <t>https://azizstan.net/student_image/25123.jpg</t>
  </si>
  <si>
    <t>25145</t>
  </si>
  <si>
    <t>ด.ญ.ซาฟีกา สมสะ</t>
  </si>
  <si>
    <t>https://azizstan.net/student_image/25145.jpg</t>
  </si>
  <si>
    <t>25159</t>
  </si>
  <si>
    <t>ด.ญ.ฮูดา อธิชากุล</t>
  </si>
  <si>
    <t>https://azizstan.net/student_image/25159.jpg</t>
  </si>
  <si>
    <t>25163</t>
  </si>
  <si>
    <t>ด.ญ.นูรีดา ใบโสะดำ</t>
  </si>
  <si>
    <t>https://azizstan.net/student_image/25163.jpg</t>
  </si>
  <si>
    <t>25166</t>
  </si>
  <si>
    <t>ด.ญ.ฮาสบูนา เจ๊ะอามะ</t>
  </si>
  <si>
    <t>https://azizstan.net/student_image/25166.jpg</t>
  </si>
  <si>
    <t>25186</t>
  </si>
  <si>
    <t>ด.ญ.วานิดา สูดี</t>
  </si>
  <si>
    <t>https://azizstan.net/student_image/25186.jpg</t>
  </si>
  <si>
    <t>25193</t>
  </si>
  <si>
    <t>ด.ญ.สริญญารัตน์ ตอลอ</t>
  </si>
  <si>
    <t>https://azizstan.net/student_image/25193.jpg</t>
  </si>
  <si>
    <t>25196</t>
  </si>
  <si>
    <t>ด.ญ.โนรียา สุทธิ</t>
  </si>
  <si>
    <t>https://azizstan.net/student_image/25196.jpg</t>
  </si>
  <si>
    <t>25197</t>
  </si>
  <si>
    <t>ด.ญ.นัจญ์วา ยีอาแว</t>
  </si>
  <si>
    <t>https://azizstan.net/student_image/25197.jpg</t>
  </si>
  <si>
    <t>25215</t>
  </si>
  <si>
    <t>ด.ญ.นาซีบะฮ์ ทิ้งเหม</t>
  </si>
  <si>
    <t>https://azizstan.net/student_image/25215.jpg</t>
  </si>
  <si>
    <t>25238</t>
  </si>
  <si>
    <t>ด.ญ.นิชานันท์ บือราเฮง</t>
  </si>
  <si>
    <t>https://azizstan.net/student_image/25238.jpg</t>
  </si>
  <si>
    <t>25249</t>
  </si>
  <si>
    <t>ด.ญ.นาตาชา เงาะ</t>
  </si>
  <si>
    <t>https://azizstan.net/student_image/25249.jpg</t>
  </si>
  <si>
    <t>25252</t>
  </si>
  <si>
    <t>ด.ญ.นิฮาซานะห์ ยามา</t>
  </si>
  <si>
    <t>https://azizstan.net/student_image/25252.jpg</t>
  </si>
  <si>
    <t>25257</t>
  </si>
  <si>
    <t>ด.ญ.ซาฟีรา ตาเยะ</t>
  </si>
  <si>
    <t>https://azizstan.net/student_image/25257.jpg</t>
  </si>
  <si>
    <t>25322</t>
  </si>
  <si>
    <t>ด.ญ.สุวรรณนัดดา มะเส็น</t>
  </si>
  <si>
    <t>https://azizstan.net/student_image/25322.jpg</t>
  </si>
  <si>
    <t>25330</t>
  </si>
  <si>
    <t>ด.ญ.ต่วนสุไวดา แวมะ</t>
  </si>
  <si>
    <t>https://azizstan.net/student_image/25330.jpg</t>
  </si>
  <si>
    <t>25349</t>
  </si>
  <si>
    <t>ด.ญ.มารีน่า มามะ</t>
  </si>
  <si>
    <t>https://azizstan.net/student_image/25349.jpg</t>
  </si>
  <si>
    <t>24608</t>
  </si>
  <si>
    <t>ด.ช.ตัรมีซี สะแลแม</t>
  </si>
  <si>
    <t>ม.3/3</t>
  </si>
  <si>
    <t>อก.2/3</t>
  </si>
  <si>
    <t>https://azizstan.net/student_image/24608.jpg</t>
  </si>
  <si>
    <t>24615</t>
  </si>
  <si>
    <t>ด.ช.บัดวี ยูโซ๊ะ</t>
  </si>
  <si>
    <t>https://azizstan.net/student_image/24615.jpg</t>
  </si>
  <si>
    <t>24665</t>
  </si>
  <si>
    <t>ด.ช.ตามีซี่ แวกะจิ</t>
  </si>
  <si>
    <t>อก.3/19</t>
  </si>
  <si>
    <t>https://azizstan.net/student_image/24665.jpg</t>
  </si>
  <si>
    <t>24666</t>
  </si>
  <si>
    <t>ด.ช.นิฟะฮฺมี อาแว</t>
  </si>
  <si>
    <t>https://azizstan.net/student_image/24666.jpg</t>
  </si>
  <si>
    <t>24687</t>
  </si>
  <si>
    <t>ด.ช.อัฟนันร์ เกาะแกะ</t>
  </si>
  <si>
    <t>https://azizstan.net/student_image/24687.jpg</t>
  </si>
  <si>
    <t>24700</t>
  </si>
  <si>
    <t>ด.ช.กูอิลยัส หนิจิ</t>
  </si>
  <si>
    <t>https://azizstan.net/student_image/24700.jpg</t>
  </si>
  <si>
    <t>24768</t>
  </si>
  <si>
    <t>ด.ช.หนินายูวา หลงหนิ</t>
  </si>
  <si>
    <t>https://azizstan.net/student_image/24768.jpg</t>
  </si>
  <si>
    <t>24818</t>
  </si>
  <si>
    <t>ด.ช.ซายดี อูสมัน</t>
  </si>
  <si>
    <t>https://azizstan.net/student_image/24818.jpg</t>
  </si>
  <si>
    <t>24834</t>
  </si>
  <si>
    <t>ด.ช.วันซอฟฟาร ตูหยง</t>
  </si>
  <si>
    <t>https://azizstan.net/student_image/24834.jpg</t>
  </si>
  <si>
    <t>24835</t>
  </si>
  <si>
    <t>ด.ช.นิอิลซาน ลาเต๊ะ</t>
  </si>
  <si>
    <t>https://azizstan.net/student_image/24835.jpg</t>
  </si>
  <si>
    <t>24866</t>
  </si>
  <si>
    <t>ด.ช.ชามิล ตาเยะ</t>
  </si>
  <si>
    <t>https://azizstan.net/student_image/24866.jpg</t>
  </si>
  <si>
    <t>24908</t>
  </si>
  <si>
    <t>ด.ช.ซูฟียูดีน ยงหมะเกะ</t>
  </si>
  <si>
    <t>https://azizstan.net/student_image/24908.jpg</t>
  </si>
  <si>
    <t>24912</t>
  </si>
  <si>
    <t>ด.ช.นิฮานาฟี หลงสะ</t>
  </si>
  <si>
    <t>https://azizstan.net/student_image/24912.jpg</t>
  </si>
  <si>
    <t>24916</t>
  </si>
  <si>
    <t>ด.ช.ฟัยรุซ มะ</t>
  </si>
  <si>
    <t>https://azizstan.net/student_image/24916.jpg</t>
  </si>
  <si>
    <t>24979</t>
  </si>
  <si>
    <t>ด.ช.บูรพา น้อยดี</t>
  </si>
  <si>
    <t>https://azizstan.net/student_image/24979.jpg</t>
  </si>
  <si>
    <t>24992</t>
  </si>
  <si>
    <t>ด.ช.อับดุลเลาะ สะมะแอ</t>
  </si>
  <si>
    <t>https://azizstan.net/student_image/24992.jpg</t>
  </si>
  <si>
    <t>24993</t>
  </si>
  <si>
    <t>ด.ช.มูหมัดยูกี สาเม๊าะ</t>
  </si>
  <si>
    <t>https://azizstan.net/student_image/24993.jpg</t>
  </si>
  <si>
    <t>24996</t>
  </si>
  <si>
    <t>ด.ช.อารีฟ ยีตาเห</t>
  </si>
  <si>
    <t>https://azizstan.net/student_image/24996.jpg</t>
  </si>
  <si>
    <t>25014</t>
  </si>
  <si>
    <t>ด.ช.อัฟดอล บาเหม</t>
  </si>
  <si>
    <t>https://azizstan.net/student_image/25014.jpg</t>
  </si>
  <si>
    <t>25053</t>
  </si>
  <si>
    <t>ด.ช.นัสรู อูมา</t>
  </si>
  <si>
    <t>https://azizstan.net/student_image/25053.jpg</t>
  </si>
  <si>
    <t>25062</t>
  </si>
  <si>
    <t>ด.ช.อิดริษ ซา</t>
  </si>
  <si>
    <t>https://azizstan.net/student_image/25062.jpg</t>
  </si>
  <si>
    <t>25064</t>
  </si>
  <si>
    <t>ด.ช.ซัยรุดดีน สะมะ</t>
  </si>
  <si>
    <t>https://azizstan.net/student_image/25064.jpg</t>
  </si>
  <si>
    <t>25070</t>
  </si>
  <si>
    <t>ด.ช.ฟาเดล สาและ</t>
  </si>
  <si>
    <t>https://azizstan.net/student_image/25070.jpg</t>
  </si>
  <si>
    <t>25092</t>
  </si>
  <si>
    <t>ด.ช.ปิติรัตน์ ดอเลาะ</t>
  </si>
  <si>
    <t>https://azizstan.net/student_image/25092.jpg</t>
  </si>
  <si>
    <t>25099</t>
  </si>
  <si>
    <t>ด.ช.ไฟซอล สีบู</t>
  </si>
  <si>
    <t>https://azizstan.net/student_image/25099.jpg</t>
  </si>
  <si>
    <t>25118</t>
  </si>
  <si>
    <t>ด.ช.ซุบฮาน มะแซ</t>
  </si>
  <si>
    <t>https://azizstan.net/student_image/25118.jpg</t>
  </si>
  <si>
    <t>25131</t>
  </si>
  <si>
    <t>ด.ช.ไบฮากิล ดอเลาะ</t>
  </si>
  <si>
    <t>https://azizstan.net/student_image/25131.jpg</t>
  </si>
  <si>
    <t>25132</t>
  </si>
  <si>
    <t>ด.ช.ดาริส กามาสี</t>
  </si>
  <si>
    <t>https://azizstan.net/student_image/25132.jpg</t>
  </si>
  <si>
    <t>25181</t>
  </si>
  <si>
    <t>ด.ช.ซาบีล ลาเต๊ะ</t>
  </si>
  <si>
    <t>https://azizstan.net/student_image/25181.jpg</t>
  </si>
  <si>
    <t>25997</t>
  </si>
  <si>
    <t>ด.ช.อิบรอเหม ลือแมสาและ</t>
  </si>
  <si>
    <t>https://azizstan.net/student_image/25997.jpg</t>
  </si>
  <si>
    <t>26006</t>
  </si>
  <si>
    <t>ด.ช.ศุภวัตน์ บาหมัด</t>
  </si>
  <si>
    <t>https://azizstan.net/student_image/26006.jpg</t>
  </si>
  <si>
    <t>26140</t>
  </si>
  <si>
    <t>ด.ช.ธนพนธ์ ไชยลักษณ์</t>
  </si>
  <si>
    <t>https://azizstan.net/student_image/26140.jpg</t>
  </si>
  <si>
    <t>26247</t>
  </si>
  <si>
    <t>ด.ช.มูฮัมหมัดเตาฟีร อีปง</t>
  </si>
  <si>
    <t>https://azizstan.net/student_image/26247.jpg</t>
  </si>
  <si>
    <t>26250</t>
  </si>
  <si>
    <t>ด.ช.ณัฐภัค ดาหลาย</t>
  </si>
  <si>
    <t>https://azizstan.net/student_image/26250.jpg</t>
  </si>
  <si>
    <t>26494</t>
  </si>
  <si>
    <t>ด.ช.มัรวาน สะอะสาฆอ</t>
  </si>
  <si>
    <t>https://azizstan.net/student_image/26494.jpg</t>
  </si>
  <si>
    <t>26588</t>
  </si>
  <si>
    <t>ด.ช.ฟาดูอาร์ กามาอูเซ็ง</t>
  </si>
  <si>
    <t>https://azizstan.net/student_image/26588.jpg</t>
  </si>
  <si>
    <t>26589</t>
  </si>
  <si>
    <t>ด.ช.อิรฟาน กอและ</t>
  </si>
  <si>
    <t>https://azizstan.net/student_image/26589.jpg</t>
  </si>
  <si>
    <t>24161</t>
  </si>
  <si>
    <t>นายมูฮัมหมัดนัสรูณ อีบาราเฮง</t>
  </si>
  <si>
    <t>ม.3/4</t>
  </si>
  <si>
    <t>อก.2/4</t>
  </si>
  <si>
    <t>https://azizstan.net/student_image/24161.jpg</t>
  </si>
  <si>
    <t>24619</t>
  </si>
  <si>
    <t>ด.ช.รอมฎอน เจะปอ</t>
  </si>
  <si>
    <t>https://azizstan.net/student_image/24619.jpg</t>
  </si>
  <si>
    <t>24742</t>
  </si>
  <si>
    <t>ด.ช.รอมฎอนซูไลมาน ดอยี</t>
  </si>
  <si>
    <t>https://azizstan.net/student_image/24742.jpg</t>
  </si>
  <si>
    <t>24759</t>
  </si>
  <si>
    <t>ด.ช.มูฮัมหมัดริฎวาน กูวิง</t>
  </si>
  <si>
    <t>https://azizstan.net/student_image/24759.jpg</t>
  </si>
  <si>
    <t>24779</t>
  </si>
  <si>
    <t>ด.ช.ฮาฟิส อุมา</t>
  </si>
  <si>
    <t>https://azizstan.net/student_image/24779.jpg</t>
  </si>
  <si>
    <t>24837</t>
  </si>
  <si>
    <t>ด.ช.อัสช์รัฟ ดอเลาะ</t>
  </si>
  <si>
    <t>https://azizstan.net/student_image/24837.jpg</t>
  </si>
  <si>
    <t>24847</t>
  </si>
  <si>
    <t>ด.ช.มูฮัมหมัดแดเนียล ดอเลาะ</t>
  </si>
  <si>
    <t>https://azizstan.net/student_image/24847.jpg</t>
  </si>
  <si>
    <t>24849</t>
  </si>
  <si>
    <t>ด.ช.อานัส แวเยะ</t>
  </si>
  <si>
    <t>https://azizstan.net/student_image/24849.jpg</t>
  </si>
  <si>
    <t>24857</t>
  </si>
  <si>
    <t>ด.ช.นิอัลวาร์ หะยียูโซ๊ะ</t>
  </si>
  <si>
    <t>https://azizstan.net/student_image/24857.jpg</t>
  </si>
  <si>
    <t>24863</t>
  </si>
  <si>
    <t>ด.ช.สุกฤษฏิ์ ดาแลหมัน</t>
  </si>
  <si>
    <t>https://azizstan.net/student_image/24863.jpg</t>
  </si>
  <si>
    <t>24870</t>
  </si>
  <si>
    <t>ด.ช.ฮาฟิซ มะดีเยาะ</t>
  </si>
  <si>
    <t>https://azizstan.net/student_image/24870.jpg</t>
  </si>
  <si>
    <t>24873</t>
  </si>
  <si>
    <t>ด.ช.ฟารุค แวนาแว</t>
  </si>
  <si>
    <t>https://azizstan.net/student_image/24873.jpg</t>
  </si>
  <si>
    <t>24963</t>
  </si>
  <si>
    <t>ด.ช.อานัส มะยูนุ</t>
  </si>
  <si>
    <t>https://azizstan.net/student_image/24963.jpg</t>
  </si>
  <si>
    <t>24999</t>
  </si>
  <si>
    <t>ด.ช.วันอัฟดล ยีสะอุ</t>
  </si>
  <si>
    <t>https://azizstan.net/student_image/24999.jpg</t>
  </si>
  <si>
    <t>25019</t>
  </si>
  <si>
    <t>ด.ช.ฮัมดัล สิบู</t>
  </si>
  <si>
    <t>https://azizstan.net/student_image/25019.jpg</t>
  </si>
  <si>
    <t>25033</t>
  </si>
  <si>
    <t>ด.ช.อิสรอเฟล โอล่า</t>
  </si>
  <si>
    <t>https://azizstan.net/student_image/25033.jpg</t>
  </si>
  <si>
    <t>25052</t>
  </si>
  <si>
    <t>ด.ช.นัสรูล สามะ</t>
  </si>
  <si>
    <t>https://azizstan.net/student_image/25052.jpg</t>
  </si>
  <si>
    <t>25065</t>
  </si>
  <si>
    <t>ด.ช.นิมูฮำหมัดดาฟิร ซีอูเซ็ง</t>
  </si>
  <si>
    <t>https://azizstan.net/student_image/25065.jpg</t>
  </si>
  <si>
    <t>25071</t>
  </si>
  <si>
    <t>ด.ช.อับดุลฮากีม มะมิง</t>
  </si>
  <si>
    <t>https://azizstan.net/student_image/25071.jpg</t>
  </si>
  <si>
    <t>25076</t>
  </si>
  <si>
    <t>ด.ช.นิฮาซานัยน์ ตาเยะ</t>
  </si>
  <si>
    <t>https://azizstan.net/student_image/25076.jpg</t>
  </si>
  <si>
    <t>25077</t>
  </si>
  <si>
    <t>ด.ช.มูฮัมหมัดฟัรฮาน บินมูฮัมหมัด</t>
  </si>
  <si>
    <t>https://azizstan.net/student_image/25077.jpg</t>
  </si>
  <si>
    <t>25081</t>
  </si>
  <si>
    <t>ด.ช.อัฟฮัม มะมิน</t>
  </si>
  <si>
    <t>https://azizstan.net/student_image/25081.jpg</t>
  </si>
  <si>
    <t>25097</t>
  </si>
  <si>
    <t>ด.ช.บูรฮานุดดีน สุหลง</t>
  </si>
  <si>
    <t>https://azizstan.net/student_image/25097.jpg</t>
  </si>
  <si>
    <t>25098</t>
  </si>
  <si>
    <t>ด.ช.ฮัมดี โต๊ะหมาด</t>
  </si>
  <si>
    <t>https://azizstan.net/student_image/25098.jpg</t>
  </si>
  <si>
    <t>25100</t>
  </si>
  <si>
    <t>ด.ช.เบ็ญยามิน ยามาดง</t>
  </si>
  <si>
    <t>https://azizstan.net/student_image/25100.jpg</t>
  </si>
  <si>
    <t>25134</t>
  </si>
  <si>
    <t>ด.ช.นิตินัย อีสอปูเต๊ะ</t>
  </si>
  <si>
    <t>https://azizstan.net/student_image/25134.jpg</t>
  </si>
  <si>
    <t>25152</t>
  </si>
  <si>
    <t>ด.ช.มูฮัมหมัดวาริส ตาเยะ</t>
  </si>
  <si>
    <t>https://azizstan.net/student_image/25152.jpg</t>
  </si>
  <si>
    <t>25176</t>
  </si>
  <si>
    <t>ด.ช.ซะห์อิลฮัม สุหลง</t>
  </si>
  <si>
    <t>https://azizstan.net/student_image/25176.jpg</t>
  </si>
  <si>
    <t>25191</t>
  </si>
  <si>
    <t>นายอันวา อาแด</t>
  </si>
  <si>
    <t>https://azizstan.net/student_image/25191.jpg</t>
  </si>
  <si>
    <t>25194</t>
  </si>
  <si>
    <t>ด.ช.อาลีฟ และนาหวัง</t>
  </si>
  <si>
    <t>https://azizstan.net/student_image/25194.jpg</t>
  </si>
  <si>
    <t>25198</t>
  </si>
  <si>
    <t>ด.ช.เฟาซาน มะมิง</t>
  </si>
  <si>
    <t>https://azizstan.net/student_image/25198.jpg</t>
  </si>
  <si>
    <t>25223</t>
  </si>
  <si>
    <t>ด.ช.มูฮัมหมัดชามิล กริยา</t>
  </si>
  <si>
    <t>https://azizstan.net/student_image/25223.jpg</t>
  </si>
  <si>
    <t>25226</t>
  </si>
  <si>
    <t>ด.ช.อัฟฟาณดี จารง</t>
  </si>
  <si>
    <t>https://azizstan.net/student_image/25226.jpg</t>
  </si>
  <si>
    <t>25234</t>
  </si>
  <si>
    <t>ด.ช.อิรฟาน อาแว</t>
  </si>
  <si>
    <t>https://azizstan.net/student_image/25234.jpg</t>
  </si>
  <si>
    <t>25239</t>
  </si>
  <si>
    <t>ด.ช.ซาฮากีรีน สะอุ</t>
  </si>
  <si>
    <t>https://azizstan.net/student_image/25239.jpg</t>
  </si>
  <si>
    <t>25278</t>
  </si>
  <si>
    <t>ด.ช.อาดีส ยูโซ๊ะ</t>
  </si>
  <si>
    <t>https://azizstan.net/student_image/25278.jpg</t>
  </si>
  <si>
    <t>25294</t>
  </si>
  <si>
    <t>ด.ช.อาดัม มอลอเล๊าะ</t>
  </si>
  <si>
    <t>https://azizstan.net/student_image/25294.jpg</t>
  </si>
  <si>
    <t>25344</t>
  </si>
  <si>
    <t>ด.ช.มูฮัมหมัดเนาว์ฟาน ยูโซะ</t>
  </si>
  <si>
    <t>https://azizstan.net/student_image/25344.jpg</t>
  </si>
  <si>
    <t>25369</t>
  </si>
  <si>
    <t>ด.ช.นะห์ดี หวังแอ</t>
  </si>
  <si>
    <t>https://azizstan.net/student_image/25369.jpg</t>
  </si>
  <si>
    <t>25540</t>
  </si>
  <si>
    <t>ด.ช.อิลฮัม สูหลง</t>
  </si>
  <si>
    <t>https://azizstan.net/student_image/25540.jpg</t>
  </si>
  <si>
    <t>25606</t>
  </si>
  <si>
    <t>ด.ช.มูฮัมหมัดฟิตรี บือราเฮง</t>
  </si>
  <si>
    <t>https://azizstan.net/student_image/25606.jpg</t>
  </si>
  <si>
    <t>24598</t>
  </si>
  <si>
    <t>ด.ช.ณัศสรีย์ โคกเขา</t>
  </si>
  <si>
    <t>ม.3/5</t>
  </si>
  <si>
    <t>อก.3/10</t>
  </si>
  <si>
    <t>https://azizstan.net/student_image/24598.jpg</t>
  </si>
  <si>
    <t>24643</t>
  </si>
  <si>
    <t>ด.ญ.ฟิรเดาซ์ ดอเลาะเซาะ</t>
  </si>
  <si>
    <t>https://azizstan.net/student_image/24643.jpg</t>
  </si>
  <si>
    <t>24679</t>
  </si>
  <si>
    <t>ด.ช.อับดุลฮากีม มะเด็ง</t>
  </si>
  <si>
    <t>https://azizstan.net/student_image/24679.jpg</t>
  </si>
  <si>
    <t>24712</t>
  </si>
  <si>
    <t>ด.ญ.ซัรฟา หวันเด็น</t>
  </si>
  <si>
    <t>https://azizstan.net/student_image/24712.jpg</t>
  </si>
  <si>
    <t>24727</t>
  </si>
  <si>
    <t>ด.ช.มูฮัมหมัดฟาดีล แมเราะ</t>
  </si>
  <si>
    <t>https://azizstan.net/student_image/24727.jpg</t>
  </si>
  <si>
    <t>24746</t>
  </si>
  <si>
    <t>ด.ช.ซาฟูวันย์ ยามูยีมะ</t>
  </si>
  <si>
    <t>https://azizstan.net/student_image/24746.jpg</t>
  </si>
  <si>
    <t>24774</t>
  </si>
  <si>
    <t>ด.ช.อับดุลฆอฟูร ดาโอะ</t>
  </si>
  <si>
    <t>https://azizstan.net/student_image/24774.jpg</t>
  </si>
  <si>
    <t>24783</t>
  </si>
  <si>
    <t>ด.ญ.นัสรีน ดอเลาะ</t>
  </si>
  <si>
    <t>https://azizstan.net/student_image/24783.jpg</t>
  </si>
  <si>
    <t>24786</t>
  </si>
  <si>
    <t>ด.ช.ติรมีซีย์ มะสัน</t>
  </si>
  <si>
    <t>https://azizstan.net/student_image/24786.jpg</t>
  </si>
  <si>
    <t>24789</t>
  </si>
  <si>
    <t>ด.ช.วาเอล อาหวัง</t>
  </si>
  <si>
    <t>https://azizstan.net/student_image/24789.jpg</t>
  </si>
  <si>
    <t>24865</t>
  </si>
  <si>
    <t>ด.ช.มูฮัมหมัดฎูฮา เส็นเจริญ</t>
  </si>
  <si>
    <t>https://azizstan.net/student_image/24865.jpg</t>
  </si>
  <si>
    <t>24868</t>
  </si>
  <si>
    <t>ด.ญ.อามาล อาลี</t>
  </si>
  <si>
    <t>https://azizstan.net/student_image/24868.jpg</t>
  </si>
  <si>
    <t>https://azizstan.net/student_image/24892.jpg</t>
  </si>
  <si>
    <t>https://azizstan.net/student_image/24901.jpg</t>
  </si>
  <si>
    <t>24949</t>
  </si>
  <si>
    <t>ด.ช.อินอาม เจ๊ะกาเดร์</t>
  </si>
  <si>
    <t>https://azizstan.net/student_image/24949.jpg</t>
  </si>
  <si>
    <t>24958</t>
  </si>
  <si>
    <t>ด.ญ.นิค็อยรุนนิสา หะยีเจ๊ะแน</t>
  </si>
  <si>
    <t>https://azizstan.net/student_image/24958.jpg</t>
  </si>
  <si>
    <t>25000</t>
  </si>
  <si>
    <t>ด.ช.อัฟฮัม มาแกง</t>
  </si>
  <si>
    <t>https://azizstan.net/student_image/25000.jpg</t>
  </si>
  <si>
    <t>https://azizstan.net/student_image/25004.jpg</t>
  </si>
  <si>
    <t>25055</t>
  </si>
  <si>
    <t>ด.ญ.รอยฮาน อาแว</t>
  </si>
  <si>
    <t>https://azizstan.net/student_image/25055.jpg</t>
  </si>
  <si>
    <t>25057</t>
  </si>
  <si>
    <t>ด.ช.อิลยัส อุมา</t>
  </si>
  <si>
    <t>https://azizstan.net/student_image/25057.jpg</t>
  </si>
  <si>
    <t>25162</t>
  </si>
  <si>
    <t>ด.ญ.ญาดา ดือราแม</t>
  </si>
  <si>
    <t>https://azizstan.net/student_image/25162.jpg</t>
  </si>
  <si>
    <t>25185</t>
  </si>
  <si>
    <t>ด.ญ.ชามีมี่ ดาโอะ</t>
  </si>
  <si>
    <t>https://azizstan.net/student_image/25185.jpg</t>
  </si>
  <si>
    <t>25187</t>
  </si>
  <si>
    <t>ด.ช.คัยรุณอามีรินทร์ แวยูโซะ</t>
  </si>
  <si>
    <t>https://azizstan.net/student_image/25187.jpg</t>
  </si>
  <si>
    <t>25203</t>
  </si>
  <si>
    <t>ด.ช.ฮากีม โต๊ะหัด</t>
  </si>
  <si>
    <t>https://azizstan.net/student_image/25203.jpg</t>
  </si>
  <si>
    <t>25261</t>
  </si>
  <si>
    <t>ด.ช.แววะห์ยู แวดอเล๊าะ</t>
  </si>
  <si>
    <t>https://azizstan.net/student_image/25261.jpg</t>
  </si>
  <si>
    <t>25808</t>
  </si>
  <si>
    <t>ด.ญ.ตรีเพชร ส่าหนิ</t>
  </si>
  <si>
    <t>https://azizstan.net/student_image/25808.jpg</t>
  </si>
  <si>
    <t>26789</t>
  </si>
  <si>
    <t>ด.ช.แวมูฮำหมัดอามีน แวหะยี</t>
  </si>
  <si>
    <t>https://azizstan.net/student_image/26789.jpg</t>
  </si>
  <si>
    <t>24597</t>
  </si>
  <si>
    <t>ด.ญ.นูรฮูดา ลาเตะ</t>
  </si>
  <si>
    <t>ม.3/6</t>
  </si>
  <si>
    <t>อก.3/14</t>
  </si>
  <si>
    <t>https://azizstan.net/student_image/24597.jpg</t>
  </si>
  <si>
    <t>24609</t>
  </si>
  <si>
    <t>ด.ญ.นูร์ซีลมีย์ ฝันฝา</t>
  </si>
  <si>
    <t>อก.2/6</t>
  </si>
  <si>
    <t>https://azizstan.net/student_image/24609.jpg</t>
  </si>
  <si>
    <t>24616</t>
  </si>
  <si>
    <t>ด.ญ.นูรูอิซฟานี แน</t>
  </si>
  <si>
    <t>https://azizstan.net/student_image/24616.jpg</t>
  </si>
  <si>
    <t>24624</t>
  </si>
  <si>
    <t>ด.ญ.นูรฟิตตรียะห์ มาหะ</t>
  </si>
  <si>
    <t>https://azizstan.net/student_image/24624.jpg</t>
  </si>
  <si>
    <t>24625</t>
  </si>
  <si>
    <t>ด.ญ.ยูรีฮัน ดีนและ</t>
  </si>
  <si>
    <t>https://azizstan.net/student_image/24625.jpg</t>
  </si>
  <si>
    <t>24627</t>
  </si>
  <si>
    <t>ด.ญ.ซัลวาณี หวังถึก</t>
  </si>
  <si>
    <t>https://azizstan.net/student_image/24627.jpg</t>
  </si>
  <si>
    <t>24628</t>
  </si>
  <si>
    <t>ด.ญ.อิลฮัม ดอเลาะ</t>
  </si>
  <si>
    <t>https://azizstan.net/student_image/24628.jpg</t>
  </si>
  <si>
    <t>24632</t>
  </si>
  <si>
    <t>ด.ญ.อัสวาตี เหตุหาก</t>
  </si>
  <si>
    <t>https://azizstan.net/student_image/24632.jpg</t>
  </si>
  <si>
    <t>24639</t>
  </si>
  <si>
    <t>ด.ญ.นูรอาซีกีน ราแดง</t>
  </si>
  <si>
    <t>https://azizstan.net/student_image/24639.jpg</t>
  </si>
  <si>
    <t>24647</t>
  </si>
  <si>
    <t>ด.ญ.นูรอาวาติฟ นาแว</t>
  </si>
  <si>
    <t>https://azizstan.net/student_image/24647.jpg</t>
  </si>
  <si>
    <t>24657</t>
  </si>
  <si>
    <t>ด.ญ.ฟาเดีย มามะ</t>
  </si>
  <si>
    <t>https://azizstan.net/student_image/24657.jpg</t>
  </si>
  <si>
    <t>24658</t>
  </si>
  <si>
    <t>ด.ญ.นูรวาณี ดอเล๊าะ</t>
  </si>
  <si>
    <t>https://azizstan.net/student_image/24658.jpg</t>
  </si>
  <si>
    <t>24674</t>
  </si>
  <si>
    <t>ด.ญ.นัสริลลา โต๊ะเอียด</t>
  </si>
  <si>
    <t>https://azizstan.net/student_image/24674.jpg</t>
  </si>
  <si>
    <t>24678</t>
  </si>
  <si>
    <t>ด.ญ.นัรมีน ปลัดสะมะ</t>
  </si>
  <si>
    <t>https://azizstan.net/student_image/24678.jpg</t>
  </si>
  <si>
    <t>24704</t>
  </si>
  <si>
    <t>ด.ญ.บัลกีซ จาเล๊ะ</t>
  </si>
  <si>
    <t>https://azizstan.net/student_image/24704.jpg</t>
  </si>
  <si>
    <t>24713</t>
  </si>
  <si>
    <t>ด.ญ.นัสรีตา เบ็ญยุโสะ</t>
  </si>
  <si>
    <t>https://azizstan.net/student_image/24713.jpg</t>
  </si>
  <si>
    <t>24719</t>
  </si>
  <si>
    <t>ด.ญ.นารีรัตน์ เด็งสุรี</t>
  </si>
  <si>
    <t>https://azizstan.net/student_image/24719.jpg</t>
  </si>
  <si>
    <t>24730</t>
  </si>
  <si>
    <t>ด.ญ.อัสมะ หะหลี</t>
  </si>
  <si>
    <t>https://azizstan.net/student_image/24730.jpg</t>
  </si>
  <si>
    <t>24749</t>
  </si>
  <si>
    <t>ด.ญ.ธิดารัตน์ ร่าหมาน</t>
  </si>
  <si>
    <t>https://azizstan.net/student_image/24749.jpg</t>
  </si>
  <si>
    <t>24752</t>
  </si>
  <si>
    <t>ด.ญ.อิลฮัม เจะหนิ</t>
  </si>
  <si>
    <t>https://azizstan.net/student_image/24752.jpg</t>
  </si>
  <si>
    <t>24782</t>
  </si>
  <si>
    <t>ด.ญ.นูรฮายาตี มานิ๊</t>
  </si>
  <si>
    <t>https://azizstan.net/student_image/24782.jpg</t>
  </si>
  <si>
    <t>24790</t>
  </si>
  <si>
    <t>ด.ญ.ซีตีฟาติลม๊ะ แวมะแซ</t>
  </si>
  <si>
    <t>https://azizstan.net/student_image/24790.jpg</t>
  </si>
  <si>
    <t>24803</t>
  </si>
  <si>
    <t>ด.ญ.ฮานิฟ หะมะ</t>
  </si>
  <si>
    <t>https://azizstan.net/student_image/24803.jpg</t>
  </si>
  <si>
    <t>24832</t>
  </si>
  <si>
    <t>ด.ญ.อิมตีซาน สีดวง</t>
  </si>
  <si>
    <t>https://azizstan.net/student_image/24832.jpg</t>
  </si>
  <si>
    <t>24836</t>
  </si>
  <si>
    <t>ด.ญ.อัลฮุซนา ตาเยะ</t>
  </si>
  <si>
    <t>https://azizstan.net/student_image/24836.jpg</t>
  </si>
  <si>
    <t>24839</t>
  </si>
  <si>
    <t>ด.ญ.ดารีญา และมุสอ</t>
  </si>
  <si>
    <t>https://azizstan.net/student_image/24839.jpg</t>
  </si>
  <si>
    <t>24877</t>
  </si>
  <si>
    <t>ด.ญ.แวตัสนีม อุสมันมาฮา</t>
  </si>
  <si>
    <t>https://azizstan.net/student_image/24877.jpg</t>
  </si>
  <si>
    <t>24880</t>
  </si>
  <si>
    <t>ด.ญ.นัสเราะห์ นาแว</t>
  </si>
  <si>
    <t>https://azizstan.net/student_image/24880.jpg</t>
  </si>
  <si>
    <t>24891</t>
  </si>
  <si>
    <t>ด.ญ.นูรไอนี หามะ</t>
  </si>
  <si>
    <t>https://azizstan.net/student_image/24891.jpg</t>
  </si>
  <si>
    <t>24895</t>
  </si>
  <si>
    <t>ด.ญ.กัสตูรี สาแม</t>
  </si>
  <si>
    <t>https://azizstan.net/student_image/24895.jpg</t>
  </si>
  <si>
    <t>24932</t>
  </si>
  <si>
    <t>ด.ญ.นุรเดียนา ปาเนาะ</t>
  </si>
  <si>
    <t>https://azizstan.net/student_image/24932.jpg</t>
  </si>
  <si>
    <t>24933</t>
  </si>
  <si>
    <t>ด.ญ.นูรมิสบะห์ สาเมาะ</t>
  </si>
  <si>
    <t>https://azizstan.net/student_image/24933.jpg</t>
  </si>
  <si>
    <t>24934</t>
  </si>
  <si>
    <t>ด.ญ.ซูมัยย๊ะ เปาะแห</t>
  </si>
  <si>
    <t>https://azizstan.net/student_image/24934.jpg</t>
  </si>
  <si>
    <t>24935</t>
  </si>
  <si>
    <t>ด.ญ.ตัสนีม สาและ</t>
  </si>
  <si>
    <t>https://azizstan.net/student_image/24935.jpg</t>
  </si>
  <si>
    <t>24978</t>
  </si>
  <si>
    <t>ด.ญ.นูรฮายาตี แวเด็ง</t>
  </si>
  <si>
    <t>https://azizstan.net/student_image/24978.jpg</t>
  </si>
  <si>
    <t>25032</t>
  </si>
  <si>
    <t>ด.ญ.นูรฟาติน เจะบู</t>
  </si>
  <si>
    <t>https://azizstan.net/student_image/25032.jpg</t>
  </si>
  <si>
    <t>25095</t>
  </si>
  <si>
    <t>ด.ญ.อัสมะ บาหะหมะ</t>
  </si>
  <si>
    <t>https://azizstan.net/student_image/25095.jpg</t>
  </si>
  <si>
    <t>25096</t>
  </si>
  <si>
    <t>ด.ญ.นิสุนีดารัตน์ ภูมิภัทรญาณกูร</t>
  </si>
  <si>
    <t>https://azizstan.net/student_image/25096.jpg</t>
  </si>
  <si>
    <t>25143</t>
  </si>
  <si>
    <t>ด.ญ.แอลฟาร์ วาโมง</t>
  </si>
  <si>
    <t>https://azizstan.net/student_image/25143.jpg</t>
  </si>
  <si>
    <t>25158</t>
  </si>
  <si>
    <t>ด.ญ.นูรฮานาน หาญณรงค์</t>
  </si>
  <si>
    <t>https://azizstan.net/student_image/25158.jpg</t>
  </si>
  <si>
    <t>25289</t>
  </si>
  <si>
    <t>ด.ญ.สุรัยฮาน สลำบอ</t>
  </si>
  <si>
    <t>https://azizstan.net/student_image/25289.jpg</t>
  </si>
  <si>
    <t>25303</t>
  </si>
  <si>
    <t>ด.ญ.ฟาดีละห์ สาอะ</t>
  </si>
  <si>
    <t>https://azizstan.net/student_image/25303.jpg</t>
  </si>
  <si>
    <t>25898</t>
  </si>
  <si>
    <t>ด.ญ.นัจญ์วาน เพ็งมูซอ</t>
  </si>
  <si>
    <t>https://azizstan.net/student_image/25898.jpg</t>
  </si>
  <si>
    <t>26788</t>
  </si>
  <si>
    <t>ด.ญ.นู๊รฮูดา ยูโซะ</t>
  </si>
  <si>
    <t>https://azizstan.net/student_image/26788.jpg</t>
  </si>
  <si>
    <t>24591</t>
  </si>
  <si>
    <t>ด.ญ.สุไฮมี สนิ</t>
  </si>
  <si>
    <t>ม.3/7</t>
  </si>
  <si>
    <t>อก.2/7</t>
  </si>
  <si>
    <t>https://azizstan.net/student_image/24591.jpg</t>
  </si>
  <si>
    <t>24714</t>
  </si>
  <si>
    <t>ด.ญ.ฟารีซา บือราเฮง</t>
  </si>
  <si>
    <t>https://azizstan.net/student_image/24714.jpg</t>
  </si>
  <si>
    <t>24715</t>
  </si>
  <si>
    <t>ด.ญ.อัสนา หะยีสาแม</t>
  </si>
  <si>
    <t>https://azizstan.net/student_image/24715.jpg</t>
  </si>
  <si>
    <t>24723</t>
  </si>
  <si>
    <t>ด.ญ.นูรฟาลินดา มันปุ</t>
  </si>
  <si>
    <t>https://azizstan.net/student_image/24723.jpg</t>
  </si>
  <si>
    <t>24724</t>
  </si>
  <si>
    <t>ด.ญ.ต่วนนูรีฟาร์ ดอเลาะ</t>
  </si>
  <si>
    <t>https://azizstan.net/student_image/24724.jpg</t>
  </si>
  <si>
    <t>24726</t>
  </si>
  <si>
    <t>ด.ญ.อาฟาเฟีย ยาลอ</t>
  </si>
  <si>
    <t>https://azizstan.net/student_image/24726.jpg</t>
  </si>
  <si>
    <t>24738</t>
  </si>
  <si>
    <t>ด.ญ.ฟาดีละห์ สะมะแอ</t>
  </si>
  <si>
    <t>https://azizstan.net/student_image/24738.jpg</t>
  </si>
  <si>
    <t>24761</t>
  </si>
  <si>
    <t>ด.ญ.นูรูลบิสมา ขุนทองเพ็ง</t>
  </si>
  <si>
    <t>https://azizstan.net/student_image/24761.jpg</t>
  </si>
  <si>
    <t>24762</t>
  </si>
  <si>
    <t>ด.ญ.นูรูลบิสมี ขุนทองเพ็ง</t>
  </si>
  <si>
    <t>https://azizstan.net/student_image/24762.jpg</t>
  </si>
  <si>
    <t>24780</t>
  </si>
  <si>
    <t>ด.ญ.ปุตรีนูรวาฮีดา แวนุเซ็ง</t>
  </si>
  <si>
    <t>https://azizstan.net/student_image/24780.jpg</t>
  </si>
  <si>
    <t>24791</t>
  </si>
  <si>
    <t>ด.ญ.นาเดียร์ ลาเตะ</t>
  </si>
  <si>
    <t>https://azizstan.net/student_image/24791.jpg</t>
  </si>
  <si>
    <t>24799</t>
  </si>
  <si>
    <t>ด.ญ.อนิส สาและ</t>
  </si>
  <si>
    <t>https://azizstan.net/student_image/24799.jpg</t>
  </si>
  <si>
    <t>24825</t>
  </si>
  <si>
    <t>ด.ญ.นุรซาฟีกา พฤษพงษ์</t>
  </si>
  <si>
    <t>https://azizstan.net/student_image/24825.jpg</t>
  </si>
  <si>
    <t>24850</t>
  </si>
  <si>
    <t>ด.ญ.สูไรดา ยูโซะ</t>
  </si>
  <si>
    <t>https://azizstan.net/student_image/24850.jpg</t>
  </si>
  <si>
    <t>24859</t>
  </si>
  <si>
    <t>ด.ญ.นาเดีย มะเสาะ</t>
  </si>
  <si>
    <t>https://azizstan.net/student_image/24859.jpg</t>
  </si>
  <si>
    <t>24884</t>
  </si>
  <si>
    <t>ด.ญ.ฟารินดา สะแลแม</t>
  </si>
  <si>
    <t>https://azizstan.net/student_image/24884.jpg</t>
  </si>
  <si>
    <t>24885</t>
  </si>
  <si>
    <t>ด.ญ.กมรียะห์ หะยีสะมาแอ</t>
  </si>
  <si>
    <t>https://azizstan.net/student_image/24885.jpg</t>
  </si>
  <si>
    <t>24887</t>
  </si>
  <si>
    <t>ด.ญ.อะลาวียะฮ์ มามะ</t>
  </si>
  <si>
    <t>https://azizstan.net/student_image/24887.jpg</t>
  </si>
  <si>
    <t>24889</t>
  </si>
  <si>
    <t>ด.ญ.ฮานาน แยนา</t>
  </si>
  <si>
    <t>https://azizstan.net/student_image/24889.jpg</t>
  </si>
  <si>
    <t>24899</t>
  </si>
  <si>
    <t>ด.ญ.ตัสนิล เซะบิง</t>
  </si>
  <si>
    <t>https://azizstan.net/student_image/24899.jpg</t>
  </si>
  <si>
    <t>24906</t>
  </si>
  <si>
    <t>ด.ญ.อามาลีนา พรหมบังเกิด</t>
  </si>
  <si>
    <t>https://azizstan.net/student_image/24906.jpg</t>
  </si>
  <si>
    <t>24911</t>
  </si>
  <si>
    <t>ด.ญ.ปาลิซ่า เพชรพวง</t>
  </si>
  <si>
    <t>https://azizstan.net/student_image/24911.jpg</t>
  </si>
  <si>
    <t>24940</t>
  </si>
  <si>
    <t>ด.ญ.นุรมิลลีซาร์ มูซอ</t>
  </si>
  <si>
    <t>https://azizstan.net/student_image/24940.jpg</t>
  </si>
  <si>
    <t>24942</t>
  </si>
  <si>
    <t>ด.ญ.ซูรัยยา บากาประเสริฐ</t>
  </si>
  <si>
    <t>https://azizstan.net/student_image/24942.jpg</t>
  </si>
  <si>
    <t>24953</t>
  </si>
  <si>
    <t>ด.ญ.อันวารี จะระแอ</t>
  </si>
  <si>
    <t>https://azizstan.net/student_image/24953.jpg</t>
  </si>
  <si>
    <t>24954</t>
  </si>
  <si>
    <t>ด.ญ.นัซนีน ยูโซะ</t>
  </si>
  <si>
    <t>https://azizstan.net/student_image/24954.jpg</t>
  </si>
  <si>
    <t>24956</t>
  </si>
  <si>
    <t>ด.ญ.นูรุลฮุสนา บ้านนา</t>
  </si>
  <si>
    <t>https://azizstan.net/student_image/24956.jpg</t>
  </si>
  <si>
    <t>24965</t>
  </si>
  <si>
    <t>ด.ญ.นาดียา ดาแม</t>
  </si>
  <si>
    <t>https://azizstan.net/student_image/24965.jpg</t>
  </si>
  <si>
    <t>24976</t>
  </si>
  <si>
    <t>ด.ญ.นูรุล กาซอ</t>
  </si>
  <si>
    <t>https://azizstan.net/student_image/24976.jpg</t>
  </si>
  <si>
    <t>24989</t>
  </si>
  <si>
    <t>ด.ญ.นาซูฮา มะลี</t>
  </si>
  <si>
    <t>https://azizstan.net/student_image/24989.jpg</t>
  </si>
  <si>
    <t>24994</t>
  </si>
  <si>
    <t>ด.ญ.นุสเราะห์ เจะดอมะ</t>
  </si>
  <si>
    <t>https://azizstan.net/student_image/24994.jpg</t>
  </si>
  <si>
    <t>25028</t>
  </si>
  <si>
    <t>ด.ญ.นิซัลวานี ยีอาแซ</t>
  </si>
  <si>
    <t>https://azizstan.net/student_image/25028.jpg</t>
  </si>
  <si>
    <t>25058</t>
  </si>
  <si>
    <t>ด.ญ.นูรลอิมียะห์ สาและ</t>
  </si>
  <si>
    <t>https://azizstan.net/student_image/25058.jpg</t>
  </si>
  <si>
    <t>25111</t>
  </si>
  <si>
    <t>ด.ญ.ซูหัยรา กาเดร์</t>
  </si>
  <si>
    <t>https://azizstan.net/student_image/25111.jpg</t>
  </si>
  <si>
    <t>25135</t>
  </si>
  <si>
    <t>ด.ญ.นาเดีย ปาโห๊ะ</t>
  </si>
  <si>
    <t>https://azizstan.net/student_image/25135.jpg</t>
  </si>
  <si>
    <t>25153</t>
  </si>
  <si>
    <t>ด.ญ.กัญญภัต อิแต</t>
  </si>
  <si>
    <t>https://azizstan.net/student_image/25153.jpg</t>
  </si>
  <si>
    <t>25157</t>
  </si>
  <si>
    <t>ด.ญ.อาวาติส วานิ</t>
  </si>
  <si>
    <t>https://azizstan.net/student_image/25157.jpg</t>
  </si>
  <si>
    <t>25161</t>
  </si>
  <si>
    <t>ด.ญ.ซัลมา ดาโอะ</t>
  </si>
  <si>
    <t>https://azizstan.net/student_image/25161.jpg</t>
  </si>
  <si>
    <t>25245</t>
  </si>
  <si>
    <t>ด.ญ.นุรไอนี ยูโซ๊ะ</t>
  </si>
  <si>
    <t>https://azizstan.net/student_image/25245.jpg</t>
  </si>
  <si>
    <t>25250</t>
  </si>
  <si>
    <t>ด.ญ.แวฟาดีละห์ ลาเตะ</t>
  </si>
  <si>
    <t>https://azizstan.net/student_image/25250.jpg</t>
  </si>
  <si>
    <t>25276</t>
  </si>
  <si>
    <t>ด.ญ.ฮานีฟา หวันหมาน</t>
  </si>
  <si>
    <t>https://azizstan.net/student_image/25276.jpg</t>
  </si>
  <si>
    <t>25343</t>
  </si>
  <si>
    <t>ด.ญ.อาเดียร์ เจะนะ</t>
  </si>
  <si>
    <t>https://azizstan.net/student_image/25343.jpg</t>
  </si>
  <si>
    <t>25374</t>
  </si>
  <si>
    <t>ด.ญ.วาสนา สิงสาโร</t>
  </si>
  <si>
    <t>https://azizstan.net/student_image/25374.jpg</t>
  </si>
  <si>
    <t>25517</t>
  </si>
  <si>
    <t>ด.ญ.ฮัสราวาตี สิดิ</t>
  </si>
  <si>
    <t>https://azizstan.net/student_image/25517.jpg</t>
  </si>
  <si>
    <t>25928</t>
  </si>
  <si>
    <t>ด.ญ.อาดีลา สาเล็ง</t>
  </si>
  <si>
    <t>https://azizstan.net/student_image/25928.jpg</t>
  </si>
  <si>
    <t>25996</t>
  </si>
  <si>
    <t>ด.ญ.อาวาฏีฟ ดอเลาะ</t>
  </si>
  <si>
    <t>https://azizstan.net/student_image/25996.jpg</t>
  </si>
  <si>
    <t>26207</t>
  </si>
  <si>
    <t>ด.ญ.อามาณีย์ ดุลซามะ</t>
  </si>
  <si>
    <t>https://azizstan.net/student_image/26207.jpg</t>
  </si>
  <si>
    <t>26656</t>
  </si>
  <si>
    <t>ด.ญ.อัสสนีตาร์ หลงมีหนา</t>
  </si>
  <si>
    <t>https://azizstan.net/student_image/26656.jpg</t>
  </si>
  <si>
    <t>26701</t>
  </si>
  <si>
    <t>ด.ญ.ญัสมิน หะยีมะหะ</t>
  </si>
  <si>
    <t>https://azizstan.net/student_image/26701.jpg</t>
  </si>
  <si>
    <t>24587</t>
  </si>
  <si>
    <t>ด.ญ.ฮาญัร โต๊ะยะเล</t>
  </si>
  <si>
    <t>ม.3/8</t>
  </si>
  <si>
    <t>อก.2/8</t>
  </si>
  <si>
    <t>https://azizstan.net/student_image/24587.jpg</t>
  </si>
  <si>
    <t>24590</t>
  </si>
  <si>
    <t>ด.ญ.นูรมา สาเมาะ</t>
  </si>
  <si>
    <t>https://azizstan.net/student_image/24590.jpg</t>
  </si>
  <si>
    <t>24593</t>
  </si>
  <si>
    <t>ด.ญ.บัลกิส นาแว</t>
  </si>
  <si>
    <t>https://azizstan.net/student_image/24593.jpg</t>
  </si>
  <si>
    <t>24595</t>
  </si>
  <si>
    <t>ด.ญ.อารียา มามะ</t>
  </si>
  <si>
    <t>https://azizstan.net/student_image/24595.jpg</t>
  </si>
  <si>
    <t>24599</t>
  </si>
  <si>
    <t>ด.ญ.อาอีเสาะ เจะหะ</t>
  </si>
  <si>
    <t>https://azizstan.net/student_image/24599.jpg</t>
  </si>
  <si>
    <t>24606</t>
  </si>
  <si>
    <t>ด.ญ.รุสณี เด็นเล๊าะ</t>
  </si>
  <si>
    <t>https://azizstan.net/student_image/24606.jpg</t>
  </si>
  <si>
    <t>24610</t>
  </si>
  <si>
    <t>ด.ญ.ฟาเดียร์ ลาเต๊ะ</t>
  </si>
  <si>
    <t>https://azizstan.net/student_image/24610.jpg</t>
  </si>
  <si>
    <t>24633</t>
  </si>
  <si>
    <t>ด.ญ.ฟิรดาวส์ สาและเล๊าะ</t>
  </si>
  <si>
    <t>https://azizstan.net/student_image/24633.jpg</t>
  </si>
  <si>
    <t>24640</t>
  </si>
  <si>
    <t>ด.ญ.นุรวาอีดาร์ อีแต</t>
  </si>
  <si>
    <t>https://azizstan.net/student_image/24640.jpg</t>
  </si>
  <si>
    <t>24685</t>
  </si>
  <si>
    <t>ด.ญ.นูรุลอีมาน ใบหวังอะ</t>
  </si>
  <si>
    <t>https://azizstan.net/student_image/24685.jpg</t>
  </si>
  <si>
    <t>24695</t>
  </si>
  <si>
    <t>ด.ญ.รุสมีนา แซ่ฮ๋ง</t>
  </si>
  <si>
    <t>https://azizstan.net/student_image/24695.jpg</t>
  </si>
  <si>
    <t>24707</t>
  </si>
  <si>
    <t>ด.ญ.นูรนีตา กามา</t>
  </si>
  <si>
    <t>https://azizstan.net/student_image/24707.jpg</t>
  </si>
  <si>
    <t>24718</t>
  </si>
  <si>
    <t>ด.ญ.โซฟีนา ลาเต๊ะ</t>
  </si>
  <si>
    <t>https://azizstan.net/student_image/24718.jpg</t>
  </si>
  <si>
    <t>24725</t>
  </si>
  <si>
    <t>ด.ญ.ลาตีฟะห์ สะแม</t>
  </si>
  <si>
    <t>https://azizstan.net/student_image/24725.jpg</t>
  </si>
  <si>
    <t>24729</t>
  </si>
  <si>
    <t>ด.ญ.ฟัดวา สะอิ</t>
  </si>
  <si>
    <t>https://azizstan.net/student_image/24729.jpg</t>
  </si>
  <si>
    <t>24743</t>
  </si>
  <si>
    <t>ด.ญ.ฮารีฟา มาหมะ</t>
  </si>
  <si>
    <t>https://azizstan.net/student_image/24743.jpg</t>
  </si>
  <si>
    <t>24751</t>
  </si>
  <si>
    <t>ด.ญ.นูรฟาอีซา เมาะมุสอ</t>
  </si>
  <si>
    <t>https://azizstan.net/student_image/24751.jpg</t>
  </si>
  <si>
    <t>24757</t>
  </si>
  <si>
    <t>ด.ญ.ต่วนมุศลา ต่วนมะ</t>
  </si>
  <si>
    <t>https://azizstan.net/student_image/24757.jpg</t>
  </si>
  <si>
    <t>24793</t>
  </si>
  <si>
    <t>ด.ญ.นูรฟาติน เจ๊ะมามุ</t>
  </si>
  <si>
    <t>https://azizstan.net/student_image/24793.jpg</t>
  </si>
  <si>
    <t>24814</t>
  </si>
  <si>
    <t>ด.ญ.ดียาณา สาเมาะ</t>
  </si>
  <si>
    <t>https://azizstan.net/student_image/24814.jpg</t>
  </si>
  <si>
    <t>24861</t>
  </si>
  <si>
    <t>ด.ญ.นูรฮายาตี ยูโซะ</t>
  </si>
  <si>
    <t>https://azizstan.net/student_image/24861.jpg</t>
  </si>
  <si>
    <t>24862</t>
  </si>
  <si>
    <t>ด.ญ.นูรอ อูมา</t>
  </si>
  <si>
    <t>https://azizstan.net/student_image/24862.jpg</t>
  </si>
  <si>
    <t>24867</t>
  </si>
  <si>
    <t>ด.ญ.มัยมูน โยสะ</t>
  </si>
  <si>
    <t>https://azizstan.net/student_image/24867.jpg</t>
  </si>
  <si>
    <t>24869</t>
  </si>
  <si>
    <t>ด.ญ.ฟารีฮาม อุมัต</t>
  </si>
  <si>
    <t>https://azizstan.net/student_image/24869.jpg</t>
  </si>
  <si>
    <t>24883</t>
  </si>
  <si>
    <t>ด.ญ.นูรฮัซซูน่า สาและ</t>
  </si>
  <si>
    <t>https://azizstan.net/student_image/24883.jpg</t>
  </si>
  <si>
    <t>24914</t>
  </si>
  <si>
    <t>ด.ญ.มาราตี ทองแก้วแก้ว</t>
  </si>
  <si>
    <t>https://azizstan.net/student_image/24914.jpg</t>
  </si>
  <si>
    <t>24931</t>
  </si>
  <si>
    <t>ด.ญ.อิลฮาม สาแม</t>
  </si>
  <si>
    <t>https://azizstan.net/student_image/24931.jpg</t>
  </si>
  <si>
    <t>24938</t>
  </si>
  <si>
    <t>ด.ญ.นุศรา ร่าหีม</t>
  </si>
  <si>
    <t>https://azizstan.net/student_image/24938.jpg</t>
  </si>
  <si>
    <t>24941</t>
  </si>
  <si>
    <t>ด.ญ.อิบตีซาม สะแม</t>
  </si>
  <si>
    <t>https://azizstan.net/student_image/24941.jpg</t>
  </si>
  <si>
    <t>24962</t>
  </si>
  <si>
    <t>ด.ญ.นัสรีย์ หัดสาหมัด</t>
  </si>
  <si>
    <t>https://azizstan.net/student_image/24962.jpg</t>
  </si>
  <si>
    <t>24985</t>
  </si>
  <si>
    <t>ด.ญ.นูรตัสนิม ดาหะยอ</t>
  </si>
  <si>
    <t>https://azizstan.net/student_image/24985.jpg</t>
  </si>
  <si>
    <t>24987</t>
  </si>
  <si>
    <t>ด.ญ.นูรฟาติน วาโด</t>
  </si>
  <si>
    <t>https://azizstan.net/student_image/24987.jpg</t>
  </si>
  <si>
    <t>25018</t>
  </si>
  <si>
    <t>ด.ญ.นูรอาลีซา หยีดอเลาะ</t>
  </si>
  <si>
    <t>https://azizstan.net/student_image/25018.jpg</t>
  </si>
  <si>
    <t>25034</t>
  </si>
  <si>
    <t>ด.ญ.นุรฟายีรา มะสัน</t>
  </si>
  <si>
    <t>https://azizstan.net/student_image/25034.jpg</t>
  </si>
  <si>
    <t>25042</t>
  </si>
  <si>
    <t>ด.ญ.อัฟเรียณา เซ็ง</t>
  </si>
  <si>
    <t>https://azizstan.net/student_image/25042.jpg</t>
  </si>
  <si>
    <t>25043</t>
  </si>
  <si>
    <t>ด.ญ.สูลัยมีย์ เจะมะ</t>
  </si>
  <si>
    <t>https://azizstan.net/student_image/25043.jpg</t>
  </si>
  <si>
    <t>25078</t>
  </si>
  <si>
    <t>ด.ญ.ฟาตีฮะห์ ยะโต๊ะ</t>
  </si>
  <si>
    <t>https://azizstan.net/student_image/25078.jpg</t>
  </si>
  <si>
    <t>25080</t>
  </si>
  <si>
    <t>ด.ญ.กูรีดา สาเมาะ</t>
  </si>
  <si>
    <t>https://azizstan.net/student_image/25080.jpg</t>
  </si>
  <si>
    <t>25090</t>
  </si>
  <si>
    <t>ด.ญ.ไอรดา ดอเลาะ</t>
  </si>
  <si>
    <t>https://azizstan.net/student_image/25090.jpg</t>
  </si>
  <si>
    <t>25104</t>
  </si>
  <si>
    <t>ด.ญ.วานิดา โตะมะ</t>
  </si>
  <si>
    <t>https://azizstan.net/student_image/25104.jpg</t>
  </si>
  <si>
    <t>25125</t>
  </si>
  <si>
    <t>ด.ญ.ชากีณา ฮาแย</t>
  </si>
  <si>
    <t>https://azizstan.net/student_image/25125.jpg</t>
  </si>
  <si>
    <t>25138</t>
  </si>
  <si>
    <t>ด.ญ.นุรณี ดอแนเลาะ</t>
  </si>
  <si>
    <t>https://azizstan.net/student_image/25138.jpg</t>
  </si>
  <si>
    <t>25167</t>
  </si>
  <si>
    <t>ด.ญ.อาลาวียะห์ สาและ</t>
  </si>
  <si>
    <t>https://azizstan.net/student_image/25167.jpg</t>
  </si>
  <si>
    <t>24621</t>
  </si>
  <si>
    <t>ด.ญ.นัสรีน สันเต๊ะ</t>
  </si>
  <si>
    <t>ม.3/9</t>
  </si>
  <si>
    <t>อก.3/7</t>
  </si>
  <si>
    <t>https://azizstan.net/student_image/24621.jpg</t>
  </si>
  <si>
    <t>24626</t>
  </si>
  <si>
    <t>ด.ช.ฮารูม หยงสตาร์</t>
  </si>
  <si>
    <t>https://azizstan.net/student_image/24626.jpg</t>
  </si>
  <si>
    <t>24645</t>
  </si>
  <si>
    <t>ด.ญ.ภัรฮาณี มะหะ</t>
  </si>
  <si>
    <t>https://azizstan.net/student_image/24645.jpg</t>
  </si>
  <si>
    <t>24694</t>
  </si>
  <si>
    <t>ด.ช.ยาการียา เตะเหร็ม</t>
  </si>
  <si>
    <t>https://azizstan.net/student_image/24694.jpg</t>
  </si>
  <si>
    <t>24720</t>
  </si>
  <si>
    <t>ด.ญ.นูรฟาติณ เด็นและ</t>
  </si>
  <si>
    <t>https://azizstan.net/student_image/24720.jpg</t>
  </si>
  <si>
    <t>https://azizstan.net/student_image/24760.jpg</t>
  </si>
  <si>
    <t>24763</t>
  </si>
  <si>
    <t>ด.ญ.กูญาวาณีย์ จิ</t>
  </si>
  <si>
    <t>https://azizstan.net/student_image/24763.jpg</t>
  </si>
  <si>
    <t>24781</t>
  </si>
  <si>
    <t>ด.ช.ชามีน ปะดอมะ</t>
  </si>
  <si>
    <t>https://azizstan.net/student_image/24781.jpg</t>
  </si>
  <si>
    <t>24838</t>
  </si>
  <si>
    <t>ด.ช.อิมรอน บากา</t>
  </si>
  <si>
    <t>https://azizstan.net/student_image/24838.jpg</t>
  </si>
  <si>
    <t>24950</t>
  </si>
  <si>
    <t>ด.ญ.อามาณีย์ ลาเต๊ะ</t>
  </si>
  <si>
    <t>https://azizstan.net/student_image/24950.jpg</t>
  </si>
  <si>
    <t>24968</t>
  </si>
  <si>
    <t>ด.ญ.มัซกะห์ สีละรู</t>
  </si>
  <si>
    <t>https://azizstan.net/student_image/24968.jpg</t>
  </si>
  <si>
    <t>24975</t>
  </si>
  <si>
    <t>ด.ช.ตัรมีซี เจะหะมะ</t>
  </si>
  <si>
    <t>https://azizstan.net/student_image/24975.jpg</t>
  </si>
  <si>
    <t>24997</t>
  </si>
  <si>
    <t>ด.ญ.ลตีฟาฮ์ บาสอสิดิก</t>
  </si>
  <si>
    <t>https://azizstan.net/student_image/24997.jpg</t>
  </si>
  <si>
    <t>25006</t>
  </si>
  <si>
    <t>ด.ช.มูฮัมหมัด มะโระ</t>
  </si>
  <si>
    <t>https://azizstan.net/student_image/25006.jpg</t>
  </si>
  <si>
    <t>25048</t>
  </si>
  <si>
    <t>ด.ช.ฟารุค กาเดร์</t>
  </si>
  <si>
    <t>https://azizstan.net/student_image/25048.jpg</t>
  </si>
  <si>
    <t>25056</t>
  </si>
  <si>
    <t>ด.ช.ไซฟุดดีน เบ็นแหละแหนะ</t>
  </si>
  <si>
    <t>https://azizstan.net/student_image/25056.jpg</t>
  </si>
  <si>
    <t>25061</t>
  </si>
  <si>
    <t>ด.ช.ซูเฟียน สะเตาะ</t>
  </si>
  <si>
    <t>https://azizstan.net/student_image/25061.jpg</t>
  </si>
  <si>
    <t>25105</t>
  </si>
  <si>
    <t>ด.ช.ยูไลดี บีดิง</t>
  </si>
  <si>
    <t>https://azizstan.net/student_image/25105.jpg</t>
  </si>
  <si>
    <t>25106</t>
  </si>
  <si>
    <t>ด.ช.ฮาฟิซ โดฆอ</t>
  </si>
  <si>
    <t>https://azizstan.net/student_image/25106.jpg</t>
  </si>
  <si>
    <t>25129</t>
  </si>
  <si>
    <t>ด.ช.อิรฟาน สาอิ</t>
  </si>
  <si>
    <t>https://azizstan.net/student_image/25129.jpg</t>
  </si>
  <si>
    <t>25142</t>
  </si>
  <si>
    <t>ด.ช.นัซรอน เปาะโก๊ะ</t>
  </si>
  <si>
    <t>https://azizstan.net/student_image/25142.jpg</t>
  </si>
  <si>
    <t>25148</t>
  </si>
  <si>
    <t>ด.ญ.ฟาดีล๊ะ หอหมะ</t>
  </si>
  <si>
    <t>https://azizstan.net/student_image/25148.jpg</t>
  </si>
  <si>
    <t>25149</t>
  </si>
  <si>
    <t>ด.ญ.อิสรียา ลำเดาะ</t>
  </si>
  <si>
    <t>https://azizstan.net/student_image/25149.jpg</t>
  </si>
  <si>
    <t>25208</t>
  </si>
  <si>
    <t>ด.ช.อานัส นิฮะ</t>
  </si>
  <si>
    <t>https://azizstan.net/student_image/25208.jpg</t>
  </si>
  <si>
    <t>25224</t>
  </si>
  <si>
    <t>ด.ญ.การีหม๊ะ ตอมะ</t>
  </si>
  <si>
    <t>https://azizstan.net/student_image/25224.jpg</t>
  </si>
  <si>
    <t>24589</t>
  </si>
  <si>
    <t>ด.ญ.อัสวาณีย์ สาแม</t>
  </si>
  <si>
    <t>ม.3/10</t>
  </si>
  <si>
    <t>อก.3/12</t>
  </si>
  <si>
    <t>https://azizstan.net/student_image/24589.jpg</t>
  </si>
  <si>
    <t>24600</t>
  </si>
  <si>
    <t>ด.ญ.หนิซูเฟียนา สูเล๊าะ</t>
  </si>
  <si>
    <t>https://azizstan.net/student_image/24600.jpg</t>
  </si>
  <si>
    <t>24620</t>
  </si>
  <si>
    <t>ด.ญ.นิสรีน แนหะ</t>
  </si>
  <si>
    <t>https://azizstan.net/student_image/24620.jpg</t>
  </si>
  <si>
    <t>24634</t>
  </si>
  <si>
    <t>ด.ญ.ซัยนับ กาเจ</t>
  </si>
  <si>
    <t>https://azizstan.net/student_image/24634.jpg</t>
  </si>
  <si>
    <t>24661</t>
  </si>
  <si>
    <t>ด.ญ.ฟาเตร บอเถาะ</t>
  </si>
  <si>
    <t>https://azizstan.net/student_image/24661.jpg</t>
  </si>
  <si>
    <t>24667</t>
  </si>
  <si>
    <t>ด.ญ.บิสมีย์ ยูโซะ</t>
  </si>
  <si>
    <t>https://azizstan.net/student_image/24667.jpg</t>
  </si>
  <si>
    <t>24717</t>
  </si>
  <si>
    <t>ด.ญ.แวนาอีมะห์ สาเล็ง</t>
  </si>
  <si>
    <t>https://azizstan.net/student_image/24717.jpg</t>
  </si>
  <si>
    <t>https://azizstan.net/student_image/24745.jpg</t>
  </si>
  <si>
    <t>24770</t>
  </si>
  <si>
    <t>ด.ญ.วีอาร์ม เจะเหมาะ</t>
  </si>
  <si>
    <t>https://azizstan.net/student_image/24770.jpg</t>
  </si>
  <si>
    <t>https://azizstan.net/student_image/24775.jpg</t>
  </si>
  <si>
    <t>https://azizstan.net/student_image/24777.jpg</t>
  </si>
  <si>
    <t>24851</t>
  </si>
  <si>
    <t>ด.ญ.นารีรัตน์ ดอปอ</t>
  </si>
  <si>
    <t>https://azizstan.net/student_image/24851.jpg</t>
  </si>
  <si>
    <t>24917</t>
  </si>
  <si>
    <t>ด.ญ.ฮายาตี โต๊ะเด็ง</t>
  </si>
  <si>
    <t>https://azizstan.net/student_image/24917.jpg</t>
  </si>
  <si>
    <t>https://azizstan.net/student_image/24964.jpg</t>
  </si>
  <si>
    <t>24972</t>
  </si>
  <si>
    <t>ด.ญ.นูรอซียะห์ วาเด็ง</t>
  </si>
  <si>
    <t>https://azizstan.net/student_image/24972.jpg</t>
  </si>
  <si>
    <t>24990</t>
  </si>
  <si>
    <t>ด.ญ.ฟาตีณี ลาเตะ</t>
  </si>
  <si>
    <t>https://azizstan.net/student_image/24990.jpg</t>
  </si>
  <si>
    <t>24991</t>
  </si>
  <si>
    <t>ด.ญ.นริศา เจ๊ะแว</t>
  </si>
  <si>
    <t>https://azizstan.net/student_image/24991.jpg</t>
  </si>
  <si>
    <t>24995</t>
  </si>
  <si>
    <t>ด.ญ.ญารินดา บุญฤทธิ์</t>
  </si>
  <si>
    <t>https://azizstan.net/student_image/24995.jpg</t>
  </si>
  <si>
    <t>https://azizstan.net/student_image/25074.jpg</t>
  </si>
  <si>
    <t>25082</t>
  </si>
  <si>
    <t>ด.ญ.อริสรา อารงค์</t>
  </si>
  <si>
    <t>https://azizstan.net/student_image/25082.jpg</t>
  </si>
  <si>
    <t>25093</t>
  </si>
  <si>
    <t>ด.ญ.วันฮุสนา ยีเลาะ</t>
  </si>
  <si>
    <t>https://azizstan.net/student_image/25093.jpg</t>
  </si>
  <si>
    <t>25103</t>
  </si>
  <si>
    <t>ด.ญ.ฮาฟีซา เหมอุดม</t>
  </si>
  <si>
    <t>https://azizstan.net/student_image/25103.jpg</t>
  </si>
  <si>
    <t>25122</t>
  </si>
  <si>
    <t>ด.ญ.นูรูลซูฮาฎา เจะเฮง</t>
  </si>
  <si>
    <t>https://azizstan.net/student_image/25122.jpg</t>
  </si>
  <si>
    <t>25150</t>
  </si>
  <si>
    <t>ด.ญ.ฟาเดีย แวมามะ</t>
  </si>
  <si>
    <t>https://azizstan.net/student_image/25150.jpg</t>
  </si>
  <si>
    <t>25170</t>
  </si>
  <si>
    <t>ด.ญ.สุวัยบะฮ์ ดือราเซะ</t>
  </si>
  <si>
    <t>https://azizstan.net/student_image/25170.jpg</t>
  </si>
  <si>
    <t>25243</t>
  </si>
  <si>
    <t>ด.ญ.ตัสณีม มูเร็ง</t>
  </si>
  <si>
    <t>https://azizstan.net/student_image/25243.jpg</t>
  </si>
  <si>
    <t>24605</t>
  </si>
  <si>
    <t>ด.ญ.อามีเร๊าะห์ โตะเหะ</t>
  </si>
  <si>
    <t>ม.3/11</t>
  </si>
  <si>
    <t>อก.3/11</t>
  </si>
  <si>
    <t>https://azizstan.net/student_image/24605.jpg</t>
  </si>
  <si>
    <t>24611</t>
  </si>
  <si>
    <t>ด.ช.นัจญ์รอน เจะสารี</t>
  </si>
  <si>
    <t>https://azizstan.net/student_image/24611.jpg</t>
  </si>
  <si>
    <t>24612</t>
  </si>
  <si>
    <t>ด.ญ.นูรลัยลา มายาสัน</t>
  </si>
  <si>
    <t>https://azizstan.net/student_image/24612.jpg</t>
  </si>
  <si>
    <t>24630</t>
  </si>
  <si>
    <t>ด.ญ.ฮัซนา อิมำกะจิ</t>
  </si>
  <si>
    <t>https://azizstan.net/student_image/24630.jpg</t>
  </si>
  <si>
    <t>24644</t>
  </si>
  <si>
    <t>ด.ญ.ยาสมินนาดา แดหวา</t>
  </si>
  <si>
    <t>https://azizstan.net/student_image/24644.jpg</t>
  </si>
  <si>
    <t>24668</t>
  </si>
  <si>
    <t>ด.ญ.ดีนา ใบหมัด</t>
  </si>
  <si>
    <t>https://azizstan.net/student_image/24668.jpg</t>
  </si>
  <si>
    <t>24682</t>
  </si>
  <si>
    <t>ด.ช.อีลีย๊ะ มูซอ</t>
  </si>
  <si>
    <t>https://azizstan.net/student_image/24682.jpg</t>
  </si>
  <si>
    <t>24701</t>
  </si>
  <si>
    <t>ด.ญ.ณัฐยูวาล ซิเดะ</t>
  </si>
  <si>
    <t>https://azizstan.net/student_image/24701.jpg</t>
  </si>
  <si>
    <t>24734</t>
  </si>
  <si>
    <t>ด.ญ.นูรีฮัน ดือเร๊ะ</t>
  </si>
  <si>
    <t>https://azizstan.net/student_image/24734.jpg</t>
  </si>
  <si>
    <t>24764</t>
  </si>
  <si>
    <t>ด.ญ.ยัสมี หะยีมะแซ</t>
  </si>
  <si>
    <t>https://azizstan.net/student_image/24764.jpg</t>
  </si>
  <si>
    <t>24765</t>
  </si>
  <si>
    <t>ด.ญ.ลีซา กาซอ</t>
  </si>
  <si>
    <t>https://azizstan.net/student_image/24765.jpg</t>
  </si>
  <si>
    <t>24772</t>
  </si>
  <si>
    <t>ด.ญ.นูรอัยนี สาหลำ</t>
  </si>
  <si>
    <t>https://azizstan.net/student_image/24772.jpg</t>
  </si>
  <si>
    <t>24785</t>
  </si>
  <si>
    <t>ด.ญ.ซุลฟาร์ จานิ</t>
  </si>
  <si>
    <t>https://azizstan.net/student_image/24785.jpg</t>
  </si>
  <si>
    <t>24805</t>
  </si>
  <si>
    <t>ด.ญ.บัยซูรา มิหีม</t>
  </si>
  <si>
    <t>https://azizstan.net/student_image/24805.jpg</t>
  </si>
  <si>
    <t>24806</t>
  </si>
  <si>
    <t>ด.ช.อาดิล หะยีตาเยะ</t>
  </si>
  <si>
    <t>https://azizstan.net/student_image/24806.jpg</t>
  </si>
  <si>
    <t>24822</t>
  </si>
  <si>
    <t>ด.ญ.อัฟนาน เจ๊ะบู</t>
  </si>
  <si>
    <t>https://azizstan.net/student_image/24822.jpg</t>
  </si>
  <si>
    <t>24823</t>
  </si>
  <si>
    <t>ด.ญ.อันนิส สิริเต๊ะ</t>
  </si>
  <si>
    <t>https://azizstan.net/student_image/24823.jpg</t>
  </si>
  <si>
    <t>24824</t>
  </si>
  <si>
    <t>ด.ญ.ซามีมี อายิ</t>
  </si>
  <si>
    <t>https://azizstan.net/student_image/24824.jpg</t>
  </si>
  <si>
    <t>24843</t>
  </si>
  <si>
    <t>ด.ญ.นัสรีญา บากา</t>
  </si>
  <si>
    <t>https://azizstan.net/student_image/24843.jpg</t>
  </si>
  <si>
    <t>24854</t>
  </si>
  <si>
    <t>ด.ญ.ราฎียา ภูเวียง</t>
  </si>
  <si>
    <t>https://azizstan.net/student_image/24854.jpg</t>
  </si>
  <si>
    <t>24878</t>
  </si>
  <si>
    <t>ด.ญ.อาวาติฟ เจะบือราเฮง</t>
  </si>
  <si>
    <t>https://azizstan.net/student_image/24878.jpg</t>
  </si>
  <si>
    <t>24882</t>
  </si>
  <si>
    <t>ด.ญ.รัยญาน แลแร</t>
  </si>
  <si>
    <t>https://azizstan.net/student_image/24882.jpg</t>
  </si>
  <si>
    <t>24919</t>
  </si>
  <si>
    <t>ด.ญ.วีร์สุดา จาเละ</t>
  </si>
  <si>
    <t>https://azizstan.net/student_image/24919.jpg</t>
  </si>
  <si>
    <t>24922</t>
  </si>
  <si>
    <t>ด.ช.อามีน แวดีซา</t>
  </si>
  <si>
    <t>https://azizstan.net/student_image/24922.jpg</t>
  </si>
  <si>
    <t>https://azizstan.net/student_image/24937.jpg</t>
  </si>
  <si>
    <t>24946</t>
  </si>
  <si>
    <t>ด.ญ.อัสฟาซาณีย์ ลาแม็ง</t>
  </si>
  <si>
    <t>https://azizstan.net/student_image/24946.jpg</t>
  </si>
  <si>
    <t>24948</t>
  </si>
  <si>
    <t>ด.ญ.ตัสนีม กาซอ</t>
  </si>
  <si>
    <t>https://azizstan.net/student_image/24948.jpg</t>
  </si>
  <si>
    <t>24974</t>
  </si>
  <si>
    <t>ด.ญ.นุรฟิรดาว หะยีมะ</t>
  </si>
  <si>
    <t>https://azizstan.net/student_image/24974.jpg</t>
  </si>
  <si>
    <t>25007</t>
  </si>
  <si>
    <t>ด.ญ.ศิรภัสสร สั่นสท้าน</t>
  </si>
  <si>
    <t>https://azizstan.net/student_image/25007.jpg</t>
  </si>
  <si>
    <t>25040</t>
  </si>
  <si>
    <t>ด.ญ.ฮัซลีน เพ็งมูซอ</t>
  </si>
  <si>
    <t>https://azizstan.net/student_image/25040.jpg</t>
  </si>
  <si>
    <t>25085</t>
  </si>
  <si>
    <t>ด.ช.อลามี โตะยิ</t>
  </si>
  <si>
    <t>https://azizstan.net/student_image/25085.jpg</t>
  </si>
  <si>
    <t>25195</t>
  </si>
  <si>
    <t>ด.ญ.พิชญาภา หัดเร๊ะ</t>
  </si>
  <si>
    <t>https://azizstan.net/student_image/25195.jpg</t>
  </si>
  <si>
    <t>25200</t>
  </si>
  <si>
    <t>ด.ญ.นูรฟัรฮา มะลอทิม</t>
  </si>
  <si>
    <t>https://azizstan.net/student_image/25200.jpg</t>
  </si>
  <si>
    <t>25227</t>
  </si>
  <si>
    <t>ด.ญ.ปุตรีอาเลียร์ เจะแม</t>
  </si>
  <si>
    <t>https://azizstan.net/student_image/25227.jpg</t>
  </si>
  <si>
    <t>25283</t>
  </si>
  <si>
    <t>ด.ญ.นูรุลฮูดา โตะโยะ</t>
  </si>
  <si>
    <t>https://azizstan.net/student_image/25283.jpg</t>
  </si>
  <si>
    <t>25316</t>
  </si>
  <si>
    <t>ด.ช.อัฟฟาดี ทุยเลาะ</t>
  </si>
  <si>
    <t>https://azizstan.net/student_image/25316.jpg</t>
  </si>
  <si>
    <t>24001</t>
  </si>
  <si>
    <t>นายมูฮำมัดนาวาวี อะมิแซ</t>
  </si>
  <si>
    <t>ม.4/1</t>
  </si>
  <si>
    <t>อป.1/1</t>
  </si>
  <si>
    <t>https://azizstan.net/student_image/24001.jpg</t>
  </si>
  <si>
    <t>24062</t>
  </si>
  <si>
    <t>นายมะห์ดี เจ๊ะเลาะ</t>
  </si>
  <si>
    <t>https://azizstan.net/student_image/24062.jpg</t>
  </si>
  <si>
    <t>24124</t>
  </si>
  <si>
    <t>นายบาซิล บางัดสะโระ</t>
  </si>
  <si>
    <t>อก.3/1</t>
  </si>
  <si>
    <t>https://azizstan.net/student_image/24124.jpg</t>
  </si>
  <si>
    <t>24140</t>
  </si>
  <si>
    <t>นายมูฮัมหมัดนาอีม มะแอ</t>
  </si>
  <si>
    <t>https://azizstan.net/student_image/24140.jpg</t>
  </si>
  <si>
    <t>24145</t>
  </si>
  <si>
    <t>นายฟุรกอน ปูซู</t>
  </si>
  <si>
    <t>https://azizstan.net/student_image/24145.jpg</t>
  </si>
  <si>
    <t>24146</t>
  </si>
  <si>
    <t>นายอัฟริน ลาเต๊ะ</t>
  </si>
  <si>
    <t>https://azizstan.net/student_image/24146.jpg</t>
  </si>
  <si>
    <t>24149</t>
  </si>
  <si>
    <t>นายฟัรฮาน ดอเลาะ</t>
  </si>
  <si>
    <t>https://azizstan.net/student_image/24149.jpg</t>
  </si>
  <si>
    <t>24166</t>
  </si>
  <si>
    <t>นายฮัมรีย์ แวเตะ</t>
  </si>
  <si>
    <t>https://azizstan.net/student_image/24166.jpg</t>
  </si>
  <si>
    <t>https://azizstan.net/student_image/24173.jpg</t>
  </si>
  <si>
    <t>https://azizstan.net/student_image/24210.jpg</t>
  </si>
  <si>
    <t>24212</t>
  </si>
  <si>
    <t>นายฮูเซ็น เจ๊ะสะตำ</t>
  </si>
  <si>
    <t>https://azizstan.net/student_image/24212.jpg</t>
  </si>
  <si>
    <t>24227</t>
  </si>
  <si>
    <t>นายอีรฟาน เลาะสมาน</t>
  </si>
  <si>
    <t>https://azizstan.net/student_image/24227.jpg</t>
  </si>
  <si>
    <t>24252</t>
  </si>
  <si>
    <t>นายซารีฟ อาแว</t>
  </si>
  <si>
    <t>https://azizstan.net/student_image/24252.jpg</t>
  </si>
  <si>
    <t>https://azizstan.net/student_image/24289.jpg</t>
  </si>
  <si>
    <t>24323</t>
  </si>
  <si>
    <t>นายมูฮัมหมัดอาฟิ ดอเลาะ</t>
  </si>
  <si>
    <t>https://azizstan.net/student_image/24323.jpg</t>
  </si>
  <si>
    <t>24324</t>
  </si>
  <si>
    <t>นายอาริฟ บินสือนิ</t>
  </si>
  <si>
    <t>https://azizstan.net/student_image/24324.jpg</t>
  </si>
  <si>
    <t>24329</t>
  </si>
  <si>
    <t>นายซาวีร สำเร</t>
  </si>
  <si>
    <t>https://azizstan.net/student_image/24329.jpg</t>
  </si>
  <si>
    <t>24330</t>
  </si>
  <si>
    <t>นายซูฟัร สำเร</t>
  </si>
  <si>
    <t>https://azizstan.net/student_image/24330.jpg</t>
  </si>
  <si>
    <t>24333</t>
  </si>
  <si>
    <t>นายปรมัตถ์ ราศรีพฤกษ์</t>
  </si>
  <si>
    <t>https://azizstan.net/student_image/24333.jpg</t>
  </si>
  <si>
    <t>24341</t>
  </si>
  <si>
    <t>นายอุสมาน แวสาและ</t>
  </si>
  <si>
    <t>https://azizstan.net/student_image/24341.jpg</t>
  </si>
  <si>
    <t>https://azizstan.net/student_image/24349.jpg</t>
  </si>
  <si>
    <t>24350</t>
  </si>
  <si>
    <t>นายลุอัย นิตีเมาะ</t>
  </si>
  <si>
    <t>https://azizstan.net/student_image/24350.jpg</t>
  </si>
  <si>
    <t>24372</t>
  </si>
  <si>
    <t>นายฟุรกอล สาอิ</t>
  </si>
  <si>
    <t>https://azizstan.net/student_image/24372.jpg</t>
  </si>
  <si>
    <t>24390</t>
  </si>
  <si>
    <t>นายลุกมาน ดอเล๊าะ</t>
  </si>
  <si>
    <t>https://azizstan.net/student_image/24390.jpg</t>
  </si>
  <si>
    <t>24398</t>
  </si>
  <si>
    <t>นายอาสมี อาแว</t>
  </si>
  <si>
    <t>https://azizstan.net/student_image/24398.jpg</t>
  </si>
  <si>
    <t>24413</t>
  </si>
  <si>
    <t>นายสอฟวัณ ภักดีรัตนางกูร</t>
  </si>
  <si>
    <t>https://azizstan.net/student_image/24413.jpg</t>
  </si>
  <si>
    <t>24414</t>
  </si>
  <si>
    <t>นายอิมรอน สาเลง</t>
  </si>
  <si>
    <t>https://azizstan.net/student_image/24414.jpg</t>
  </si>
  <si>
    <t>24427</t>
  </si>
  <si>
    <t>นายอาดิล เส็นสะนา</t>
  </si>
  <si>
    <t>https://azizstan.net/student_image/24427.jpg</t>
  </si>
  <si>
    <t>24486</t>
  </si>
  <si>
    <t>นายมุสลิม ยุโสะ</t>
  </si>
  <si>
    <t>https://azizstan.net/student_image/24486.jpg</t>
  </si>
  <si>
    <t>24519</t>
  </si>
  <si>
    <t>นายสุฮัยมี มะสะ</t>
  </si>
  <si>
    <t>https://azizstan.net/student_image/24519.jpg</t>
  </si>
  <si>
    <t>24540</t>
  </si>
  <si>
    <t>นายซาวิตรี เจ๊ะสารี</t>
  </si>
  <si>
    <t>https://azizstan.net/student_image/24540.jpg</t>
  </si>
  <si>
    <t>24541</t>
  </si>
  <si>
    <t>นายรุซดาน สาแล๊ะหมิน</t>
  </si>
  <si>
    <t>https://azizstan.net/student_image/24541.jpg</t>
  </si>
  <si>
    <t>24546</t>
  </si>
  <si>
    <t>นายนินารีฟ สะหลำหมะ</t>
  </si>
  <si>
    <t>https://azizstan.net/student_image/24546.jpg</t>
  </si>
  <si>
    <t>24550</t>
  </si>
  <si>
    <t>นายนิมูฮัมมัดอาลาวี ยะเอะ</t>
  </si>
  <si>
    <t>https://azizstan.net/student_image/24550.jpg</t>
  </si>
  <si>
    <t>24556</t>
  </si>
  <si>
    <t>นายมูฮัมหมัดอำรีน มะเซ็ง</t>
  </si>
  <si>
    <t>https://azizstan.net/student_image/24556.jpg</t>
  </si>
  <si>
    <t>24563</t>
  </si>
  <si>
    <t>นายอารีฟีน เจะแม</t>
  </si>
  <si>
    <t>https://azizstan.net/student_image/24563.jpg</t>
  </si>
  <si>
    <t>24571</t>
  </si>
  <si>
    <t>นายอารอฟัด ดามัน</t>
  </si>
  <si>
    <t>https://azizstan.net/student_image/24571.jpg</t>
  </si>
  <si>
    <t>24578</t>
  </si>
  <si>
    <t>นายบัฎรี มะ</t>
  </si>
  <si>
    <t>https://azizstan.net/student_image/24578.jpg</t>
  </si>
  <si>
    <t>25263</t>
  </si>
  <si>
    <t>นายอาดิลัน อาหวัง</t>
  </si>
  <si>
    <t>https://azizstan.net/student_image/25263.jpg</t>
  </si>
  <si>
    <t>25924</t>
  </si>
  <si>
    <t>นายมูฮำหมัดรอมฎอน เจ๊ะเหม</t>
  </si>
  <si>
    <t>https://azizstan.net/student_image/25924.jpg</t>
  </si>
  <si>
    <t>25974</t>
  </si>
  <si>
    <t>นายมูฮัมหมัดฟิกรี ยามาดี</t>
  </si>
  <si>
    <t>https://azizstan.net/student_image/25974.jpg</t>
  </si>
  <si>
    <t>https://azizstan.net/student_image/26061.jpg</t>
  </si>
  <si>
    <t>26188</t>
  </si>
  <si>
    <t>นายทฤษฎี เวาะเซ็ง</t>
  </si>
  <si>
    <t>https://azizstan.net/student_image/26188.jpg</t>
  </si>
  <si>
    <t>26231</t>
  </si>
  <si>
    <t>นายมูฮัมหมัดอิมรอน คาเดร์</t>
  </si>
  <si>
    <t>https://azizstan.net/student_image/26231.jpg</t>
  </si>
  <si>
    <t>26354</t>
  </si>
  <si>
    <t>นายรอมฎอน แวนาแว</t>
  </si>
  <si>
    <t>https://azizstan.net/student_image/26354.jpg</t>
  </si>
  <si>
    <t>26415</t>
  </si>
  <si>
    <t>นายฟุรกอน ตาเฮ</t>
  </si>
  <si>
    <t>https://azizstan.net/student_image/26415.jpg</t>
  </si>
  <si>
    <t>26441</t>
  </si>
  <si>
    <t>นายอะฟันดี อะปิเซ็ง</t>
  </si>
  <si>
    <t>https://azizstan.net/student_image/26441.jpg</t>
  </si>
  <si>
    <t>26490</t>
  </si>
  <si>
    <t>นายซูเฟียน ดอเลาะ</t>
  </si>
  <si>
    <t>https://azizstan.net/student_image/26490.jpg</t>
  </si>
  <si>
    <t>26511</t>
  </si>
  <si>
    <t>นายอัลยูฟรีย์ มุสตากีม</t>
  </si>
  <si>
    <t>https://azizstan.net/student_image/26511.jpg</t>
  </si>
  <si>
    <t>26702</t>
  </si>
  <si>
    <t>นายอามีน กลามอ</t>
  </si>
  <si>
    <t>https://azizstan.net/student_image/26702.jpg</t>
  </si>
  <si>
    <t>26078</t>
  </si>
  <si>
    <t>น.ส.เอมิกา ฮามะ</t>
  </si>
  <si>
    <t>ม.4/2</t>
  </si>
  <si>
    <t>อก.1/14</t>
  </si>
  <si>
    <t>https://azizstan.net/student_image/26078.jpg</t>
  </si>
  <si>
    <t>26120</t>
  </si>
  <si>
    <t>น.ส.นุรฮูดา บากา</t>
  </si>
  <si>
    <t>https://azizstan.net/student_image/26120.jpg</t>
  </si>
  <si>
    <t>https://azizstan.net/student_image/26147.jpg</t>
  </si>
  <si>
    <t>26159</t>
  </si>
  <si>
    <t>น.ส.อาวาติฟ สะมะ</t>
  </si>
  <si>
    <t>https://azizstan.net/student_image/26159.jpg</t>
  </si>
  <si>
    <t>26264</t>
  </si>
  <si>
    <t>นายอิกรอม ดอเล๊าะ</t>
  </si>
  <si>
    <t>https://azizstan.net/student_image/26264.jpg</t>
  </si>
  <si>
    <t>26287</t>
  </si>
  <si>
    <t>น.ส.มุสลีฮา ตาเยะ</t>
  </si>
  <si>
    <t>https://azizstan.net/student_image/26287.jpg</t>
  </si>
  <si>
    <t>https://azizstan.net/student_image/26340.jpg</t>
  </si>
  <si>
    <t>26359</t>
  </si>
  <si>
    <t>น.ส.ซุลฟาร์ โดยหมะ</t>
  </si>
  <si>
    <t>https://azizstan.net/student_image/26359.jpg</t>
  </si>
  <si>
    <t>26404</t>
  </si>
  <si>
    <t>น.ส.โซเฟีย ดะแล</t>
  </si>
  <si>
    <t>https://azizstan.net/student_image/26404.jpg</t>
  </si>
  <si>
    <t>26424</t>
  </si>
  <si>
    <t>น.ส.นัสริน หะมะ</t>
  </si>
  <si>
    <t>https://azizstan.net/student_image/26424.jpg</t>
  </si>
  <si>
    <t>26464</t>
  </si>
  <si>
    <t>น.ส.นูรตัสนีม มะแอ</t>
  </si>
  <si>
    <t>https://azizstan.net/student_image/26464.jpg</t>
  </si>
  <si>
    <t>26525</t>
  </si>
  <si>
    <t>น.ส.ฟะห์มี การิง</t>
  </si>
  <si>
    <t>https://azizstan.net/student_image/26525.jpg</t>
  </si>
  <si>
    <t>26541</t>
  </si>
  <si>
    <t>น.ส.นุสรีน กูนา</t>
  </si>
  <si>
    <t>https://azizstan.net/student_image/26541.jpg</t>
  </si>
  <si>
    <t>26544</t>
  </si>
  <si>
    <t>น.ส.อาวาติฟ บาตูขาเด็ง</t>
  </si>
  <si>
    <t>https://azizstan.net/student_image/26544.jpg</t>
  </si>
  <si>
    <t>26553</t>
  </si>
  <si>
    <t>น.ส.ซูไรยา แนสะ</t>
  </si>
  <si>
    <t>https://azizstan.net/student_image/26553.jpg</t>
  </si>
  <si>
    <t>26562</t>
  </si>
  <si>
    <t>น.ส.อิลฮัม อารง</t>
  </si>
  <si>
    <t>https://azizstan.net/student_image/26562.jpg</t>
  </si>
  <si>
    <t>26566</t>
  </si>
  <si>
    <t>น.ส.นูรฮัยฟา ยะลาหะ</t>
  </si>
  <si>
    <t>https://azizstan.net/student_image/26566.jpg</t>
  </si>
  <si>
    <t>26570</t>
  </si>
  <si>
    <t>น.ส.ซุฟเฟียนีย์ โว๊ะโก</t>
  </si>
  <si>
    <t>https://azizstan.net/student_image/26570.jpg</t>
  </si>
  <si>
    <t>https://azizstan.net/student_image/26577.jpg</t>
  </si>
  <si>
    <t>26579</t>
  </si>
  <si>
    <t>น.ส.นุรอัยมาน ดอเล๊าะ</t>
  </si>
  <si>
    <t>https://azizstan.net/student_image/26579.jpg</t>
  </si>
  <si>
    <t>26606</t>
  </si>
  <si>
    <t>น.ส.สูฟียา เจ๊ะอูมา</t>
  </si>
  <si>
    <t>https://azizstan.net/student_image/26606.jpg</t>
  </si>
  <si>
    <t>26607</t>
  </si>
  <si>
    <t>น.ส.นูรอีสซาน ดือราแม</t>
  </si>
  <si>
    <t>https://azizstan.net/student_image/26607.jpg</t>
  </si>
  <si>
    <t>26632</t>
  </si>
  <si>
    <t>นายอับดุลก็อฟฟาร สอเล๊าะ</t>
  </si>
  <si>
    <t>https://azizstan.net/student_image/26632.jpg</t>
  </si>
  <si>
    <t>26635</t>
  </si>
  <si>
    <t>นายเศรษฐิกุล อุเซ็ง</t>
  </si>
  <si>
    <t>https://azizstan.net/student_image/26635.jpg</t>
  </si>
  <si>
    <t>26636</t>
  </si>
  <si>
    <t>นายฮัษวาน เจะอุบง</t>
  </si>
  <si>
    <t>https://azizstan.net/student_image/26636.jpg</t>
  </si>
  <si>
    <t>26637</t>
  </si>
  <si>
    <t>นายอัมรัน เจ๊ะมาโซ</t>
  </si>
  <si>
    <t>https://azizstan.net/student_image/26637.jpg</t>
  </si>
  <si>
    <t>26649</t>
  </si>
  <si>
    <t>น.ส.อาอีดะห์ มะสาแม</t>
  </si>
  <si>
    <t>https://azizstan.net/student_image/26649.jpg</t>
  </si>
  <si>
    <t>26666</t>
  </si>
  <si>
    <t>นายซูไฮมีน ดออะ</t>
  </si>
  <si>
    <t>อป.1/2</t>
  </si>
  <si>
    <t>https://azizstan.net/student_image/26666.jpg</t>
  </si>
  <si>
    <t>26675</t>
  </si>
  <si>
    <t>นายอานัส หะยีคาเดร์</t>
  </si>
  <si>
    <t>อก.3/2</t>
  </si>
  <si>
    <t>https://azizstan.net/student_image/26675.jpg</t>
  </si>
  <si>
    <t>26683</t>
  </si>
  <si>
    <t>นายสิทธิพร พิมพกุล</t>
  </si>
  <si>
    <t>https://azizstan.net/student_image/26683.jpg</t>
  </si>
  <si>
    <t>26685</t>
  </si>
  <si>
    <t>น.ส.ฮุสนา ตาเยะ</t>
  </si>
  <si>
    <t>https://azizstan.net/student_image/26685.jpg</t>
  </si>
  <si>
    <t>26710</t>
  </si>
  <si>
    <t>นายชัยนูดีน สาเมาะ</t>
  </si>
  <si>
    <t>https://azizstan.net/student_image/26710.jpg</t>
  </si>
  <si>
    <t>26737</t>
  </si>
  <si>
    <t>น.ส.ตัสนีม ผมพยับ</t>
  </si>
  <si>
    <t>https://azizstan.net/student_image/26737.jpg</t>
  </si>
  <si>
    <t>26757</t>
  </si>
  <si>
    <t>น.ส.สุไรฮา ดอเลาะ</t>
  </si>
  <si>
    <t>https://azizstan.net/student_image/26757.jpg</t>
  </si>
  <si>
    <t>26758</t>
  </si>
  <si>
    <t>น.ส.ซอฟียะห์ บระอาซัน</t>
  </si>
  <si>
    <t>https://azizstan.net/student_image/26758.jpg</t>
  </si>
  <si>
    <t>https://azizstan.net/student_image/26771.jpg</t>
  </si>
  <si>
    <t>26775</t>
  </si>
  <si>
    <t>น.ส.อัยรินทร์ ดุลยดากรณ์</t>
  </si>
  <si>
    <t>https://azizstan.net/student_image/26775.jpg</t>
  </si>
  <si>
    <t>26776</t>
  </si>
  <si>
    <t>น.ส.กูฟิรดาวส์ จะแหน</t>
  </si>
  <si>
    <t>https://azizstan.net/student_image/26776.jpg</t>
  </si>
  <si>
    <t>26778</t>
  </si>
  <si>
    <t>นายอิมรอน ดาหลาย</t>
  </si>
  <si>
    <t>https://azizstan.net/student_image/26778.jpg</t>
  </si>
  <si>
    <t>https://azizstan.net/student_image/26782.jpg</t>
  </si>
  <si>
    <t>26783</t>
  </si>
  <si>
    <t>น.ส.นุรอาซียะห์ มะกองอ</t>
  </si>
  <si>
    <t>https://azizstan.net/student_image/26783.jpg</t>
  </si>
  <si>
    <t>26784</t>
  </si>
  <si>
    <t>นายมุสลิม หามะ</t>
  </si>
  <si>
    <t>https://azizstan.net/student_image/26784.jpg</t>
  </si>
  <si>
    <t>26801</t>
  </si>
  <si>
    <t>น.ส.แวตัสณีม สาเหม๊าะ</t>
  </si>
  <si>
    <t>https://azizstan.net/student_image/26801.jpg</t>
  </si>
  <si>
    <t>26804</t>
  </si>
  <si>
    <t>นายมิฟฏอล มะยูโซ๊ะ</t>
  </si>
  <si>
    <t>https://azizstan.net/student_image/26804.jpg</t>
  </si>
  <si>
    <t>23996</t>
  </si>
  <si>
    <t>น.ส.ดาเวียร์ บูงอสะนอ</t>
  </si>
  <si>
    <t>ม.4/3</t>
  </si>
  <si>
    <t>อก.3/9</t>
  </si>
  <si>
    <t>https://azizstan.net/student_image/23996.jpg</t>
  </si>
  <si>
    <t>24005</t>
  </si>
  <si>
    <t>น.ส.ซูฟียะห์ สามาแอ</t>
  </si>
  <si>
    <t>อก.3/15</t>
  </si>
  <si>
    <t>https://azizstan.net/student_image/24005.jpg</t>
  </si>
  <si>
    <t>https://azizstan.net/student_image/24006.jpg</t>
  </si>
  <si>
    <t>24017</t>
  </si>
  <si>
    <t>น.ส.นูรฮายาตี แวหามะ</t>
  </si>
  <si>
    <t>https://azizstan.net/student_image/24017.jpg</t>
  </si>
  <si>
    <t>https://azizstan.net/student_image/24022.jpg</t>
  </si>
  <si>
    <t>24023</t>
  </si>
  <si>
    <t>น.ส.นูรุลฮูดา เจะบือเฮง</t>
  </si>
  <si>
    <t>https://azizstan.net/student_image/24023.jpg</t>
  </si>
  <si>
    <t>https://azizstan.net/student_image/24025.jpg</t>
  </si>
  <si>
    <t>24038</t>
  </si>
  <si>
    <t>น.ส.นัสมี สอและ</t>
  </si>
  <si>
    <t>https://azizstan.net/student_image/24038.jpg</t>
  </si>
  <si>
    <t>24040</t>
  </si>
  <si>
    <t>น.ส.ณารีตา มะตอมะ</t>
  </si>
  <si>
    <t>https://azizstan.net/student_image/24040.jpg</t>
  </si>
  <si>
    <t>24046</t>
  </si>
  <si>
    <t>น.ส.นูรซัมซียะห์ เจะเกาะบะ</t>
  </si>
  <si>
    <t>https://azizstan.net/student_image/24046.jpg</t>
  </si>
  <si>
    <t>https://azizstan.net/student_image/24050.jpg</t>
  </si>
  <si>
    <t>24053</t>
  </si>
  <si>
    <t>น.ส.สารินี สะมะ</t>
  </si>
  <si>
    <t>https://azizstan.net/student_image/24053.jpg</t>
  </si>
  <si>
    <t>24067</t>
  </si>
  <si>
    <t>น.ส.นูรุลนิสา เจ๊ะเหาะ</t>
  </si>
  <si>
    <t>https://azizstan.net/student_image/24067.jpg</t>
  </si>
  <si>
    <t>https://azizstan.net/student_image/24070.jpg</t>
  </si>
  <si>
    <t>24071</t>
  </si>
  <si>
    <t>น.ส.โซเฟียนี หมะเด็น</t>
  </si>
  <si>
    <t>https://azizstan.net/student_image/24071.jpg</t>
  </si>
  <si>
    <t>24079</t>
  </si>
  <si>
    <t>น.ส.นาซูฮา วานิ</t>
  </si>
  <si>
    <t>https://azizstan.net/student_image/24079.jpg</t>
  </si>
  <si>
    <t>24087</t>
  </si>
  <si>
    <t>น.ส.ฟาร่า สุหลง</t>
  </si>
  <si>
    <t>https://azizstan.net/student_image/24087.jpg</t>
  </si>
  <si>
    <t>24096</t>
  </si>
  <si>
    <t>น.ส.กอนีตะห์ กาเร็ง</t>
  </si>
  <si>
    <t>https://azizstan.net/student_image/24096.jpg</t>
  </si>
  <si>
    <t>24099</t>
  </si>
  <si>
    <t>น.ส.บารออะฮ์ หวัง</t>
  </si>
  <si>
    <t>https://azizstan.net/student_image/24099.jpg</t>
  </si>
  <si>
    <t>24109</t>
  </si>
  <si>
    <t>น.ส.ฮานีฟาร์ รือแม</t>
  </si>
  <si>
    <t>https://azizstan.net/student_image/24109.jpg</t>
  </si>
  <si>
    <t>24113</t>
  </si>
  <si>
    <t>น.ส.เจ๊ะนูฟาตีหะฮ์ สะแลแม</t>
  </si>
  <si>
    <t>https://azizstan.net/student_image/24113.jpg</t>
  </si>
  <si>
    <t>24118</t>
  </si>
  <si>
    <t>น.ส.รุสณี แมแร</t>
  </si>
  <si>
    <t>https://azizstan.net/student_image/24118.jpg</t>
  </si>
  <si>
    <t>24128</t>
  </si>
  <si>
    <t>น.ส.ณัฐกานต์ โมงหนิหมะ</t>
  </si>
  <si>
    <t>https://azizstan.net/student_image/24128.jpg</t>
  </si>
  <si>
    <t>24137</t>
  </si>
  <si>
    <t>น.ส.นูรวีย์อาม แวสามะ</t>
  </si>
  <si>
    <t>https://azizstan.net/student_image/24137.jpg</t>
  </si>
  <si>
    <t>24163</t>
  </si>
  <si>
    <t>น.ส.ตัสลีมะห์ เหล็บ</t>
  </si>
  <si>
    <t>https://azizstan.net/student_image/24163.jpg</t>
  </si>
  <si>
    <t>24189</t>
  </si>
  <si>
    <t>น.ส.ฮานีซะฮ์ หลีกา</t>
  </si>
  <si>
    <t>https://azizstan.net/student_image/24189.jpg</t>
  </si>
  <si>
    <t>24190</t>
  </si>
  <si>
    <t>น.ส.นัสริน มามะ</t>
  </si>
  <si>
    <t>https://azizstan.net/student_image/24190.jpg</t>
  </si>
  <si>
    <t>24231</t>
  </si>
  <si>
    <t>น.ส.ฟาฏอนียะห์ ปอสา</t>
  </si>
  <si>
    <t>https://azizstan.net/student_image/24231.jpg</t>
  </si>
  <si>
    <t>24264</t>
  </si>
  <si>
    <t>น.ส.นูร์วูลเลีย สิเดะ</t>
  </si>
  <si>
    <t>https://azizstan.net/student_image/24264.jpg</t>
  </si>
  <si>
    <t>24293</t>
  </si>
  <si>
    <t>น.ส.ซูรีนา มะโร๊ะ</t>
  </si>
  <si>
    <t>https://azizstan.net/student_image/24293.jpg</t>
  </si>
  <si>
    <t>24299</t>
  </si>
  <si>
    <t>น.ส.นุรอินตีนา สะมะแอ</t>
  </si>
  <si>
    <t>https://azizstan.net/student_image/24299.jpg</t>
  </si>
  <si>
    <t>https://azizstan.net/student_image/24331.jpg</t>
  </si>
  <si>
    <t>24345</t>
  </si>
  <si>
    <t>น.ส.นูรซาร์ฮีรา มะและ</t>
  </si>
  <si>
    <t>https://azizstan.net/student_image/24345.jpg</t>
  </si>
  <si>
    <t>24374</t>
  </si>
  <si>
    <t>น.ส.บุสริน ลาเต๊ะ</t>
  </si>
  <si>
    <t>https://azizstan.net/student_image/24374.jpg</t>
  </si>
  <si>
    <t>24375</t>
  </si>
  <si>
    <t>น.ส.อัซมี สาเล็ง</t>
  </si>
  <si>
    <t>https://azizstan.net/student_image/24375.jpg</t>
  </si>
  <si>
    <t>24447</t>
  </si>
  <si>
    <t>น.ส.มุสลีมะ เนียมนำ</t>
  </si>
  <si>
    <t>https://azizstan.net/student_image/24447.jpg</t>
  </si>
  <si>
    <t>https://azizstan.net/student_image/24454.jpg</t>
  </si>
  <si>
    <t>24455</t>
  </si>
  <si>
    <t>น.ส.ชลิตา อุเซ็ง</t>
  </si>
  <si>
    <t>https://azizstan.net/student_image/24455.jpg</t>
  </si>
  <si>
    <t>24471</t>
  </si>
  <si>
    <t>น.ส.มารีญาณี เมาะอะ</t>
  </si>
  <si>
    <t>https://azizstan.net/student_image/24471.jpg</t>
  </si>
  <si>
    <t>24476</t>
  </si>
  <si>
    <t>น.ส.นัซมี ดือราแม</t>
  </si>
  <si>
    <t>https://azizstan.net/student_image/24476.jpg</t>
  </si>
  <si>
    <t>24514</t>
  </si>
  <si>
    <t>น.ส.ซาวิตรี มะยิ</t>
  </si>
  <si>
    <t>https://azizstan.net/student_image/24514.jpg</t>
  </si>
  <si>
    <t>24523</t>
  </si>
  <si>
    <t>น.ส.นูรูลนีซา มะลี</t>
  </si>
  <si>
    <t>https://azizstan.net/student_image/24523.jpg</t>
  </si>
  <si>
    <t>25311</t>
  </si>
  <si>
    <t>น.ส.นาซูฮา ดอเลาะ</t>
  </si>
  <si>
    <t>https://azizstan.net/student_image/25311.jpg</t>
  </si>
  <si>
    <t>26073</t>
  </si>
  <si>
    <t>น.ส.ฮูเรีย ดือราแม</t>
  </si>
  <si>
    <t>https://azizstan.net/student_image/26073.jpg</t>
  </si>
  <si>
    <t>26432</t>
  </si>
  <si>
    <t>น.ส.ขวัญตา จันทรศรี</t>
  </si>
  <si>
    <t>อป.1/3</t>
  </si>
  <si>
    <t>https://azizstan.net/student_image/26432.jpg</t>
  </si>
  <si>
    <t>26797</t>
  </si>
  <si>
    <t>น.ส.นูฮานียา หาดแก้ว</t>
  </si>
  <si>
    <t>https://azizstan.net/student_image/26797.jpg</t>
  </si>
  <si>
    <t>23879</t>
  </si>
  <si>
    <t>น.ส.นัสรียา เจะเงาะ</t>
  </si>
  <si>
    <t>ม.4/4</t>
  </si>
  <si>
    <t>อก.3/16</t>
  </si>
  <si>
    <t>https://azizstan.net/student_image/23879.jpg</t>
  </si>
  <si>
    <t>23998</t>
  </si>
  <si>
    <t>น.ส.นัจญ์มีย์ เจะแต</t>
  </si>
  <si>
    <t>https://azizstan.net/student_image/23998.jpg</t>
  </si>
  <si>
    <t>24010</t>
  </si>
  <si>
    <t>น.ส.อาณีฟซัลวา เหมอุดม</t>
  </si>
  <si>
    <t>https://azizstan.net/student_image/24010.jpg</t>
  </si>
  <si>
    <t>24013</t>
  </si>
  <si>
    <t>น.ส.ปุญญิศา ศรีน้อย</t>
  </si>
  <si>
    <t>https://azizstan.net/student_image/24013.jpg</t>
  </si>
  <si>
    <t>24024</t>
  </si>
  <si>
    <t>น.ส.นูรีดา บาตูขาเด็ง</t>
  </si>
  <si>
    <t>https://azizstan.net/student_image/24024.jpg</t>
  </si>
  <si>
    <t>24035</t>
  </si>
  <si>
    <t>น.ส.ฮัซวานี ยือรา</t>
  </si>
  <si>
    <t>https://azizstan.net/student_image/24035.jpg</t>
  </si>
  <si>
    <t>24081</t>
  </si>
  <si>
    <t>น.ส.ฮุสไนลา สมานสุหลง</t>
  </si>
  <si>
    <t>https://azizstan.net/student_image/24081.jpg</t>
  </si>
  <si>
    <t>24091</t>
  </si>
  <si>
    <t>น.ส.ชดารัตน์ หลีล่าสัน</t>
  </si>
  <si>
    <t>https://azizstan.net/student_image/24091.jpg</t>
  </si>
  <si>
    <t>อป.1/4</t>
  </si>
  <si>
    <t>https://azizstan.net/student_image/24105.jpg</t>
  </si>
  <si>
    <t>24132</t>
  </si>
  <si>
    <t>น.ส.สุนิดา ดาหมิ</t>
  </si>
  <si>
    <t>อก.3/18</t>
  </si>
  <si>
    <t>https://azizstan.net/student_image/24132.jpg</t>
  </si>
  <si>
    <t>24133</t>
  </si>
  <si>
    <t>น.ส.ซีตีอามีเนาะ โต๊ะเวาะซะ</t>
  </si>
  <si>
    <t>https://azizstan.net/student_image/24133.jpg</t>
  </si>
  <si>
    <t>24186</t>
  </si>
  <si>
    <t>น.ส.นูรไลลา มอลอ</t>
  </si>
  <si>
    <t>https://azizstan.net/student_image/24186.jpg</t>
  </si>
  <si>
    <t>24188</t>
  </si>
  <si>
    <t>น.ส.อัสมะ สะอะ</t>
  </si>
  <si>
    <t>https://azizstan.net/student_image/24188.jpg</t>
  </si>
  <si>
    <t>24192</t>
  </si>
  <si>
    <t>น.ส.นูรซอลีฮะห์ สุหลง</t>
  </si>
  <si>
    <t>https://azizstan.net/student_image/24192.jpg</t>
  </si>
  <si>
    <t>24193</t>
  </si>
  <si>
    <t>น.ส.อัสมี มะเละ</t>
  </si>
  <si>
    <t>https://azizstan.net/student_image/24193.jpg</t>
  </si>
  <si>
    <t>24204</t>
  </si>
  <si>
    <t>น.ส.รอยฮัน แยนา</t>
  </si>
  <si>
    <t>https://azizstan.net/student_image/24204.jpg</t>
  </si>
  <si>
    <t>24255</t>
  </si>
  <si>
    <t>น.ส.ฟิตรียะห์ ดือราแม</t>
  </si>
  <si>
    <t>https://azizstan.net/student_image/24255.jpg</t>
  </si>
  <si>
    <t>24258</t>
  </si>
  <si>
    <t>น.ส.ฟาตีฮะห์ ดอเลาะ</t>
  </si>
  <si>
    <t>https://azizstan.net/student_image/24258.jpg</t>
  </si>
  <si>
    <t>24260</t>
  </si>
  <si>
    <t>น.ส.นิสา ปูตะ</t>
  </si>
  <si>
    <t>https://azizstan.net/student_image/24260.jpg</t>
  </si>
  <si>
    <t>24267</t>
  </si>
  <si>
    <t>น.ส.ฮัฟซาน นิพร่อน</t>
  </si>
  <si>
    <t>https://azizstan.net/student_image/24267.jpg</t>
  </si>
  <si>
    <t>24285</t>
  </si>
  <si>
    <t>น.ส.ฟาดีละห์ เจ๊ะลอ</t>
  </si>
  <si>
    <t>https://azizstan.net/student_image/24285.jpg</t>
  </si>
  <si>
    <t>24296</t>
  </si>
  <si>
    <t>น.ส.นูรไอนี มะลี</t>
  </si>
  <si>
    <t>https://azizstan.net/student_image/24296.jpg</t>
  </si>
  <si>
    <t>24311</t>
  </si>
  <si>
    <t>น.ส.ตัศนิม เขียวเล</t>
  </si>
  <si>
    <t>https://azizstan.net/student_image/24311.jpg</t>
  </si>
  <si>
    <t>24312</t>
  </si>
  <si>
    <t>น.ส.นูรฮาซีกีน ตาเย๊ะ</t>
  </si>
  <si>
    <t>https://azizstan.net/student_image/24312.jpg</t>
  </si>
  <si>
    <t>24314</t>
  </si>
  <si>
    <t>น.ส.นูรีฮัน ยูโซะ</t>
  </si>
  <si>
    <t>https://azizstan.net/student_image/24314.jpg</t>
  </si>
  <si>
    <t>24327</t>
  </si>
  <si>
    <t>น.ส.อัฟนาน แวดาโอะ</t>
  </si>
  <si>
    <t>https://azizstan.net/student_image/24327.jpg</t>
  </si>
  <si>
    <t>24332</t>
  </si>
  <si>
    <t>น.ส.อิลญานา สาและ</t>
  </si>
  <si>
    <t>https://azizstan.net/student_image/24332.jpg</t>
  </si>
  <si>
    <t>https://azizstan.net/student_image/24357.jpg</t>
  </si>
  <si>
    <t>24373</t>
  </si>
  <si>
    <t>น.ส.โซเฟีย เจ๊ะเละ</t>
  </si>
  <si>
    <t>https://azizstan.net/student_image/24373.jpg</t>
  </si>
  <si>
    <t>24396</t>
  </si>
  <si>
    <t>น.ส.การีมะห์ มะเซ็ง</t>
  </si>
  <si>
    <t>https://azizstan.net/student_image/24396.jpg</t>
  </si>
  <si>
    <t>24419</t>
  </si>
  <si>
    <t>น.ส.นูรมี บูดี</t>
  </si>
  <si>
    <t>https://azizstan.net/student_image/24419.jpg</t>
  </si>
  <si>
    <t>24437</t>
  </si>
  <si>
    <t>น.ส.ฟาดีละห์ สะอิ</t>
  </si>
  <si>
    <t>https://azizstan.net/student_image/24437.jpg</t>
  </si>
  <si>
    <t>24449</t>
  </si>
  <si>
    <t>น.ส.ซัลวานี มะลี</t>
  </si>
  <si>
    <t>https://azizstan.net/student_image/24449.jpg</t>
  </si>
  <si>
    <t>24469</t>
  </si>
  <si>
    <t>น.ส.ซูไรดา แมเราะ</t>
  </si>
  <si>
    <t>https://azizstan.net/student_image/24469.jpg</t>
  </si>
  <si>
    <t>24480</t>
  </si>
  <si>
    <t>น.ส.ซาฟาเนียร์ สะอะ</t>
  </si>
  <si>
    <t>https://azizstan.net/student_image/24480.jpg</t>
  </si>
  <si>
    <t>24509</t>
  </si>
  <si>
    <t>น.ส.นุรฟาดีลา ดาโอ๊ะมุสอ</t>
  </si>
  <si>
    <t>https://azizstan.net/student_image/24509.jpg</t>
  </si>
  <si>
    <t>25290</t>
  </si>
  <si>
    <t>น.ส.นาเดีย มะแซ</t>
  </si>
  <si>
    <t>https://azizstan.net/student_image/25290.jpg</t>
  </si>
  <si>
    <t>25317</t>
  </si>
  <si>
    <t>น.ส.อิบตีฮาน อีซอ</t>
  </si>
  <si>
    <t>https://azizstan.net/student_image/25317.jpg</t>
  </si>
  <si>
    <t>25752</t>
  </si>
  <si>
    <t>น.ส.ธีฌาภัค สาและ</t>
  </si>
  <si>
    <t>https://azizstan.net/student_image/25752.jpg</t>
  </si>
  <si>
    <t>25829</t>
  </si>
  <si>
    <t>น.ส.ฮัซวานี มะกาเซ็ม</t>
  </si>
  <si>
    <t>https://azizstan.net/student_image/25829.jpg</t>
  </si>
  <si>
    <t>25919</t>
  </si>
  <si>
    <t>น.ส.ซามีมีย์ ลาดอ</t>
  </si>
  <si>
    <t>https://azizstan.net/student_image/25919.jpg</t>
  </si>
  <si>
    <t>26015</t>
  </si>
  <si>
    <t>น.ส.ดารุณี มะเย๊าะ</t>
  </si>
  <si>
    <t>https://azizstan.net/student_image/26015.jpg</t>
  </si>
  <si>
    <t>24004</t>
  </si>
  <si>
    <t>น.ส.นาดา โอะจิ</t>
  </si>
  <si>
    <t>ม.4/5</t>
  </si>
  <si>
    <t>อป.1/5</t>
  </si>
  <si>
    <t>https://azizstan.net/student_image/24004.jpg</t>
  </si>
  <si>
    <t>24020</t>
  </si>
  <si>
    <t>น.ส.รุสนาดีญา รัญจวน</t>
  </si>
  <si>
    <t>https://azizstan.net/student_image/24020.jpg</t>
  </si>
  <si>
    <t>24036</t>
  </si>
  <si>
    <t>น.ส.นิสรีน แปะแนะ</t>
  </si>
  <si>
    <t>https://azizstan.net/student_image/24036.jpg</t>
  </si>
  <si>
    <t>24042</t>
  </si>
  <si>
    <t>น.ส.กฤษณี สุหลงกุ</t>
  </si>
  <si>
    <t>https://azizstan.net/student_image/24042.jpg</t>
  </si>
  <si>
    <t>24064</t>
  </si>
  <si>
    <t>น.ส.ซุลนูไรนี มะหะจิ</t>
  </si>
  <si>
    <t>https://azizstan.net/student_image/24064.jpg</t>
  </si>
  <si>
    <t>24068</t>
  </si>
  <si>
    <t>น.ส.นิลาตีฟะห์ นิเล๊าะ</t>
  </si>
  <si>
    <t>https://azizstan.net/student_image/24068.jpg</t>
  </si>
  <si>
    <t>24076</t>
  </si>
  <si>
    <t>น.ส.บิสมิลลา กานิง</t>
  </si>
  <si>
    <t>https://azizstan.net/student_image/24076.jpg</t>
  </si>
  <si>
    <t>24082</t>
  </si>
  <si>
    <t>น.ส.นูรอิบติซาม เจ๊ะเลง</t>
  </si>
  <si>
    <t>https://azizstan.net/student_image/24082.jpg</t>
  </si>
  <si>
    <t>https://azizstan.net/student_image/24093.jpg</t>
  </si>
  <si>
    <t>24155</t>
  </si>
  <si>
    <t>น.ส.อัฟนาน ดือราซอ</t>
  </si>
  <si>
    <t>https://azizstan.net/student_image/24155.jpg</t>
  </si>
  <si>
    <t>24157</t>
  </si>
  <si>
    <t>น.ส.นุรนาอีม สาเมาะ</t>
  </si>
  <si>
    <t>https://azizstan.net/student_image/24157.jpg</t>
  </si>
  <si>
    <t>https://azizstan.net/student_image/24158.jpg</t>
  </si>
  <si>
    <t>24170</t>
  </si>
  <si>
    <t>น.ส.ตัสนีม อีซอมูซอ</t>
  </si>
  <si>
    <t>https://azizstan.net/student_image/24170.jpg</t>
  </si>
  <si>
    <t>24174</t>
  </si>
  <si>
    <t>น.ส.ซัลวานี อับดุลลาเตะ</t>
  </si>
  <si>
    <t>https://azizstan.net/student_image/24174.jpg</t>
  </si>
  <si>
    <t>24177</t>
  </si>
  <si>
    <t>น.ส.วรรณิสา สาและบู</t>
  </si>
  <si>
    <t>https://azizstan.net/student_image/24177.jpg</t>
  </si>
  <si>
    <t>24187</t>
  </si>
  <si>
    <t>น.ส.นัจญวา เจะหะ</t>
  </si>
  <si>
    <t>https://azizstan.net/student_image/24187.jpg</t>
  </si>
  <si>
    <t>24205</t>
  </si>
  <si>
    <t>น.ส.ซอบารีย๊ะ ปะดอ</t>
  </si>
  <si>
    <t>https://azizstan.net/student_image/24205.jpg</t>
  </si>
  <si>
    <t>24214</t>
  </si>
  <si>
    <t>น.ส.นุรอนิษา มะสะ</t>
  </si>
  <si>
    <t>https://azizstan.net/student_image/24214.jpg</t>
  </si>
  <si>
    <t>24220</t>
  </si>
  <si>
    <t>น.ส.นิสรีน โตะและ</t>
  </si>
  <si>
    <t>https://azizstan.net/student_image/24220.jpg</t>
  </si>
  <si>
    <t>24222</t>
  </si>
  <si>
    <t>น.ส.รูอาร์ สะมะแอ</t>
  </si>
  <si>
    <t>https://azizstan.net/student_image/24222.jpg</t>
  </si>
  <si>
    <t>24223</t>
  </si>
  <si>
    <t>น.ส.ซีรินทร์ มะเซ็ง</t>
  </si>
  <si>
    <t>https://azizstan.net/student_image/24223.jpg</t>
  </si>
  <si>
    <t>24224</t>
  </si>
  <si>
    <t>น.ส.ซีฟะห์ มะเซ็ง</t>
  </si>
  <si>
    <t>https://azizstan.net/student_image/24224.jpg</t>
  </si>
  <si>
    <t>https://azizstan.net/student_image/24256.jpg</t>
  </si>
  <si>
    <t>24257</t>
  </si>
  <si>
    <t>น.ส.นุรมะห์ มะดีเยาะ</t>
  </si>
  <si>
    <t>https://azizstan.net/student_image/24257.jpg</t>
  </si>
  <si>
    <t>24376</t>
  </si>
  <si>
    <t>น.ส.นูรรัยซะห์ กูจิ</t>
  </si>
  <si>
    <t>https://azizstan.net/student_image/24376.jpg</t>
  </si>
  <si>
    <t>https://azizstan.net/student_image/24393.jpg</t>
  </si>
  <si>
    <t>24399</t>
  </si>
  <si>
    <t>น.ส.นาฟาฮาต เล๊ะนุ๊</t>
  </si>
  <si>
    <t>https://azizstan.net/student_image/24399.jpg</t>
  </si>
  <si>
    <t>24424</t>
  </si>
  <si>
    <t>นายอัรฟา บาโงสะตา</t>
  </si>
  <si>
    <t>https://azizstan.net/student_image/24424.jpg</t>
  </si>
  <si>
    <t>26203</t>
  </si>
  <si>
    <t>น.ส.นาวัล นิสนิ</t>
  </si>
  <si>
    <t>https://azizstan.net/student_image/26203.jpg</t>
  </si>
  <si>
    <t>26484</t>
  </si>
  <si>
    <t>นายอิรฟาน สลำ</t>
  </si>
  <si>
    <t>https://azizstan.net/student_image/26484.jpg</t>
  </si>
  <si>
    <t>26503</t>
  </si>
  <si>
    <t>น.ส.อามานีย์ ยาบา</t>
  </si>
  <si>
    <t>https://azizstan.net/student_image/26503.jpg</t>
  </si>
  <si>
    <t>26696</t>
  </si>
  <si>
    <t>น.ส.อริศรา อัตมาด</t>
  </si>
  <si>
    <t>https://azizstan.net/student_image/26696.jpg</t>
  </si>
  <si>
    <t>26707</t>
  </si>
  <si>
    <t>น.ส.ณาอีม หมัดหัด</t>
  </si>
  <si>
    <t>https://azizstan.net/student_image/26707.jpg</t>
  </si>
  <si>
    <t>26724</t>
  </si>
  <si>
    <t>น.ส.วันนูรีย์ แวมามุ</t>
  </si>
  <si>
    <t>https://azizstan.net/student_image/26724.jpg</t>
  </si>
  <si>
    <t>23999</t>
  </si>
  <si>
    <t>น.ส.ซุนนียะฮ์ กูลูแว</t>
  </si>
  <si>
    <t>ม.4/6</t>
  </si>
  <si>
    <t>อป.1/6</t>
  </si>
  <si>
    <t>https://azizstan.net/student_image/23999.jpg</t>
  </si>
  <si>
    <t>24019</t>
  </si>
  <si>
    <t>น.ส.รอยฮาน สะมะแอ</t>
  </si>
  <si>
    <t>https://azizstan.net/student_image/24019.jpg</t>
  </si>
  <si>
    <t>24044</t>
  </si>
  <si>
    <t>น.ส.อารีนา อูมา</t>
  </si>
  <si>
    <t>https://azizstan.net/student_image/24044.jpg</t>
  </si>
  <si>
    <t>24061</t>
  </si>
  <si>
    <t>น.ส.ซอฟะ อาแว</t>
  </si>
  <si>
    <t>https://azizstan.net/student_image/24061.jpg</t>
  </si>
  <si>
    <t>https://azizstan.net/student_image/24088.jpg</t>
  </si>
  <si>
    <t>https://azizstan.net/student_image/24094.jpg</t>
  </si>
  <si>
    <t>https://azizstan.net/student_image/24121.jpg</t>
  </si>
  <si>
    <t>24135</t>
  </si>
  <si>
    <t>น.ส.ซัลวาติห มามะ</t>
  </si>
  <si>
    <t>https://azizstan.net/student_image/24135.jpg</t>
  </si>
  <si>
    <t>24141</t>
  </si>
  <si>
    <t>น.ส.อานีฟา จิยีมะ</t>
  </si>
  <si>
    <t>https://azizstan.net/student_image/24141.jpg</t>
  </si>
  <si>
    <t>24164</t>
  </si>
  <si>
    <t>นายอาดือนาน สาแต</t>
  </si>
  <si>
    <t>https://azizstan.net/student_image/24164.jpg</t>
  </si>
  <si>
    <t>https://azizstan.net/student_image/24233.jpg</t>
  </si>
  <si>
    <t>https://azizstan.net/student_image/24234.jpg</t>
  </si>
  <si>
    <t>https://azizstan.net/student_image/24238.jpg</t>
  </si>
  <si>
    <t>24244</t>
  </si>
  <si>
    <t>นายอัฟฟาน เจ๊ะสะตำ</t>
  </si>
  <si>
    <t>https://azizstan.net/student_image/24244.jpg</t>
  </si>
  <si>
    <t>https://azizstan.net/student_image/24273.jpg</t>
  </si>
  <si>
    <t>https://azizstan.net/student_image/24275.jpg</t>
  </si>
  <si>
    <t>24279</t>
  </si>
  <si>
    <t>นายมูฮำหมัดฟุตรอ ดอเลาะกาเดร์</t>
  </si>
  <si>
    <t>https://azizstan.net/student_image/24279.jpg</t>
  </si>
  <si>
    <t>https://azizstan.net/student_image/24282.jpg</t>
  </si>
  <si>
    <t>https://azizstan.net/student_image/24300.jpg</t>
  </si>
  <si>
    <t>24301</t>
  </si>
  <si>
    <t>น.ส.นาอีละห์ มะเระ</t>
  </si>
  <si>
    <t>https://azizstan.net/student_image/24301.jpg</t>
  </si>
  <si>
    <t>https://azizstan.net/student_image/24307.jpg</t>
  </si>
  <si>
    <t>https://azizstan.net/student_image/24355.jpg</t>
  </si>
  <si>
    <t>24366</t>
  </si>
  <si>
    <t>นายอัมมาร์ อับดุลวาฮับ</t>
  </si>
  <si>
    <t>https://azizstan.net/student_image/24366.jpg</t>
  </si>
  <si>
    <t>24391</t>
  </si>
  <si>
    <t>นายมุสตากีม ดาโอะ</t>
  </si>
  <si>
    <t>https://azizstan.net/student_image/24391.jpg</t>
  </si>
  <si>
    <t>24451</t>
  </si>
  <si>
    <t>น.ส.มาซีเตาะห์ สาแม</t>
  </si>
  <si>
    <t>https://azizstan.net/student_image/24451.jpg</t>
  </si>
  <si>
    <t>24466</t>
  </si>
  <si>
    <t>นายอิสมะแอล เจ๊ะมะ</t>
  </si>
  <si>
    <t>https://azizstan.net/student_image/24466.jpg</t>
  </si>
  <si>
    <t>24518</t>
  </si>
  <si>
    <t>นายอาหมัดไซฟูล ตาเละ</t>
  </si>
  <si>
    <t>https://azizstan.net/student_image/24518.jpg</t>
  </si>
  <si>
    <t>https://azizstan.net/student_image/24539.jpg</t>
  </si>
  <si>
    <t>24549</t>
  </si>
  <si>
    <t>นายกฤษณพงศ์ ไบเตะ</t>
  </si>
  <si>
    <t>https://azizstan.net/student_image/24549.jpg</t>
  </si>
  <si>
    <t>25222</t>
  </si>
  <si>
    <t>นายนัศรุลลอฮ หมะอุเส็น</t>
  </si>
  <si>
    <t>https://azizstan.net/student_image/25222.jpg</t>
  </si>
  <si>
    <t>26062</t>
  </si>
  <si>
    <t>น.ส.นาดีรา สะดียามู</t>
  </si>
  <si>
    <t>https://azizstan.net/student_image/26062.jpg</t>
  </si>
  <si>
    <t>26171</t>
  </si>
  <si>
    <t>น.ส.นาดียา ยาบาหลง</t>
  </si>
  <si>
    <t>https://azizstan.net/student_image/26171.jpg</t>
  </si>
  <si>
    <t>26219</t>
  </si>
  <si>
    <t>น.ส.ฮาซาณีย์ เซ็ง</t>
  </si>
  <si>
    <t>https://azizstan.net/student_image/26219.jpg</t>
  </si>
  <si>
    <t>26456</t>
  </si>
  <si>
    <t>นายอิลฮาม มาลาศรี</t>
  </si>
  <si>
    <t>https://azizstan.net/student_image/26456.jpg</t>
  </si>
  <si>
    <t>26766</t>
  </si>
  <si>
    <t>น.ส.นาวีซา โต๊ะด้วน</t>
  </si>
  <si>
    <t>https://azizstan.net/student_image/26766.jpg</t>
  </si>
  <si>
    <t>ม.4/7</t>
  </si>
  <si>
    <t>อป.1/7</t>
  </si>
  <si>
    <t>https://azizstan.net/student_image/24008.jpg</t>
  </si>
  <si>
    <t>24018</t>
  </si>
  <si>
    <t>นายมูฮัมหมัดลุตฟี วาเย็ง</t>
  </si>
  <si>
    <t>https://azizstan.net/student_image/24018.jpg</t>
  </si>
  <si>
    <t>24039</t>
  </si>
  <si>
    <t>น.ส.นูรุลอัยน์ มิเร็ม</t>
  </si>
  <si>
    <t>https://azizstan.net/student_image/24039.jpg</t>
  </si>
  <si>
    <t>24060</t>
  </si>
  <si>
    <t>น.ส.นินัจมีย์ แดเบาะ</t>
  </si>
  <si>
    <t>https://azizstan.net/student_image/24060.jpg</t>
  </si>
  <si>
    <t>24074</t>
  </si>
  <si>
    <t>น.ส.นูรูฟาเดีย วาเงาะ</t>
  </si>
  <si>
    <t>https://azizstan.net/student_image/24074.jpg</t>
  </si>
  <si>
    <t>24127</t>
  </si>
  <si>
    <t>นายอิมรอน แส้เด็น</t>
  </si>
  <si>
    <t>https://azizstan.net/student_image/24127.jpg</t>
  </si>
  <si>
    <t>https://azizstan.net/student_image/24144.jpg</t>
  </si>
  <si>
    <t>24148</t>
  </si>
  <si>
    <t>นายกาดาฟี สาหลำ</t>
  </si>
  <si>
    <t>https://azizstan.net/student_image/24148.jpg</t>
  </si>
  <si>
    <t>24156</t>
  </si>
  <si>
    <t>น.ส.ตัสนีม หะยีสะมาแอ</t>
  </si>
  <si>
    <t>https://azizstan.net/student_image/24156.jpg</t>
  </si>
  <si>
    <t>24159</t>
  </si>
  <si>
    <t>น.ส.นูรฟาติน กาหลง</t>
  </si>
  <si>
    <t>https://azizstan.net/student_image/24159.jpg</t>
  </si>
  <si>
    <t>24167</t>
  </si>
  <si>
    <t>น.ส.แวฟาตียะห์ ดือราเซะ</t>
  </si>
  <si>
    <t>https://azizstan.net/student_image/24167.jpg</t>
  </si>
  <si>
    <t>https://azizstan.net/student_image/24176.jpg</t>
  </si>
  <si>
    <t>24181</t>
  </si>
  <si>
    <t>น.ส.บัลกิส เจะเย็ง</t>
  </si>
  <si>
    <t>https://azizstan.net/student_image/24181.jpg</t>
  </si>
  <si>
    <t>24196</t>
  </si>
  <si>
    <t>น.ส.นูรฟาคีร่า แนปิแน</t>
  </si>
  <si>
    <t>https://azizstan.net/student_image/24196.jpg</t>
  </si>
  <si>
    <t>24235</t>
  </si>
  <si>
    <t>น.ส.ฟิรดาว มะแซ</t>
  </si>
  <si>
    <t>https://azizstan.net/student_image/24235.jpg</t>
  </si>
  <si>
    <t>24249</t>
  </si>
  <si>
    <t>น.ส.ฟาติน สะแม</t>
  </si>
  <si>
    <t>https://azizstan.net/student_image/24249.jpg</t>
  </si>
  <si>
    <t>https://azizstan.net/student_image/24250.jpg</t>
  </si>
  <si>
    <t>24261</t>
  </si>
  <si>
    <t>น.ส.รัตติกานต์ จินะ</t>
  </si>
  <si>
    <t>https://azizstan.net/student_image/24261.jpg</t>
  </si>
  <si>
    <t>24353</t>
  </si>
  <si>
    <t>น.ส.ฟาราฮา เดชอรัญ</t>
  </si>
  <si>
    <t>https://azizstan.net/student_image/24353.jpg</t>
  </si>
  <si>
    <t>24425</t>
  </si>
  <si>
    <t>น.ส.ไลลา ดาแซ</t>
  </si>
  <si>
    <t>https://azizstan.net/student_image/24425.jpg</t>
  </si>
  <si>
    <t>24443</t>
  </si>
  <si>
    <t>น.ส.สีตีมาเรียม มะเซง</t>
  </si>
  <si>
    <t>https://azizstan.net/student_image/24443.jpg</t>
  </si>
  <si>
    <t>https://azizstan.net/student_image/24453.jpg</t>
  </si>
  <si>
    <t>24577</t>
  </si>
  <si>
    <t>นายอัชรอฟ ยุโสะ</t>
  </si>
  <si>
    <t>https://azizstan.net/student_image/24577.jpg</t>
  </si>
  <si>
    <t>26095</t>
  </si>
  <si>
    <t>น.ส.นิฮัซวานี บาเหม</t>
  </si>
  <si>
    <t>https://azizstan.net/student_image/26095.jpg</t>
  </si>
  <si>
    <t>26145</t>
  </si>
  <si>
    <t>น.ส.วาฮีดา หมีโดด</t>
  </si>
  <si>
    <t>https://azizstan.net/student_image/26145.jpg</t>
  </si>
  <si>
    <t>https://azizstan.net/student_image/26212.jpg</t>
  </si>
  <si>
    <t>26236</t>
  </si>
  <si>
    <t>นายมูฮำหมัดดานิช หะมะ</t>
  </si>
  <si>
    <t>https://azizstan.net/student_image/26236.jpg</t>
  </si>
  <si>
    <t>26261</t>
  </si>
  <si>
    <t>นายซุบฮาน เจ๊ะเด็ง</t>
  </si>
  <si>
    <t>https://azizstan.net/student_image/26261.jpg</t>
  </si>
  <si>
    <t>https://azizstan.net/student_image/26344.jpg</t>
  </si>
  <si>
    <t>https://azizstan.net/student_image/26522.jpg</t>
  </si>
  <si>
    <t>26695</t>
  </si>
  <si>
    <t>น.ส.ลาตีฟะฮ์ โตะลู</t>
  </si>
  <si>
    <t>https://azizstan.net/student_image/26695.jpg</t>
  </si>
  <si>
    <t>26735</t>
  </si>
  <si>
    <t>น.ส.ร็อยมี เส็นบูหงา</t>
  </si>
  <si>
    <t>https://azizstan.net/student_image/26735.jpg</t>
  </si>
  <si>
    <t>26739</t>
  </si>
  <si>
    <t>น.ส.ปุณยวีร์ มะหนิ</t>
  </si>
  <si>
    <t>https://azizstan.net/student_image/26739.jpg</t>
  </si>
  <si>
    <t>26795</t>
  </si>
  <si>
    <t>นายอันวา กาเซะ</t>
  </si>
  <si>
    <t>https://azizstan.net/student_image/26795.jpg</t>
  </si>
  <si>
    <t>26808</t>
  </si>
  <si>
    <t>น.ส.ฮิลมีย์ สะอะ</t>
  </si>
  <si>
    <t>https://azizstan.net/student_image/26808.jpg</t>
  </si>
  <si>
    <t>ม.4/8</t>
  </si>
  <si>
    <t>อป.1/8</t>
  </si>
  <si>
    <t>https://azizstan.net/student_image/24045.jpg</t>
  </si>
  <si>
    <t>24065</t>
  </si>
  <si>
    <t>น.ส.นุรฟาติน มาแยปีแน</t>
  </si>
  <si>
    <t>https://azizstan.net/student_image/24065.jpg</t>
  </si>
  <si>
    <t>https://azizstan.net/student_image/24115.jpg</t>
  </si>
  <si>
    <t>24122</t>
  </si>
  <si>
    <t>น.ส.กูนาเดียร์ อีแต</t>
  </si>
  <si>
    <t>https://azizstan.net/student_image/24122.jpg</t>
  </si>
  <si>
    <t>https://azizstan.net/student_image/24142.jpg</t>
  </si>
  <si>
    <t>https://azizstan.net/student_image/24175.jpg</t>
  </si>
  <si>
    <t>24229</t>
  </si>
  <si>
    <t>น.ส.ซาวิณา เลาะปนสา</t>
  </si>
  <si>
    <t>https://azizstan.net/student_image/24229.jpg</t>
  </si>
  <si>
    <t>24328</t>
  </si>
  <si>
    <t>น.ส.ดานิช บุญสนิท</t>
  </si>
  <si>
    <t>https://azizstan.net/student_image/24328.jpg</t>
  </si>
  <si>
    <t>24465</t>
  </si>
  <si>
    <t>น.ส.อิสฟาร ตาเละ</t>
  </si>
  <si>
    <t>https://azizstan.net/student_image/24465.jpg</t>
  </si>
  <si>
    <t>24516</t>
  </si>
  <si>
    <t>น.ส.สเตฟาร์มี หลังเตมมี</t>
  </si>
  <si>
    <t>https://azizstan.net/student_image/24516.jpg</t>
  </si>
  <si>
    <t>26599</t>
  </si>
  <si>
    <t>น.ส.อาซวาณี อามะ</t>
  </si>
  <si>
    <t>https://azizstan.net/student_image/26599.jpg</t>
  </si>
  <si>
    <t>https://azizstan.net/student_image/26657.jpg</t>
  </si>
  <si>
    <t>26749</t>
  </si>
  <si>
    <t>น.ส.นุชสรี หมัดสะมัน</t>
  </si>
  <si>
    <t>https://azizstan.net/student_image/26749.jpg</t>
  </si>
  <si>
    <t>https://azizstan.net/student_image/26774.jpg</t>
  </si>
  <si>
    <t>26787</t>
  </si>
  <si>
    <t>นายรอมฎอน โสะเบ็ญอาหลี</t>
  </si>
  <si>
    <t>https://azizstan.net/student_image/26787.jpg</t>
  </si>
  <si>
    <t>23507</t>
  </si>
  <si>
    <t>น.ส.นิซุลฟาร์ เปาะแม</t>
  </si>
  <si>
    <t>ม.4/9</t>
  </si>
  <si>
    <t>อก.2/13</t>
  </si>
  <si>
    <t>https://azizstan.net/student_image/23507.jpg</t>
  </si>
  <si>
    <t>23592</t>
  </si>
  <si>
    <t>น.ส.นุรฟาติน ยาวอ</t>
  </si>
  <si>
    <t>https://azizstan.net/student_image/23592.jpg</t>
  </si>
  <si>
    <t>24011</t>
  </si>
  <si>
    <t>น.ส.นูรมี ลือโมะ</t>
  </si>
  <si>
    <t>อก.3/13</t>
  </si>
  <si>
    <t>https://azizstan.net/student_image/24011.jpg</t>
  </si>
  <si>
    <t>24012</t>
  </si>
  <si>
    <t>น.ส.ซีตีนูรียะตี ปูชู</t>
  </si>
  <si>
    <t>https://azizstan.net/student_image/24012.jpg</t>
  </si>
  <si>
    <t>24015</t>
  </si>
  <si>
    <t>น.ส.อัสมา หะยีเจะนิ</t>
  </si>
  <si>
    <t>https://azizstan.net/student_image/24015.jpg</t>
  </si>
  <si>
    <t>24047</t>
  </si>
  <si>
    <t>น.ส.นิฮาณีฟา ตาเยะ</t>
  </si>
  <si>
    <t>https://azizstan.net/student_image/24047.jpg</t>
  </si>
  <si>
    <t>24048</t>
  </si>
  <si>
    <t>น.ส.รุสมาวาตี แปแนะ</t>
  </si>
  <si>
    <t>https://azizstan.net/student_image/24048.jpg</t>
  </si>
  <si>
    <t>24069</t>
  </si>
  <si>
    <t>น.ส.นุรฟาติน เล็มเส็น</t>
  </si>
  <si>
    <t>https://azizstan.net/student_image/24069.jpg</t>
  </si>
  <si>
    <t>24078</t>
  </si>
  <si>
    <t>น.ส.นูรีมาล มะนอสะ</t>
  </si>
  <si>
    <t>https://azizstan.net/student_image/24078.jpg</t>
  </si>
  <si>
    <t>24080</t>
  </si>
  <si>
    <t>น.ส.ดาลีลา สลำยาตี</t>
  </si>
  <si>
    <t>https://azizstan.net/student_image/24080.jpg</t>
  </si>
  <si>
    <t>24085</t>
  </si>
  <si>
    <t>น.ส.รุลนะฎา เส็นสะนา</t>
  </si>
  <si>
    <t>https://azizstan.net/student_image/24085.jpg</t>
  </si>
  <si>
    <t>24111</t>
  </si>
  <si>
    <t>น.ส.นุรไอริน สะแม</t>
  </si>
  <si>
    <t>https://azizstan.net/student_image/24111.jpg</t>
  </si>
  <si>
    <t>24185</t>
  </si>
  <si>
    <t>น.ส.นูรวานี เปาะมะ</t>
  </si>
  <si>
    <t>https://azizstan.net/student_image/24185.jpg</t>
  </si>
  <si>
    <t>24239</t>
  </si>
  <si>
    <t>น.ส.ฟารีดา หะยีมามะ</t>
  </si>
  <si>
    <t>https://azizstan.net/student_image/24239.jpg</t>
  </si>
  <si>
    <t>24243</t>
  </si>
  <si>
    <t>น.ส.นูรอัยริณ สะแม</t>
  </si>
  <si>
    <t>https://azizstan.net/student_image/24243.jpg</t>
  </si>
  <si>
    <t>24320</t>
  </si>
  <si>
    <t>น.ส.นุรอัยนี อิปะมะแอน</t>
  </si>
  <si>
    <t>https://azizstan.net/student_image/24320.jpg</t>
  </si>
  <si>
    <t>24358</t>
  </si>
  <si>
    <t>น.ส.นูรีน สะแปอิง</t>
  </si>
  <si>
    <t>https://azizstan.net/student_image/24358.jpg</t>
  </si>
  <si>
    <t>24363</t>
  </si>
  <si>
    <t>น.ส.รอฟีดะห์ บาฮา</t>
  </si>
  <si>
    <t>https://azizstan.net/student_image/24363.jpg</t>
  </si>
  <si>
    <t>24385</t>
  </si>
  <si>
    <t>น.ส.อัสมาอ์ สาและ</t>
  </si>
  <si>
    <t>https://azizstan.net/student_image/24385.jpg</t>
  </si>
  <si>
    <t>24402</t>
  </si>
  <si>
    <t>น.ส.อิบตีซาม บาเหม</t>
  </si>
  <si>
    <t>https://azizstan.net/student_image/24402.jpg</t>
  </si>
  <si>
    <t>24412</t>
  </si>
  <si>
    <t>น.ส.นุสเราะห์ มะกูวิง</t>
  </si>
  <si>
    <t>https://azizstan.net/student_image/24412.jpg</t>
  </si>
  <si>
    <t>24418</t>
  </si>
  <si>
    <t>น.ส.วีอาม ลาเต๊ะ</t>
  </si>
  <si>
    <t>https://azizstan.net/student_image/24418.jpg</t>
  </si>
  <si>
    <t>24485</t>
  </si>
  <si>
    <t>น.ส.กัสมีรีย์ ยุโซะ</t>
  </si>
  <si>
    <t>https://azizstan.net/student_image/24485.jpg</t>
  </si>
  <si>
    <t>24490</t>
  </si>
  <si>
    <t>น.ส.ฮุสนา ดาเรง</t>
  </si>
  <si>
    <t>https://azizstan.net/student_image/24490.jpg</t>
  </si>
  <si>
    <t>24496</t>
  </si>
  <si>
    <t>น.ส.ซาฟียะห์ เจะแต</t>
  </si>
  <si>
    <t>https://azizstan.net/student_image/24496.jpg</t>
  </si>
  <si>
    <t>24503</t>
  </si>
  <si>
    <t>น.ส.โนรบัยซูรา สูหลง</t>
  </si>
  <si>
    <t>https://azizstan.net/student_image/24503.jpg</t>
  </si>
  <si>
    <t>24512</t>
  </si>
  <si>
    <t>น.ส.บิสมี สาและ</t>
  </si>
  <si>
    <t>https://azizstan.net/student_image/24512.jpg</t>
  </si>
  <si>
    <t>24555</t>
  </si>
  <si>
    <t>น.ส.นาตีเกาะห์ ยะซิง</t>
  </si>
  <si>
    <t>https://azizstan.net/student_image/24555.jpg</t>
  </si>
  <si>
    <t>26034</t>
  </si>
  <si>
    <t>น.ส.นัชวา แดวอ</t>
  </si>
  <si>
    <t>https://azizstan.net/student_image/26034.jpg</t>
  </si>
  <si>
    <t>26038</t>
  </si>
  <si>
    <t>น.ส.ญาวานี จิสา</t>
  </si>
  <si>
    <t>https://azizstan.net/student_image/26038.jpg</t>
  </si>
  <si>
    <t>26046</t>
  </si>
  <si>
    <t>น.ส.รุบนา ดามันยูโซ๊ะ</t>
  </si>
  <si>
    <t>https://azizstan.net/student_image/26046.jpg</t>
  </si>
  <si>
    <t>26109</t>
  </si>
  <si>
    <t>น.ส.ตัซนีม มุสอ</t>
  </si>
  <si>
    <t>https://azizstan.net/student_image/26109.jpg</t>
  </si>
  <si>
    <t>26124</t>
  </si>
  <si>
    <t>น.ส.อัซฮาม บือซา</t>
  </si>
  <si>
    <t>https://azizstan.net/student_image/26124.jpg</t>
  </si>
  <si>
    <t>26196</t>
  </si>
  <si>
    <t>น.ส.อัสมะ ดาโต๊ะ</t>
  </si>
  <si>
    <t>https://azizstan.net/student_image/26196.jpg</t>
  </si>
  <si>
    <t>26249</t>
  </si>
  <si>
    <t>น.ส.อาดีละห์ สาเม๊าะ</t>
  </si>
  <si>
    <t>https://azizstan.net/student_image/26249.jpg</t>
  </si>
  <si>
    <t>26255</t>
  </si>
  <si>
    <t>น.ส.ซูลีฮา แวบือราเฮง</t>
  </si>
  <si>
    <t>https://azizstan.net/student_image/26255.jpg</t>
  </si>
  <si>
    <t>26516</t>
  </si>
  <si>
    <t>น.ส.ตัสนีม ใจมันดี</t>
  </si>
  <si>
    <t>https://azizstan.net/student_image/26516.jpg</t>
  </si>
  <si>
    <t>26578</t>
  </si>
  <si>
    <t>น.ส.วาสนา กอรอมอ</t>
  </si>
  <si>
    <t>https://azizstan.net/student_image/26578.jpg</t>
  </si>
  <si>
    <t>26674</t>
  </si>
  <si>
    <t>น.ส.ตัสนีม สาอะ</t>
  </si>
  <si>
    <t>https://azizstan.net/student_image/26674.jpg</t>
  </si>
  <si>
    <t>26266</t>
  </si>
  <si>
    <t>น.ส.นูรุลตักวา ยีสะอุ</t>
  </si>
  <si>
    <t>ม.4/10</t>
  </si>
  <si>
    <t>https://azizstan.net/student_image/26266.jpg</t>
  </si>
  <si>
    <t>26283</t>
  </si>
  <si>
    <t>น.ส.กูซาฟีรา ตอแลมา</t>
  </si>
  <si>
    <t>https://azizstan.net/student_image/26283.jpg</t>
  </si>
  <si>
    <t>26307</t>
  </si>
  <si>
    <t>น.ส.บัณฑิตา หมีนเส็น</t>
  </si>
  <si>
    <t>https://azizstan.net/student_image/26307.jpg</t>
  </si>
  <si>
    <t>26338</t>
  </si>
  <si>
    <t>น.ส.ซัซวานี หมะอะ</t>
  </si>
  <si>
    <t>https://azizstan.net/student_image/26338.jpg</t>
  </si>
  <si>
    <t>https://azizstan.net/student_image/26342.jpg</t>
  </si>
  <si>
    <t>26347</t>
  </si>
  <si>
    <t>น.ส.นุฟาตีมี หะมิดง</t>
  </si>
  <si>
    <t>https://azizstan.net/student_image/26347.jpg</t>
  </si>
  <si>
    <t>26350</t>
  </si>
  <si>
    <t>น.ส.นุสนานี หมัดหยัน</t>
  </si>
  <si>
    <t>https://azizstan.net/student_image/26350.jpg</t>
  </si>
  <si>
    <t>26369</t>
  </si>
  <si>
    <t>น.ส.ฟาเดีย สุหลง</t>
  </si>
  <si>
    <t>https://azizstan.net/student_image/26369.jpg</t>
  </si>
  <si>
    <t>26381</t>
  </si>
  <si>
    <t>น.ส.ฟิตรี มะแซ</t>
  </si>
  <si>
    <t>https://azizstan.net/student_image/26381.jpg</t>
  </si>
  <si>
    <t>26396</t>
  </si>
  <si>
    <t>น.ส.นิฟาระห์ วายีเกา</t>
  </si>
  <si>
    <t>https://azizstan.net/student_image/26396.jpg</t>
  </si>
  <si>
    <t>26419</t>
  </si>
  <si>
    <t>น.ส.อัสนาน สิดิ</t>
  </si>
  <si>
    <t>https://azizstan.net/student_image/26419.jpg</t>
  </si>
  <si>
    <t>26442</t>
  </si>
  <si>
    <t>น.ส.ฟิรดาวซ์ ลีบอ</t>
  </si>
  <si>
    <t>https://azizstan.net/student_image/26442.jpg</t>
  </si>
  <si>
    <t>26471</t>
  </si>
  <si>
    <t>น.ส.ซูฮาดา สาและ</t>
  </si>
  <si>
    <t>https://azizstan.net/student_image/26471.jpg</t>
  </si>
  <si>
    <t>26480</t>
  </si>
  <si>
    <t>น.ส.ฟาฏอนียะห์ ยูโซะ</t>
  </si>
  <si>
    <t>https://azizstan.net/student_image/26480.jpg</t>
  </si>
  <si>
    <t>26502</t>
  </si>
  <si>
    <t>น.ส.ฟาฏิน มูซอ</t>
  </si>
  <si>
    <t>https://azizstan.net/student_image/26502.jpg</t>
  </si>
  <si>
    <t>26513</t>
  </si>
  <si>
    <t>น.ส.นูรฮูดา บีมา</t>
  </si>
  <si>
    <t>https://azizstan.net/student_image/26513.jpg</t>
  </si>
  <si>
    <t>26527</t>
  </si>
  <si>
    <t>น.ส.วันณีต้า อุสมันบาฮา</t>
  </si>
  <si>
    <t>https://azizstan.net/student_image/26527.jpg</t>
  </si>
  <si>
    <t>26543</t>
  </si>
  <si>
    <t>น.ส.ปริศา กามา</t>
  </si>
  <si>
    <t>https://azizstan.net/student_image/26543.jpg</t>
  </si>
  <si>
    <t>26565</t>
  </si>
  <si>
    <t>น.ส.ยุสมี สาเหาะ</t>
  </si>
  <si>
    <t>https://azizstan.net/student_image/26565.jpg</t>
  </si>
  <si>
    <t>26572</t>
  </si>
  <si>
    <t>น.ส.มุมีนี มะเย็ง</t>
  </si>
  <si>
    <t>https://azizstan.net/student_image/26572.jpg</t>
  </si>
  <si>
    <t>26582</t>
  </si>
  <si>
    <t>น.ส.อามานี กียะ</t>
  </si>
  <si>
    <t>https://azizstan.net/student_image/26582.jpg</t>
  </si>
  <si>
    <t>26583</t>
  </si>
  <si>
    <t>น.ส.รุ่งนภา ดอเล๊าะ</t>
  </si>
  <si>
    <t>https://azizstan.net/student_image/26583.jpg</t>
  </si>
  <si>
    <t>26602</t>
  </si>
  <si>
    <t>น.ส.นัจญวา เหล็กมีผล</t>
  </si>
  <si>
    <t>https://azizstan.net/student_image/26602.jpg</t>
  </si>
  <si>
    <t>26626</t>
  </si>
  <si>
    <t>น.ส.ศิสิลา แขมคำภา</t>
  </si>
  <si>
    <t>https://azizstan.net/student_image/26626.jpg</t>
  </si>
  <si>
    <t>26641</t>
  </si>
  <si>
    <t>น.ส.ตัซนีม กาซอ</t>
  </si>
  <si>
    <t>https://azizstan.net/student_image/26641.jpg</t>
  </si>
  <si>
    <t>26661</t>
  </si>
  <si>
    <t>น.ส.ตัสนีม หวันหนิ</t>
  </si>
  <si>
    <t>https://azizstan.net/student_image/26661.jpg</t>
  </si>
  <si>
    <t>26668</t>
  </si>
  <si>
    <t>น.ส.นาดียา โอล่า</t>
  </si>
  <si>
    <t>https://azizstan.net/student_image/26668.jpg</t>
  </si>
  <si>
    <t>26677</t>
  </si>
  <si>
    <t>น.ส.ฮิลมี และแย</t>
  </si>
  <si>
    <t>https://azizstan.net/student_image/26677.jpg</t>
  </si>
  <si>
    <t>26699</t>
  </si>
  <si>
    <t>น.ส.ยูไวนี หะยีมะสัน</t>
  </si>
  <si>
    <t>https://azizstan.net/student_image/26699.jpg</t>
  </si>
  <si>
    <t>26713</t>
  </si>
  <si>
    <t>น.ส.ซัลวา ยะโก๊ะ</t>
  </si>
  <si>
    <t>https://azizstan.net/student_image/26713.jpg</t>
  </si>
  <si>
    <t>26714</t>
  </si>
  <si>
    <t>น.ส.วีอาม มะแซจะแหน</t>
  </si>
  <si>
    <t>https://azizstan.net/student_image/26714.jpg</t>
  </si>
  <si>
    <t>26720</t>
  </si>
  <si>
    <t>น.ส.นูรอาซีกีน มามะเร</t>
  </si>
  <si>
    <t>https://azizstan.net/student_image/26720.jpg</t>
  </si>
  <si>
    <t>26734</t>
  </si>
  <si>
    <t>น.ส.ยุสวีนา เจะนิ</t>
  </si>
  <si>
    <t>https://azizstan.net/student_image/26734.jpg</t>
  </si>
  <si>
    <t>26745</t>
  </si>
  <si>
    <t>น.ส.นุรอาติน ฮะมะ</t>
  </si>
  <si>
    <t>https://azizstan.net/student_image/26745.jpg</t>
  </si>
  <si>
    <t>26772</t>
  </si>
  <si>
    <t>น.ส.นัสซูวีย์ ดือเระ</t>
  </si>
  <si>
    <t>https://azizstan.net/student_image/26772.jpg</t>
  </si>
  <si>
    <t>26773</t>
  </si>
  <si>
    <t>น.ส.แวเสาะ แปเฮาะอีเล</t>
  </si>
  <si>
    <t>https://azizstan.net/student_image/26773.jpg</t>
  </si>
  <si>
    <t>26796</t>
  </si>
  <si>
    <t>น.ส.นัสมีนา สามาแอ</t>
  </si>
  <si>
    <t>https://azizstan.net/student_image/26796.jpg</t>
  </si>
  <si>
    <t>23396</t>
  </si>
  <si>
    <t>นายอลีฟ สิริเต๊ะ</t>
  </si>
  <si>
    <t>ม.5/1</t>
  </si>
  <si>
    <t>https://azizstan.net/student_image/23396.jpg</t>
  </si>
  <si>
    <t>อก.3/3</t>
  </si>
  <si>
    <t>https://azizstan.net/student_image/23427.jpg</t>
  </si>
  <si>
    <t>23433</t>
  </si>
  <si>
    <t>นายมนัส สาและ</t>
  </si>
  <si>
    <t>https://azizstan.net/student_image/23433.jpg</t>
  </si>
  <si>
    <t>https://azizstan.net/student_image/23443.jpg</t>
  </si>
  <si>
    <t>23503</t>
  </si>
  <si>
    <t>นายอาริฟ เหมอุดม</t>
  </si>
  <si>
    <t>https://azizstan.net/student_image/23503.jpg</t>
  </si>
  <si>
    <t>23517</t>
  </si>
  <si>
    <t>นายยะฟัร บิลา</t>
  </si>
  <si>
    <t>https://azizstan.net/student_image/23517.jpg</t>
  </si>
  <si>
    <t>https://azizstan.net/student_image/23520.jpg</t>
  </si>
  <si>
    <t>23522</t>
  </si>
  <si>
    <t>นายมะซัมรี บาสอ</t>
  </si>
  <si>
    <t>https://azizstan.net/student_image/23522.jpg</t>
  </si>
  <si>
    <t>23538</t>
  </si>
  <si>
    <t>นายอภิสิทธิ์ ดือเร๊ะ</t>
  </si>
  <si>
    <t>https://azizstan.net/student_image/23538.jpg</t>
  </si>
  <si>
    <t>23576</t>
  </si>
  <si>
    <t>นายบะห์รี ดอเล็ง</t>
  </si>
  <si>
    <t>https://azizstan.net/student_image/23576.jpg</t>
  </si>
  <si>
    <t>23600</t>
  </si>
  <si>
    <t>นายมูฮัมหมัดฮามีซี เจะแว</t>
  </si>
  <si>
    <t>https://azizstan.net/student_image/23600.jpg</t>
  </si>
  <si>
    <t>https://azizstan.net/student_image/23618.jpg</t>
  </si>
  <si>
    <t>https://azizstan.net/student_image/23639.jpg</t>
  </si>
  <si>
    <t>23665</t>
  </si>
  <si>
    <t>นายมูฮำหมัดอิลฮัม โตะวี</t>
  </si>
  <si>
    <t>https://azizstan.net/student_image/23665.jpg</t>
  </si>
  <si>
    <t>23666</t>
  </si>
  <si>
    <t>นายแวซารีฟฟุดดีน แวหามะ</t>
  </si>
  <si>
    <t>อป.2/1</t>
  </si>
  <si>
    <t>https://azizstan.net/student_image/23666.jpg</t>
  </si>
  <si>
    <t>23702</t>
  </si>
  <si>
    <t>นายซอและห์ มะลี</t>
  </si>
  <si>
    <t>https://azizstan.net/student_image/23702.jpg</t>
  </si>
  <si>
    <t>23871</t>
  </si>
  <si>
    <t>นายมูฮำหมัดลุตฟี สือตาปอ</t>
  </si>
  <si>
    <t>https://azizstan.net/student_image/23871.jpg</t>
  </si>
  <si>
    <t>23873</t>
  </si>
  <si>
    <t>นายอมีน อาแว</t>
  </si>
  <si>
    <t>https://azizstan.net/student_image/23873.jpg</t>
  </si>
  <si>
    <t>23887</t>
  </si>
  <si>
    <t>นายนัสรูน สาแม</t>
  </si>
  <si>
    <t>https://azizstan.net/student_image/23887.jpg</t>
  </si>
  <si>
    <t>23891</t>
  </si>
  <si>
    <t>นายอิรฟาน เจะมะ</t>
  </si>
  <si>
    <t>https://azizstan.net/student_image/23891.jpg</t>
  </si>
  <si>
    <t>23916</t>
  </si>
  <si>
    <t>นายมูฮำหมัดฮารี เดหมาน</t>
  </si>
  <si>
    <t>https://azizstan.net/student_image/23916.jpg</t>
  </si>
  <si>
    <t>24072</t>
  </si>
  <si>
    <t>นายมูฮัมหมัดฟิตรี อาลี</t>
  </si>
  <si>
    <t>https://azizstan.net/student_image/24072.jpg</t>
  </si>
  <si>
    <t>https://azizstan.net/student_image/24531.jpg</t>
  </si>
  <si>
    <t>25272</t>
  </si>
  <si>
    <t>นายมูฮำหมัดลุตฟี ตานิง</t>
  </si>
  <si>
    <t>https://azizstan.net/student_image/25272.jpg</t>
  </si>
  <si>
    <t>25346</t>
  </si>
  <si>
    <t>นายชลธี ยุนุ้ย</t>
  </si>
  <si>
    <t>https://azizstan.net/student_image/25346.jpg</t>
  </si>
  <si>
    <t>25357</t>
  </si>
  <si>
    <t>นายมูฮัมหมัดลุตฟี ยานยา</t>
  </si>
  <si>
    <t>https://azizstan.net/student_image/25357.jpg</t>
  </si>
  <si>
    <t>25391</t>
  </si>
  <si>
    <t>นายมูฮัมหมัด อาแว</t>
  </si>
  <si>
    <t>https://azizstan.net/student_image/25391.jpg</t>
  </si>
  <si>
    <t>25433</t>
  </si>
  <si>
    <t>นายเร๊าะหมัด กูบาเล๊าะ</t>
  </si>
  <si>
    <t>https://azizstan.net/student_image/25433.jpg</t>
  </si>
  <si>
    <t>https://azizstan.net/student_image/25434.jpg</t>
  </si>
  <si>
    <t>25482</t>
  </si>
  <si>
    <t>นายฮิฟนี เจ๊ะดอมะ</t>
  </si>
  <si>
    <t>https://azizstan.net/student_image/25482.jpg</t>
  </si>
  <si>
    <t>25591</t>
  </si>
  <si>
    <t>นายมูฮัมหมัดรอมฎอน กูวิง</t>
  </si>
  <si>
    <t>https://azizstan.net/student_image/25591.jpg</t>
  </si>
  <si>
    <t>25690</t>
  </si>
  <si>
    <t>นายฮานาฟี สาอิ</t>
  </si>
  <si>
    <t>https://azizstan.net/student_image/25690.jpg</t>
  </si>
  <si>
    <t>25912</t>
  </si>
  <si>
    <t>นายอัรฮาม เจะแว</t>
  </si>
  <si>
    <t>https://azizstan.net/student_image/25912.jpg</t>
  </si>
  <si>
    <t>25958</t>
  </si>
  <si>
    <t>นายธันวา อ่อนเกลี้ยง</t>
  </si>
  <si>
    <t>https://azizstan.net/student_image/25958.jpg</t>
  </si>
  <si>
    <t>25999</t>
  </si>
  <si>
    <t>นายอานัส ดอแต</t>
  </si>
  <si>
    <t>https://azizstan.net/student_image/25999.jpg</t>
  </si>
  <si>
    <t>26051</t>
  </si>
  <si>
    <t>นายอนุสรณ์ เป๊าะซา</t>
  </si>
  <si>
    <t>https://azizstan.net/student_image/26051.jpg</t>
  </si>
  <si>
    <t>21905</t>
  </si>
  <si>
    <t>นายมูฮัมหมัดรูสลัน สาแม</t>
  </si>
  <si>
    <t>ม.5/2</t>
  </si>
  <si>
    <t>อก.3/4</t>
  </si>
  <si>
    <t>https://azizstan.net/student_image/21905.jpg</t>
  </si>
  <si>
    <t>23338</t>
  </si>
  <si>
    <t>นายอาลิฟ สาแล๊ะหมิน</t>
  </si>
  <si>
    <t>https://azizstan.net/student_image/23338.jpg</t>
  </si>
  <si>
    <t>23355</t>
  </si>
  <si>
    <t>นายมูฮัมหมัดอานาซี หะยีดอเลาะ</t>
  </si>
  <si>
    <t>https://azizstan.net/student_image/23355.jpg</t>
  </si>
  <si>
    <t>23366</t>
  </si>
  <si>
    <t>นายลุตฟี ยีกะจิ</t>
  </si>
  <si>
    <t>https://azizstan.net/student_image/23366.jpg</t>
  </si>
  <si>
    <t>23401</t>
  </si>
  <si>
    <t>นายนัสรุดดีน ดือราแม</t>
  </si>
  <si>
    <t>https://azizstan.net/student_image/23401.jpg</t>
  </si>
  <si>
    <t>23406</t>
  </si>
  <si>
    <t>นายอารอฟัต อาแว</t>
  </si>
  <si>
    <t>https://azizstan.net/student_image/23406.jpg</t>
  </si>
  <si>
    <t>23458</t>
  </si>
  <si>
    <t>นายดุลฟาดีน บาฮอ</t>
  </si>
  <si>
    <t>https://azizstan.net/student_image/23458.jpg</t>
  </si>
  <si>
    <t>23470</t>
  </si>
  <si>
    <t>นายรอซีน มะโระ</t>
  </si>
  <si>
    <t>https://azizstan.net/student_image/23470.jpg</t>
  </si>
  <si>
    <t>23496</t>
  </si>
  <si>
    <t>นายสุไลมาน ยุนุ๊</t>
  </si>
  <si>
    <t>https://azizstan.net/student_image/23496.jpg</t>
  </si>
  <si>
    <t>23563</t>
  </si>
  <si>
    <t>นายอัสรัน ฮู่</t>
  </si>
  <si>
    <t>https://azizstan.net/student_image/23563.jpg</t>
  </si>
  <si>
    <t>23578</t>
  </si>
  <si>
    <t>นายซัลฟาน เจะมะ</t>
  </si>
  <si>
    <t>https://azizstan.net/student_image/23578.jpg</t>
  </si>
  <si>
    <t>23585</t>
  </si>
  <si>
    <t>นายอาดือนัน ยามาดง</t>
  </si>
  <si>
    <t>https://azizstan.net/student_image/23585.jpg</t>
  </si>
  <si>
    <t>23652</t>
  </si>
  <si>
    <t>นายอารีฟีน หะยีหะมะ</t>
  </si>
  <si>
    <t>https://azizstan.net/student_image/23652.jpg</t>
  </si>
  <si>
    <t>23701</t>
  </si>
  <si>
    <t>นายนิติพล ปากาลาแล</t>
  </si>
  <si>
    <t>https://azizstan.net/student_image/23701.jpg</t>
  </si>
  <si>
    <t>23703</t>
  </si>
  <si>
    <t>นายซอลาฮูดิง มีนาดาโอะ</t>
  </si>
  <si>
    <t>https://azizstan.net/student_image/23703.jpg</t>
  </si>
  <si>
    <t>23725</t>
  </si>
  <si>
    <t>นายหังตูเวาะห์ ตือราแม</t>
  </si>
  <si>
    <t>https://azizstan.net/student_image/23725.jpg</t>
  </si>
  <si>
    <t>23748</t>
  </si>
  <si>
    <t>นายบัยฮะกี เมาะอะ</t>
  </si>
  <si>
    <t>https://azizstan.net/student_image/23748.jpg</t>
  </si>
  <si>
    <t>23782</t>
  </si>
  <si>
    <t>นายนาวิน ฟักหมิด</t>
  </si>
  <si>
    <t>https://azizstan.net/student_image/23782.jpg</t>
  </si>
  <si>
    <t>23785</t>
  </si>
  <si>
    <t>นายอารีฟ มะยิ</t>
  </si>
  <si>
    <t>https://azizstan.net/student_image/23785.jpg</t>
  </si>
  <si>
    <t>23884</t>
  </si>
  <si>
    <t>นายฟุรกร วาโดะ</t>
  </si>
  <si>
    <t>https://azizstan.net/student_image/23884.jpg</t>
  </si>
  <si>
    <t>23941</t>
  </si>
  <si>
    <t>นายมะรูดิง แฉะ</t>
  </si>
  <si>
    <t>https://azizstan.net/student_image/23941.jpg</t>
  </si>
  <si>
    <t>23958</t>
  </si>
  <si>
    <t>นายซะอุดี หะยีมิ</t>
  </si>
  <si>
    <t>https://azizstan.net/student_image/23958.jpg</t>
  </si>
  <si>
    <t>25389</t>
  </si>
  <si>
    <t>นายวาอิล บาฮะ</t>
  </si>
  <si>
    <t>https://azizstan.net/student_image/25389.jpg</t>
  </si>
  <si>
    <t>25432</t>
  </si>
  <si>
    <t>นายซูลกีฟลี บ้านนา</t>
  </si>
  <si>
    <t>อป.2/2</t>
  </si>
  <si>
    <t>https://azizstan.net/student_image/25432.jpg</t>
  </si>
  <si>
    <t>25435</t>
  </si>
  <si>
    <t>นายอิรฮัม ดอคอ</t>
  </si>
  <si>
    <t>https://azizstan.net/student_image/25435.jpg</t>
  </si>
  <si>
    <t>25486</t>
  </si>
  <si>
    <t>นายอัมมาน เจะหม๊ะ</t>
  </si>
  <si>
    <t>https://azizstan.net/student_image/25486.jpg</t>
  </si>
  <si>
    <t>25745</t>
  </si>
  <si>
    <t>นายอัฟฮัม แหมะ</t>
  </si>
  <si>
    <t>https://azizstan.net/student_image/25745.jpg</t>
  </si>
  <si>
    <t>25798</t>
  </si>
  <si>
    <t>นายซุกรอน สาเหาะ</t>
  </si>
  <si>
    <t>https://azizstan.net/student_image/25798.jpg</t>
  </si>
  <si>
    <t>25812</t>
  </si>
  <si>
    <t>นายอับดุลบาซีส เระสะอะ</t>
  </si>
  <si>
    <t>https://azizstan.net/student_image/25812.jpg</t>
  </si>
  <si>
    <t>25813</t>
  </si>
  <si>
    <t>นายอารีฟีน ล่อเต๊ะ</t>
  </si>
  <si>
    <t>https://azizstan.net/student_image/25813.jpg</t>
  </si>
  <si>
    <t>25824</t>
  </si>
  <si>
    <t>นายรัฐศาสตร์ หรุ่มวิสัย</t>
  </si>
  <si>
    <t>https://azizstan.net/student_image/25824.jpg</t>
  </si>
  <si>
    <t>25885</t>
  </si>
  <si>
    <t>นายอัสรีย์ มุโดะ</t>
  </si>
  <si>
    <t>https://azizstan.net/student_image/25885.jpg</t>
  </si>
  <si>
    <t>25973</t>
  </si>
  <si>
    <t>นายฮาฟีฟีน เจะมะ</t>
  </si>
  <si>
    <t>https://azizstan.net/student_image/25973.jpg</t>
  </si>
  <si>
    <t>25992</t>
  </si>
  <si>
    <t>นายนิโซฟาน กาเจ</t>
  </si>
  <si>
    <t>https://azizstan.net/student_image/25992.jpg</t>
  </si>
  <si>
    <t>26013</t>
  </si>
  <si>
    <t>นายรชต ธรรมรัตนพงศ์</t>
  </si>
  <si>
    <t>https://azizstan.net/student_image/26013.jpg</t>
  </si>
  <si>
    <t>26021</t>
  </si>
  <si>
    <t>นายดาวุด สามะ</t>
  </si>
  <si>
    <t>https://azizstan.net/student_image/26021.jpg</t>
  </si>
  <si>
    <t>26033</t>
  </si>
  <si>
    <t>นายมูฮัมหมัดฟัยยัศ ยูโซะ</t>
  </si>
  <si>
    <t>https://azizstan.net/student_image/26033.jpg</t>
  </si>
  <si>
    <t>https://azizstan.net/student_image/26190.jpg</t>
  </si>
  <si>
    <t>23354</t>
  </si>
  <si>
    <t>น.ส.ฮะวา สาเม๊าะ</t>
  </si>
  <si>
    <t>ม.5/3</t>
  </si>
  <si>
    <t>https://azizstan.net/student_image/23354.jpg</t>
  </si>
  <si>
    <t>23367</t>
  </si>
  <si>
    <t>น.ส.ปนิตา กามา</t>
  </si>
  <si>
    <t>https://azizstan.net/student_image/23367.jpg</t>
  </si>
  <si>
    <t>23375</t>
  </si>
  <si>
    <t>น.ส.ศิรภัสสร สาหลี</t>
  </si>
  <si>
    <t>https://azizstan.net/student_image/23375.jpg</t>
  </si>
  <si>
    <t>https://azizstan.net/student_image/23385.jpg</t>
  </si>
  <si>
    <t>23387</t>
  </si>
  <si>
    <t>น.ส.อัสรินทร์ ลาแม็ง</t>
  </si>
  <si>
    <t>https://azizstan.net/student_image/23387.jpg</t>
  </si>
  <si>
    <t>https://azizstan.net/student_image/23388.jpg</t>
  </si>
  <si>
    <t>23395</t>
  </si>
  <si>
    <t>น.ส.นาอีมะห์ วาโด</t>
  </si>
  <si>
    <t>https://azizstan.net/student_image/23395.jpg</t>
  </si>
  <si>
    <t>23419</t>
  </si>
  <si>
    <t>น.ส.มาดีนะห์ หมัดลี</t>
  </si>
  <si>
    <t>https://azizstan.net/student_image/23419.jpg</t>
  </si>
  <si>
    <t>23431</t>
  </si>
  <si>
    <t>น.ส.กูมัสนีย์ เลาะวาโย</t>
  </si>
  <si>
    <t>https://azizstan.net/student_image/23431.jpg</t>
  </si>
  <si>
    <t>https://azizstan.net/student_image/23451.jpg</t>
  </si>
  <si>
    <t>23462</t>
  </si>
  <si>
    <t>น.ส.อิบติฮาล สามะ</t>
  </si>
  <si>
    <t>https://azizstan.net/student_image/23462.jpg</t>
  </si>
  <si>
    <t>23518</t>
  </si>
  <si>
    <t>น.ส.ฟิตรียา ยีมะมิง</t>
  </si>
  <si>
    <t>https://azizstan.net/student_image/23518.jpg</t>
  </si>
  <si>
    <t>23525</t>
  </si>
  <si>
    <t>น.ส.รุจิษยา มัดเลาะ</t>
  </si>
  <si>
    <t>https://azizstan.net/student_image/23525.jpg</t>
  </si>
  <si>
    <t>23535</t>
  </si>
  <si>
    <t>น.ส.นูรฮูดาร์ สะอะ</t>
  </si>
  <si>
    <t>https://azizstan.net/student_image/23535.jpg</t>
  </si>
  <si>
    <t>23622</t>
  </si>
  <si>
    <t>น.ส.สุไบดะห์ หะมะ</t>
  </si>
  <si>
    <t>https://azizstan.net/student_image/23622.jpg</t>
  </si>
  <si>
    <t>23677</t>
  </si>
  <si>
    <t>น.ส.ซอลีฮะ บิลอหวัง</t>
  </si>
  <si>
    <t>https://azizstan.net/student_image/23677.jpg</t>
  </si>
  <si>
    <t>23679</t>
  </si>
  <si>
    <t>ด.ญ.นีสริน มามุ</t>
  </si>
  <si>
    <t>https://azizstan.net/student_image/23679.jpg</t>
  </si>
  <si>
    <t>23686</t>
  </si>
  <si>
    <t>น.ส.มูฮันนา หวังยี</t>
  </si>
  <si>
    <t>https://azizstan.net/student_image/23686.jpg</t>
  </si>
  <si>
    <t>23714</t>
  </si>
  <si>
    <t>น.ส.ตักวา ดาหวี</t>
  </si>
  <si>
    <t>https://azizstan.net/student_image/23714.jpg</t>
  </si>
  <si>
    <t>23724</t>
  </si>
  <si>
    <t>น.ส.ซูไลกา มะมิง</t>
  </si>
  <si>
    <t>https://azizstan.net/student_image/23724.jpg</t>
  </si>
  <si>
    <t>23751</t>
  </si>
  <si>
    <t>น.ส.สุนิตา แน</t>
  </si>
  <si>
    <t>https://azizstan.net/student_image/23751.jpg</t>
  </si>
  <si>
    <t>23792</t>
  </si>
  <si>
    <t>น.ส.โสรยา มุณี</t>
  </si>
  <si>
    <t>https://azizstan.net/student_image/23792.jpg</t>
  </si>
  <si>
    <t>https://azizstan.net/student_image/23804.jpg</t>
  </si>
  <si>
    <t>23809</t>
  </si>
  <si>
    <t>น.ส.ตอเฮเราะ บินรัตแก้ว</t>
  </si>
  <si>
    <t>https://azizstan.net/student_image/23809.jpg</t>
  </si>
  <si>
    <t>23823</t>
  </si>
  <si>
    <t>น.ส.อานิสาอ์ สะลิมิง</t>
  </si>
  <si>
    <t>https://azizstan.net/student_image/23823.jpg</t>
  </si>
  <si>
    <t>23827</t>
  </si>
  <si>
    <t>น.ส.นูรูลไฮมา กูนิง</t>
  </si>
  <si>
    <t>https://azizstan.net/student_image/23827.jpg</t>
  </si>
  <si>
    <t>https://azizstan.net/student_image/23845.jpg</t>
  </si>
  <si>
    <t>23918</t>
  </si>
  <si>
    <t>น.ส.ตัสนีญา สูหรง</t>
  </si>
  <si>
    <t>https://azizstan.net/student_image/23918.jpg</t>
  </si>
  <si>
    <t>23989</t>
  </si>
  <si>
    <t>น.ส.นัสรินดาร์ หะมะ</t>
  </si>
  <si>
    <t>https://azizstan.net/student_image/23989.jpg</t>
  </si>
  <si>
    <t>25463</t>
  </si>
  <si>
    <t>น.ส.ซูรัยยา ดอเล๊าะ</t>
  </si>
  <si>
    <t>https://azizstan.net/student_image/25463.jpg</t>
  </si>
  <si>
    <t>25485</t>
  </si>
  <si>
    <t>น.ส.ต่วนสุพิณญา กูแม</t>
  </si>
  <si>
    <t>https://azizstan.net/student_image/25485.jpg</t>
  </si>
  <si>
    <t>25541</t>
  </si>
  <si>
    <t>น.ส.อัลวานี หวังนุรักษ์</t>
  </si>
  <si>
    <t>https://azizstan.net/student_image/25541.jpg</t>
  </si>
  <si>
    <t>https://azizstan.net/student_image/25595.jpg</t>
  </si>
  <si>
    <t>25613</t>
  </si>
  <si>
    <t>น.ส.นาเดีย คนุงกากะ</t>
  </si>
  <si>
    <t>https://azizstan.net/student_image/25613.jpg</t>
  </si>
  <si>
    <t>25797</t>
  </si>
  <si>
    <t>น.ส.ซูรียานี สาเระ</t>
  </si>
  <si>
    <t>https://azizstan.net/student_image/25797.jpg</t>
  </si>
  <si>
    <t>25826</t>
  </si>
  <si>
    <t>น.ส.นุรนาดีเราะห์ ลาเตะ</t>
  </si>
  <si>
    <t>https://azizstan.net/student_image/25826.jpg</t>
  </si>
  <si>
    <t>25876</t>
  </si>
  <si>
    <t>น.ส.ยูรัยฟา หะยีมะแซ</t>
  </si>
  <si>
    <t>https://azizstan.net/student_image/25876.jpg</t>
  </si>
  <si>
    <t>25986</t>
  </si>
  <si>
    <t>น.ส.รอฮานี สาเมาะ</t>
  </si>
  <si>
    <t>https://azizstan.net/student_image/25986.jpg</t>
  </si>
  <si>
    <t>26022</t>
  </si>
  <si>
    <t>น.ส.นุฟาเดียร์ บูเงาะแงะ</t>
  </si>
  <si>
    <t>https://azizstan.net/student_image/26022.jpg</t>
  </si>
  <si>
    <t>26253</t>
  </si>
  <si>
    <t>น.ส.ฟาติม ลอเส็น</t>
  </si>
  <si>
    <t>https://azizstan.net/student_image/26253.jpg</t>
  </si>
  <si>
    <t>26610</t>
  </si>
  <si>
    <t>น.ส.นูรียะห์ เจะเละ</t>
  </si>
  <si>
    <t>https://azizstan.net/student_image/26610.jpg</t>
  </si>
  <si>
    <t>26760</t>
  </si>
  <si>
    <t>น.ส.นาดียะห์ มะแอ</t>
  </si>
  <si>
    <t>https://azizstan.net/student_image/26760.jpg</t>
  </si>
  <si>
    <t>23352</t>
  </si>
  <si>
    <t>น.ส.อาซียะห์ ขาเดร์</t>
  </si>
  <si>
    <t>ม.5/4</t>
  </si>
  <si>
    <t>https://azizstan.net/student_image/23352.jpg</t>
  </si>
  <si>
    <t>23359</t>
  </si>
  <si>
    <t>น.ส.ซาฟีนะห์ อาก๊ะ</t>
  </si>
  <si>
    <t>https://azizstan.net/student_image/23359.jpg</t>
  </si>
  <si>
    <t>23361</t>
  </si>
  <si>
    <t>น.ส.นูรนาเซีย สาเมาะ</t>
  </si>
  <si>
    <t>https://azizstan.net/student_image/23361.jpg</t>
  </si>
  <si>
    <t>23363</t>
  </si>
  <si>
    <t>น.ส.พาตาฮา เล๊าะมอง</t>
  </si>
  <si>
    <t>https://azizstan.net/student_image/23363.jpg</t>
  </si>
  <si>
    <t>23392</t>
  </si>
  <si>
    <t>น.ส.อัลซาเบีย แซ่ลี</t>
  </si>
  <si>
    <t>https://azizstan.net/student_image/23392.jpg</t>
  </si>
  <si>
    <t>23509</t>
  </si>
  <si>
    <t>น.ส.ยัสมี บาเหม</t>
  </si>
  <si>
    <t>https://azizstan.net/student_image/23509.jpg</t>
  </si>
  <si>
    <t>23519</t>
  </si>
  <si>
    <t>น.ส.รุสมี เจะสนิ</t>
  </si>
  <si>
    <t>https://azizstan.net/student_image/23519.jpg</t>
  </si>
  <si>
    <t>23526</t>
  </si>
  <si>
    <t>น.ส.วาณีตา ดอเล๊าะ</t>
  </si>
  <si>
    <t>https://azizstan.net/student_image/23526.jpg</t>
  </si>
  <si>
    <t>23553</t>
  </si>
  <si>
    <t>น.ส.อาตีราห์ สันบากอ</t>
  </si>
  <si>
    <t>https://azizstan.net/student_image/23553.jpg</t>
  </si>
  <si>
    <t>23566</t>
  </si>
  <si>
    <t>น.ส.หนิรัยยาน เดหนิ</t>
  </si>
  <si>
    <t>https://azizstan.net/student_image/23566.jpg</t>
  </si>
  <si>
    <t>23570</t>
  </si>
  <si>
    <t>น.ส.อามาลีนา เจะหมะ</t>
  </si>
  <si>
    <t>https://azizstan.net/student_image/23570.jpg</t>
  </si>
  <si>
    <t>23593</t>
  </si>
  <si>
    <t>น.ส.ฝาราฝาตีฮ๊ะ เยาะเส็น</t>
  </si>
  <si>
    <t>https://azizstan.net/student_image/23593.jpg</t>
  </si>
  <si>
    <t>23628</t>
  </si>
  <si>
    <t>น.ส.ซัลวา ยามา</t>
  </si>
  <si>
    <t>https://azizstan.net/student_image/23628.jpg</t>
  </si>
  <si>
    <t>23669</t>
  </si>
  <si>
    <t>น.ส.อัสนีญา สูหลง</t>
  </si>
  <si>
    <t>https://azizstan.net/student_image/23669.jpg</t>
  </si>
  <si>
    <t>23690</t>
  </si>
  <si>
    <t>น.ส.นัซมีย์ ตาสะเมาะ</t>
  </si>
  <si>
    <t>https://azizstan.net/student_image/23690.jpg</t>
  </si>
  <si>
    <t>23710</t>
  </si>
  <si>
    <t>น.ส.สุลัยมีย์ มาสามา</t>
  </si>
  <si>
    <t>https://azizstan.net/student_image/23710.jpg</t>
  </si>
  <si>
    <t>23713</t>
  </si>
  <si>
    <t>น.ส.ยัสมีน มามุ</t>
  </si>
  <si>
    <t>https://azizstan.net/student_image/23713.jpg</t>
  </si>
  <si>
    <t>23741</t>
  </si>
  <si>
    <t>น.ส.ปิรดาวส์ ยีกะเส็ม</t>
  </si>
  <si>
    <t>https://azizstan.net/student_image/23741.jpg</t>
  </si>
  <si>
    <t>23763</t>
  </si>
  <si>
    <t>น.ส.ตัสนีม แมะเราะ</t>
  </si>
  <si>
    <t>https://azizstan.net/student_image/23763.jpg</t>
  </si>
  <si>
    <t>23781</t>
  </si>
  <si>
    <t>น.ส.สุนิตา เจะโซ๊ะ</t>
  </si>
  <si>
    <t>https://azizstan.net/student_image/23781.jpg</t>
  </si>
  <si>
    <t>23793</t>
  </si>
  <si>
    <t>น.ส.นัสรีน หีมงอย</t>
  </si>
  <si>
    <t>https://azizstan.net/student_image/23793.jpg</t>
  </si>
  <si>
    <t>23843</t>
  </si>
  <si>
    <t>น.ส.ฟิรดาว สุหลง</t>
  </si>
  <si>
    <t>https://azizstan.net/student_image/23843.jpg</t>
  </si>
  <si>
    <t>23947</t>
  </si>
  <si>
    <t>น.ส.ซัลวาตี สาลีมี</t>
  </si>
  <si>
    <t>https://azizstan.net/student_image/23947.jpg</t>
  </si>
  <si>
    <t>23956</t>
  </si>
  <si>
    <t>น.ส.นัสริน ยูโซ๊ะ</t>
  </si>
  <si>
    <t>https://azizstan.net/student_image/23956.jpg</t>
  </si>
  <si>
    <t>23983</t>
  </si>
  <si>
    <t>น.ส.ฟารีดา สุหลง</t>
  </si>
  <si>
    <t>https://azizstan.net/student_image/23983.jpg</t>
  </si>
  <si>
    <t>24502</t>
  </si>
  <si>
    <t>น.ส.นูรอัยนี สูหลง</t>
  </si>
  <si>
    <t>https://azizstan.net/student_image/24502.jpg</t>
  </si>
  <si>
    <t>25072</t>
  </si>
  <si>
    <t>น.ส.ไดยาน ยูโซะ</t>
  </si>
  <si>
    <t>https://azizstan.net/student_image/25072.jpg</t>
  </si>
  <si>
    <t>25300</t>
  </si>
  <si>
    <t>น.ส.นาดีญา อับดุลเลาะ</t>
  </si>
  <si>
    <t>https://azizstan.net/student_image/25300.jpg</t>
  </si>
  <si>
    <t>25549</t>
  </si>
  <si>
    <t>น.ส.นุรไอนี หะยีสะแม</t>
  </si>
  <si>
    <t>https://azizstan.net/student_image/25549.jpg</t>
  </si>
  <si>
    <t>25728</t>
  </si>
  <si>
    <t>น.ส.โสฟียา แอสาเมาะ</t>
  </si>
  <si>
    <t>https://azizstan.net/student_image/25728.jpg</t>
  </si>
  <si>
    <t>25794</t>
  </si>
  <si>
    <t>น.ส.ซูรัยดา เปาะสา</t>
  </si>
  <si>
    <t>https://azizstan.net/student_image/25794.jpg</t>
  </si>
  <si>
    <t>25796</t>
  </si>
  <si>
    <t>น.ส.ซอฟะห์ มะแซ</t>
  </si>
  <si>
    <t>https://azizstan.net/student_image/25796.jpg</t>
  </si>
  <si>
    <t>25815</t>
  </si>
  <si>
    <t>น.ส.นูรีต้า อาบูเล็ง</t>
  </si>
  <si>
    <t>https://azizstan.net/student_image/25815.jpg</t>
  </si>
  <si>
    <t>25857</t>
  </si>
  <si>
    <t>น.ส.นุรอาดีนี ขาเดร์</t>
  </si>
  <si>
    <t>https://azizstan.net/student_image/25857.jpg</t>
  </si>
  <si>
    <t>25881</t>
  </si>
  <si>
    <t>น.ส.นินาวียา โตะโซะ</t>
  </si>
  <si>
    <t>https://azizstan.net/student_image/25881.jpg</t>
  </si>
  <si>
    <t>26025</t>
  </si>
  <si>
    <t>น.ส.นูรมา ดือเระ</t>
  </si>
  <si>
    <t>https://azizstan.net/student_image/26025.jpg</t>
  </si>
  <si>
    <t>26549</t>
  </si>
  <si>
    <t>น.ส.อัสรอ สิทธิมนต์</t>
  </si>
  <si>
    <t>https://azizstan.net/student_image/26549.jpg</t>
  </si>
  <si>
    <t>26625</t>
  </si>
  <si>
    <t>น.ส.ฮันนาน หมัดสู</t>
  </si>
  <si>
    <t>https://azizstan.net/student_image/26625.jpg</t>
  </si>
  <si>
    <t>26676</t>
  </si>
  <si>
    <t>น.ส.สุรีนุช ขุนน้อย</t>
  </si>
  <si>
    <t>https://azizstan.net/student_image/26676.jpg</t>
  </si>
  <si>
    <t>26740</t>
  </si>
  <si>
    <t>น.ส.ฮุสนา กาเดร์</t>
  </si>
  <si>
    <t>https://azizstan.net/student_image/26740.jpg</t>
  </si>
  <si>
    <t>23339</t>
  </si>
  <si>
    <t>น.ส.อามานี วานิ</t>
  </si>
  <si>
    <t>ม.5/5</t>
  </si>
  <si>
    <t>อป.2/5</t>
  </si>
  <si>
    <t>https://azizstan.net/student_image/23339.jpg</t>
  </si>
  <si>
    <t>23341</t>
  </si>
  <si>
    <t>นายอัฟฮัม เดเระมะ</t>
  </si>
  <si>
    <t>https://azizstan.net/student_image/23341.jpg</t>
  </si>
  <si>
    <t>23343</t>
  </si>
  <si>
    <t>น.ส.เจ๊ะซุนนุรเดาส์ หลีดีใจ</t>
  </si>
  <si>
    <t>https://azizstan.net/student_image/23343.jpg</t>
  </si>
  <si>
    <t>23346</t>
  </si>
  <si>
    <t>นายฟาดีล ตาเล๊ะ</t>
  </si>
  <si>
    <t>https://azizstan.net/student_image/23346.jpg</t>
  </si>
  <si>
    <t>https://azizstan.net/student_image/23349.jpg</t>
  </si>
  <si>
    <t>23371</t>
  </si>
  <si>
    <t>นายอานัส ใจมันดี</t>
  </si>
  <si>
    <t>https://azizstan.net/student_image/23371.jpg</t>
  </si>
  <si>
    <t>23384</t>
  </si>
  <si>
    <t>นายวาฟิร อาหวัง</t>
  </si>
  <si>
    <t>https://azizstan.net/student_image/23384.jpg</t>
  </si>
  <si>
    <t>23391</t>
  </si>
  <si>
    <t>น.ส.โซเฟีย สมานเมธา</t>
  </si>
  <si>
    <t>https://azizstan.net/student_image/23391.jpg</t>
  </si>
  <si>
    <t>https://azizstan.net/student_image/23398.jpg</t>
  </si>
  <si>
    <t>https://azizstan.net/student_image/23420.jpg</t>
  </si>
  <si>
    <t>23428</t>
  </si>
  <si>
    <t>น.ส.นัสรีน โต๊ะเส็น</t>
  </si>
  <si>
    <t>https://azizstan.net/student_image/23428.jpg</t>
  </si>
  <si>
    <t>23493</t>
  </si>
  <si>
    <t>น.ส.ปิยณัฐ หัดขะเจ</t>
  </si>
  <si>
    <t>https://azizstan.net/student_image/23493.jpg</t>
  </si>
  <si>
    <t>23497</t>
  </si>
  <si>
    <t>น.ส.วารีซีน หลีเด่ะ</t>
  </si>
  <si>
    <t>https://azizstan.net/student_image/23497.jpg</t>
  </si>
  <si>
    <t>23528</t>
  </si>
  <si>
    <t>น.ส.ฮุสนา จิ</t>
  </si>
  <si>
    <t>https://azizstan.net/student_image/23528.jpg</t>
  </si>
  <si>
    <t>23599</t>
  </si>
  <si>
    <t>นายอาลีฟ มูนะ</t>
  </si>
  <si>
    <t>https://azizstan.net/student_image/23599.jpg</t>
  </si>
  <si>
    <t>https://azizstan.net/student_image/23687.jpg</t>
  </si>
  <si>
    <t>https://azizstan.net/student_image/23694.jpg</t>
  </si>
  <si>
    <t>23697</t>
  </si>
  <si>
    <t>น.ส.อาตีฟ ดาหวี</t>
  </si>
  <si>
    <t>https://azizstan.net/student_image/23697.jpg</t>
  </si>
  <si>
    <t>https://azizstan.net/student_image/23721.jpg</t>
  </si>
  <si>
    <t>23722</t>
  </si>
  <si>
    <t>นายคอลิส ดอเล๊าะ</t>
  </si>
  <si>
    <t>https://azizstan.net/student_image/23722.jpg</t>
  </si>
  <si>
    <t>23735</t>
  </si>
  <si>
    <t>น.ส.มาเรีย อาลี</t>
  </si>
  <si>
    <t>https://azizstan.net/student_image/23735.jpg</t>
  </si>
  <si>
    <t>23778</t>
  </si>
  <si>
    <t>น.ส.ฮูดา โต๊ะหัด</t>
  </si>
  <si>
    <t>https://azizstan.net/student_image/23778.jpg</t>
  </si>
  <si>
    <t>https://azizstan.net/student_image/23788.jpg</t>
  </si>
  <si>
    <t>https://azizstan.net/student_image/23877.jpg</t>
  </si>
  <si>
    <t>23888</t>
  </si>
  <si>
    <t>น.ส.นูรฟาร์ติน สะหะ</t>
  </si>
  <si>
    <t>https://azizstan.net/student_image/23888.jpg</t>
  </si>
  <si>
    <t>23934</t>
  </si>
  <si>
    <t>น.ส.ไรบีนา กล่อมสม</t>
  </si>
  <si>
    <t>https://azizstan.net/student_image/23934.jpg</t>
  </si>
  <si>
    <t>25535</t>
  </si>
  <si>
    <t>น.ส.ณธิดา นริศธราดล</t>
  </si>
  <si>
    <t>https://azizstan.net/student_image/25535.jpg</t>
  </si>
  <si>
    <t>25575</t>
  </si>
  <si>
    <t>น.ส.ฟิรดาวส์ สาและ</t>
  </si>
  <si>
    <t>https://azizstan.net/student_image/25575.jpg</t>
  </si>
  <si>
    <t>https://azizstan.net/student_image/25598.jpg</t>
  </si>
  <si>
    <t>https://azizstan.net/student_image/25658.jpg</t>
  </si>
  <si>
    <t>25700</t>
  </si>
  <si>
    <t>น.ส.จัสมิน สาเม๊าะ</t>
  </si>
  <si>
    <t>https://azizstan.net/student_image/25700.jpg</t>
  </si>
  <si>
    <t>25703</t>
  </si>
  <si>
    <t>น.ส.มุสซีรา ดาอะ</t>
  </si>
  <si>
    <t>https://azizstan.net/student_image/25703.jpg</t>
  </si>
  <si>
    <t>https://azizstan.net/student_image/25757.jpg</t>
  </si>
  <si>
    <t>25800</t>
  </si>
  <si>
    <t>น.ส.ปิรนันท์ หมัดหมัน</t>
  </si>
  <si>
    <t>https://azizstan.net/student_image/25800.jpg</t>
  </si>
  <si>
    <t>23344</t>
  </si>
  <si>
    <t>นายมูฮัมหมัด หะยีสาแม</t>
  </si>
  <si>
    <t>ม.5/6</t>
  </si>
  <si>
    <t>อป.2/6</t>
  </si>
  <si>
    <t>https://azizstan.net/student_image/23344.jpg</t>
  </si>
  <si>
    <t>https://azizstan.net/student_image/23347.jpg</t>
  </si>
  <si>
    <t>23350</t>
  </si>
  <si>
    <t>น.ส.โซฟีนา สิเดะ</t>
  </si>
  <si>
    <t>https://azizstan.net/student_image/23350.jpg</t>
  </si>
  <si>
    <t>23378</t>
  </si>
  <si>
    <t>น.ส.อาตัสนีม สาและ</t>
  </si>
  <si>
    <t>https://azizstan.net/student_image/23378.jpg</t>
  </si>
  <si>
    <t>https://azizstan.net/student_image/23379.jpg</t>
  </si>
  <si>
    <t>https://azizstan.net/student_image/23383.jpg</t>
  </si>
  <si>
    <t>23432</t>
  </si>
  <si>
    <t>น.ส.ซอฟาวาตีย์ มะเด็ง</t>
  </si>
  <si>
    <t>https://azizstan.net/student_image/23432.jpg</t>
  </si>
  <si>
    <t>23454</t>
  </si>
  <si>
    <t>นายวุฒิชัย ขาเดร์</t>
  </si>
  <si>
    <t>https://azizstan.net/student_image/23454.jpg</t>
  </si>
  <si>
    <t>https://azizstan.net/student_image/23488.jpg</t>
  </si>
  <si>
    <t>23500</t>
  </si>
  <si>
    <t>น.ส.แอนตีน่า โต๊ะยะ</t>
  </si>
  <si>
    <t>https://azizstan.net/student_image/23500.jpg</t>
  </si>
  <si>
    <t>https://azizstan.net/student_image/23501.jpg</t>
  </si>
  <si>
    <t>23523</t>
  </si>
  <si>
    <t>น.ส.รุสนาเดียร์ มูเลง</t>
  </si>
  <si>
    <t>https://azizstan.net/student_image/23523.jpg</t>
  </si>
  <si>
    <t>https://azizstan.net/student_image/23536.jpg</t>
  </si>
  <si>
    <t>https://azizstan.net/student_image/23537.jpg</t>
  </si>
  <si>
    <t>23540</t>
  </si>
  <si>
    <t>น.ส.ฟิรฮานา ลาเต๊ะเจะ</t>
  </si>
  <si>
    <t>https://azizstan.net/student_image/23540.jpg</t>
  </si>
  <si>
    <t>https://azizstan.net/student_image/23630.jpg</t>
  </si>
  <si>
    <t>https://azizstan.net/student_image/23636.jpg</t>
  </si>
  <si>
    <t>https://azizstan.net/student_image/23644.jpg</t>
  </si>
  <si>
    <t>23762</t>
  </si>
  <si>
    <t>นายซูไฮมี สาอิ</t>
  </si>
  <si>
    <t>https://azizstan.net/student_image/23762.jpg</t>
  </si>
  <si>
    <t>23806</t>
  </si>
  <si>
    <t>นายอัมรัน สุหลง</t>
  </si>
  <si>
    <t>https://azizstan.net/student_image/23806.jpg</t>
  </si>
  <si>
    <t>23858</t>
  </si>
  <si>
    <t>นายอิกรอม กาเดร์</t>
  </si>
  <si>
    <t>https://azizstan.net/student_image/23858.jpg</t>
  </si>
  <si>
    <t>25707</t>
  </si>
  <si>
    <t>นายมูฮัมหมัดอัซมี เจะสะมะ</t>
  </si>
  <si>
    <t>https://azizstan.net/student_image/25707.jpg</t>
  </si>
  <si>
    <t>23368</t>
  </si>
  <si>
    <t>น.ส.นาริสา จารู</t>
  </si>
  <si>
    <t>ม.5/7</t>
  </si>
  <si>
    <t>อป.2/7</t>
  </si>
  <si>
    <t>https://azizstan.net/student_image/23368.jpg</t>
  </si>
  <si>
    <t>23390</t>
  </si>
  <si>
    <t>น.ส.แวนูรไอนี ยาโงะ</t>
  </si>
  <si>
    <t>https://azizstan.net/student_image/23390.jpg</t>
  </si>
  <si>
    <t>23400</t>
  </si>
  <si>
    <t>น.ส.มาดีฮะห์ เต๊ะกาแซ</t>
  </si>
  <si>
    <t>https://azizstan.net/student_image/23400.jpg</t>
  </si>
  <si>
    <t>23407</t>
  </si>
  <si>
    <t>น.ส.ราเนีย สาซู</t>
  </si>
  <si>
    <t>https://azizstan.net/student_image/23407.jpg</t>
  </si>
  <si>
    <t>23434</t>
  </si>
  <si>
    <t>น.ส.ซูซาน ดาโหะ</t>
  </si>
  <si>
    <t>https://azizstan.net/student_image/23434.jpg</t>
  </si>
  <si>
    <t>23439</t>
  </si>
  <si>
    <t>น.ส.นูรฮาฟีซา แวนาแว</t>
  </si>
  <si>
    <t>https://azizstan.net/student_image/23439.jpg</t>
  </si>
  <si>
    <t>23446</t>
  </si>
  <si>
    <t>น.ส.นุชวรา สามะ</t>
  </si>
  <si>
    <t>https://azizstan.net/student_image/23446.jpg</t>
  </si>
  <si>
    <t>23448</t>
  </si>
  <si>
    <t>น.ส.อิฟฟานี ลือแบเต๊ะ</t>
  </si>
  <si>
    <t>https://azizstan.net/student_image/23448.jpg</t>
  </si>
  <si>
    <t>23455</t>
  </si>
  <si>
    <t>น.ส.อัลวานี โต๊ะแต</t>
  </si>
  <si>
    <t>https://azizstan.net/student_image/23455.jpg</t>
  </si>
  <si>
    <t>23478</t>
  </si>
  <si>
    <t>นายลุฏฟี สาตำ</t>
  </si>
  <si>
    <t>https://azizstan.net/student_image/23478.jpg</t>
  </si>
  <si>
    <t>23505</t>
  </si>
  <si>
    <t>นายยูฟ่า สาเมาะ</t>
  </si>
  <si>
    <t>https://azizstan.net/student_image/23505.jpg</t>
  </si>
  <si>
    <t>23506</t>
  </si>
  <si>
    <t>น.ส.นูรอามาล ซู</t>
  </si>
  <si>
    <t>https://azizstan.net/student_image/23506.jpg</t>
  </si>
  <si>
    <t>23524</t>
  </si>
  <si>
    <t>น.ส.ฟานิต้าร์ การี</t>
  </si>
  <si>
    <t>https://azizstan.net/student_image/23524.jpg</t>
  </si>
  <si>
    <t>23549</t>
  </si>
  <si>
    <t>น.ส.นูรฮัดฟีน่า หัดกาเจ</t>
  </si>
  <si>
    <t>https://azizstan.net/student_image/23549.jpg</t>
  </si>
  <si>
    <t>23554</t>
  </si>
  <si>
    <t>นายนาอิฟ สาฮะ</t>
  </si>
  <si>
    <t>https://azizstan.net/student_image/23554.jpg</t>
  </si>
  <si>
    <t>23564</t>
  </si>
  <si>
    <t>นายมูฮัมหมัดซัยฟุดดีน บาโลย</t>
  </si>
  <si>
    <t>https://azizstan.net/student_image/23564.jpg</t>
  </si>
  <si>
    <t>23601</t>
  </si>
  <si>
    <t>น.ส.ตัสนีม โตะมิง</t>
  </si>
  <si>
    <t>https://azizstan.net/student_image/23601.jpg</t>
  </si>
  <si>
    <t>23605</t>
  </si>
  <si>
    <t>น.ส.มัสสุหรี บุญฤทธิ์</t>
  </si>
  <si>
    <t>https://azizstan.net/student_image/23605.jpg</t>
  </si>
  <si>
    <t>23611</t>
  </si>
  <si>
    <t>น.ส.บัลกีส บากา</t>
  </si>
  <si>
    <t>https://azizstan.net/student_image/23611.jpg</t>
  </si>
  <si>
    <t>23681</t>
  </si>
  <si>
    <t>น.ส.นูรคานซาร์ อะแว</t>
  </si>
  <si>
    <t>https://azizstan.net/student_image/23681.jpg</t>
  </si>
  <si>
    <t>23707</t>
  </si>
  <si>
    <t>น.ส.นัสรินทร์ เจะดือราแม</t>
  </si>
  <si>
    <t>https://azizstan.net/student_image/23707.jpg</t>
  </si>
  <si>
    <t>https://azizstan.net/student_image/23759.jpg</t>
  </si>
  <si>
    <t>23867</t>
  </si>
  <si>
    <t>น.ส.อิฮซาน แยนา</t>
  </si>
  <si>
    <t>https://azizstan.net/student_image/23867.jpg</t>
  </si>
  <si>
    <t>23937</t>
  </si>
  <si>
    <t>น.ส.มาซายา กาซอ</t>
  </si>
  <si>
    <t>https://azizstan.net/student_image/23937.jpg</t>
  </si>
  <si>
    <t>24528</t>
  </si>
  <si>
    <t>นายอิมรอน แวฮามะ</t>
  </si>
  <si>
    <t>https://azizstan.net/student_image/24528.jpg</t>
  </si>
  <si>
    <t>24756</t>
  </si>
  <si>
    <t>น.ส.นูรอีมาน มะหะมะ</t>
  </si>
  <si>
    <t>https://azizstan.net/student_image/24756.jpg</t>
  </si>
  <si>
    <t>25462</t>
  </si>
  <si>
    <t>นายอิลฮาม ดอเลาะ</t>
  </si>
  <si>
    <t>https://azizstan.net/student_image/25462.jpg</t>
  </si>
  <si>
    <t>25722</t>
  </si>
  <si>
    <t>น.ส.นุอัยม์ มามะ</t>
  </si>
  <si>
    <t>https://azizstan.net/student_image/25722.jpg</t>
  </si>
  <si>
    <t>25900</t>
  </si>
  <si>
    <t>น.ส.ฮัลวา พายุ</t>
  </si>
  <si>
    <t>https://azizstan.net/student_image/25900.jpg</t>
  </si>
  <si>
    <t>25937</t>
  </si>
  <si>
    <t>นายฮาฟิส บ้านนบ</t>
  </si>
  <si>
    <t>https://azizstan.net/student_image/25937.jpg</t>
  </si>
  <si>
    <t>26028</t>
  </si>
  <si>
    <t>นายอามีน หายีดือแน</t>
  </si>
  <si>
    <t>https://azizstan.net/student_image/26028.jpg</t>
  </si>
  <si>
    <t>26373</t>
  </si>
  <si>
    <t>น.ส.บิลกีส หมัดสี</t>
  </si>
  <si>
    <t>https://azizstan.net/student_image/26373.jpg</t>
  </si>
  <si>
    <t>26752</t>
  </si>
  <si>
    <t>น.ส.สิริวิภา พาลีเขตต์</t>
  </si>
  <si>
    <t>https://azizstan.net/student_image/26752.jpg</t>
  </si>
  <si>
    <t>26799</t>
  </si>
  <si>
    <t>น.ส.นูรดีญานา ฤทธิ์หมุน</t>
  </si>
  <si>
    <t>https://azizstan.net/student_image/26799.jpg</t>
  </si>
  <si>
    <t>23372</t>
  </si>
  <si>
    <t>น.ส.นูรัชมีย์ ไชยมิกัน</t>
  </si>
  <si>
    <t>ม.5/8</t>
  </si>
  <si>
    <t>อป.2/8</t>
  </si>
  <si>
    <t>https://azizstan.net/student_image/23372.jpg</t>
  </si>
  <si>
    <t>https://azizstan.net/student_image/23380.jpg</t>
  </si>
  <si>
    <t>https://azizstan.net/student_image/23397.jpg</t>
  </si>
  <si>
    <t>23404</t>
  </si>
  <si>
    <t>น.ส.อทิตยา หวังสมัน</t>
  </si>
  <si>
    <t>https://azizstan.net/student_image/23404.jpg</t>
  </si>
  <si>
    <t>23411</t>
  </si>
  <si>
    <t>น.ส.ซีตีอายู มะดารี</t>
  </si>
  <si>
    <t>https://azizstan.net/student_image/23411.jpg</t>
  </si>
  <si>
    <t>23437</t>
  </si>
  <si>
    <t>น.ส.อมัลดา อาแว</t>
  </si>
  <si>
    <t>https://azizstan.net/student_image/23437.jpg</t>
  </si>
  <si>
    <t>23475</t>
  </si>
  <si>
    <t>น.ส.นูรซาฮีรา หะยีอาซา</t>
  </si>
  <si>
    <t>https://azizstan.net/student_image/23475.jpg</t>
  </si>
  <si>
    <t>23481</t>
  </si>
  <si>
    <t>น.ส.ฟาเดียนาร์ อาลี</t>
  </si>
  <si>
    <t>https://azizstan.net/student_image/23481.jpg</t>
  </si>
  <si>
    <t>https://azizstan.net/student_image/23487.jpg</t>
  </si>
  <si>
    <t>23508</t>
  </si>
  <si>
    <t>น.ส.โศรยา สาและ</t>
  </si>
  <si>
    <t>https://azizstan.net/student_image/23508.jpg</t>
  </si>
  <si>
    <t>23513</t>
  </si>
  <si>
    <t>น.ส.นูรมา โดซา</t>
  </si>
  <si>
    <t>https://azizstan.net/student_image/23513.jpg</t>
  </si>
  <si>
    <t>23545</t>
  </si>
  <si>
    <t>น.ส.อิสตีฟาร์ สะอะ</t>
  </si>
  <si>
    <t>https://azizstan.net/student_image/23545.jpg</t>
  </si>
  <si>
    <t>23580</t>
  </si>
  <si>
    <t>น.ส.ฮัสนีม สิดิ</t>
  </si>
  <si>
    <t>https://azizstan.net/student_image/23580.jpg</t>
  </si>
  <si>
    <t>https://azizstan.net/student_image/23597.jpg</t>
  </si>
  <si>
    <t>23606</t>
  </si>
  <si>
    <t>น.ส.อัฟนันท์ สาแม</t>
  </si>
  <si>
    <t>https://azizstan.net/student_image/23606.jpg</t>
  </si>
  <si>
    <t>https://azizstan.net/student_image/23656.jpg</t>
  </si>
  <si>
    <t>23671</t>
  </si>
  <si>
    <t>น.ส.ยุซลีซา ดาอุแม</t>
  </si>
  <si>
    <t>https://azizstan.net/student_image/23671.jpg</t>
  </si>
  <si>
    <t>23718</t>
  </si>
  <si>
    <t>นายอภิสิทธิ์ กะหวัง</t>
  </si>
  <si>
    <t>https://azizstan.net/student_image/23718.jpg</t>
  </si>
  <si>
    <t>23734</t>
  </si>
  <si>
    <t>นายรุจฮาน วันอิดริส</t>
  </si>
  <si>
    <t>https://azizstan.net/student_image/23734.jpg</t>
  </si>
  <si>
    <t>23948</t>
  </si>
  <si>
    <t>น.ส.นูรดาเรีย หัดขะเจ</t>
  </si>
  <si>
    <t>https://azizstan.net/student_image/23948.jpg</t>
  </si>
  <si>
    <t>https://azizstan.net/student_image/23974.jpg</t>
  </si>
  <si>
    <t>23986</t>
  </si>
  <si>
    <t>น.ส.ตัสนีม เจ๊ะดอมะ</t>
  </si>
  <si>
    <t>https://azizstan.net/student_image/23986.jpg</t>
  </si>
  <si>
    <t>25364</t>
  </si>
  <si>
    <t>นายอิดดาริส ตุกังหัน</t>
  </si>
  <si>
    <t>https://azizstan.net/student_image/25364.jpg</t>
  </si>
  <si>
    <t>25536</t>
  </si>
  <si>
    <t>น.ส.ซุลวารี มายิ</t>
  </si>
  <si>
    <t>https://azizstan.net/student_image/25536.jpg</t>
  </si>
  <si>
    <t>25682</t>
  </si>
  <si>
    <t>น.ส.อันดา เจะโจทย์</t>
  </si>
  <si>
    <t>https://azizstan.net/student_image/25682.jpg</t>
  </si>
  <si>
    <t>25698</t>
  </si>
  <si>
    <t>น.ส.นูรตัสนิม ลาเต๊ะ</t>
  </si>
  <si>
    <t>https://azizstan.net/student_image/25698.jpg</t>
  </si>
  <si>
    <t>25704</t>
  </si>
  <si>
    <t>น.ส.นัดวา หมัดสะแหละ</t>
  </si>
  <si>
    <t>https://azizstan.net/student_image/25704.jpg</t>
  </si>
  <si>
    <t>25714</t>
  </si>
  <si>
    <t>น.ส.อัยมี่ ปิระซอ</t>
  </si>
  <si>
    <t>https://azizstan.net/student_image/25714.jpg</t>
  </si>
  <si>
    <t>https://azizstan.net/student_image/25772.jpg</t>
  </si>
  <si>
    <t>25938</t>
  </si>
  <si>
    <t>น.ส.ศรุตา ดุงศรีแก้ว</t>
  </si>
  <si>
    <t>https://azizstan.net/student_image/25938.jpg</t>
  </si>
  <si>
    <t>26423</t>
  </si>
  <si>
    <t>น.ส.การีมะฮ์ รอยิง</t>
  </si>
  <si>
    <t>https://azizstan.net/student_image/26423.jpg</t>
  </si>
  <si>
    <t>23364</t>
  </si>
  <si>
    <t>น.ส.ซาอีดา นิ</t>
  </si>
  <si>
    <t>ม.5/9</t>
  </si>
  <si>
    <t>https://azizstan.net/student_image/23364.jpg</t>
  </si>
  <si>
    <t>23408</t>
  </si>
  <si>
    <t>น.ส.ฮุซนี สาเมาะ</t>
  </si>
  <si>
    <t>https://azizstan.net/student_image/23408.jpg</t>
  </si>
  <si>
    <t>23476</t>
  </si>
  <si>
    <t>น.ส.นุรซัลวาล ปิรู</t>
  </si>
  <si>
    <t>https://azizstan.net/student_image/23476.jpg</t>
  </si>
  <si>
    <t>23568</t>
  </si>
  <si>
    <t>น.ส.ตูแวนาซูฮา อามีเด็ง</t>
  </si>
  <si>
    <t>https://azizstan.net/student_image/23568.jpg</t>
  </si>
  <si>
    <t>23571</t>
  </si>
  <si>
    <t>น.ส.อานีตา ยีดือเระ</t>
  </si>
  <si>
    <t>https://azizstan.net/student_image/23571.jpg</t>
  </si>
  <si>
    <t>23604</t>
  </si>
  <si>
    <t>น.ส.สุนิสา และบรานิง</t>
  </si>
  <si>
    <t>https://azizstan.net/student_image/23604.jpg</t>
  </si>
  <si>
    <t>23612</t>
  </si>
  <si>
    <t>น.ส.อิกรีม๊ะฮ โตะโยะ</t>
  </si>
  <si>
    <t>https://azizstan.net/student_image/23612.jpg</t>
  </si>
  <si>
    <t>23640</t>
  </si>
  <si>
    <t>น.ส.อาราบีญ่า สะอะ</t>
  </si>
  <si>
    <t>https://azizstan.net/student_image/23640.jpg</t>
  </si>
  <si>
    <t>23655</t>
  </si>
  <si>
    <t>น.ส.อาอีเซ๊าะห์ บาซา</t>
  </si>
  <si>
    <t>https://azizstan.net/student_image/23655.jpg</t>
  </si>
  <si>
    <t>https://azizstan.net/student_image/23662.jpg</t>
  </si>
  <si>
    <t>23706</t>
  </si>
  <si>
    <t>น.ส.ฟาติน สามะ</t>
  </si>
  <si>
    <t>https://azizstan.net/student_image/23706.jpg</t>
  </si>
  <si>
    <t>23712</t>
  </si>
  <si>
    <t>น.ส.ซารีฮา สือรี</t>
  </si>
  <si>
    <t>https://azizstan.net/student_image/23712.jpg</t>
  </si>
  <si>
    <t>23752</t>
  </si>
  <si>
    <t>น.ส.รอฮานี ยงมาเก๊ะ</t>
  </si>
  <si>
    <t>https://azizstan.net/student_image/23752.jpg</t>
  </si>
  <si>
    <t>23795</t>
  </si>
  <si>
    <t>น.ส.นุรอัยซะห์ แวโดยี</t>
  </si>
  <si>
    <t>https://azizstan.net/student_image/23795.jpg</t>
  </si>
  <si>
    <t>23801</t>
  </si>
  <si>
    <t>น.ส.ซัลวา มะกูวิง</t>
  </si>
  <si>
    <t>https://azizstan.net/student_image/23801.jpg</t>
  </si>
  <si>
    <t>23886</t>
  </si>
  <si>
    <t>น.ส.อามีเน๊าะ การีนา</t>
  </si>
  <si>
    <t>https://azizstan.net/student_image/23886.jpg</t>
  </si>
  <si>
    <t>23939</t>
  </si>
  <si>
    <t>น.ส.นีดะ แซนิ</t>
  </si>
  <si>
    <t>https://azizstan.net/student_image/23939.jpg</t>
  </si>
  <si>
    <t>23965</t>
  </si>
  <si>
    <t>น.ส.ณัจวาร์ แวเดร์</t>
  </si>
  <si>
    <t>https://azizstan.net/student_image/23965.jpg</t>
  </si>
  <si>
    <t>24776</t>
  </si>
  <si>
    <t>น.ส.นุสรา มุนิมะ</t>
  </si>
  <si>
    <t>https://azizstan.net/student_image/24776.jpg</t>
  </si>
  <si>
    <t>25124</t>
  </si>
  <si>
    <t>น.ส.นูร์อาฟีตาร์ ยา</t>
  </si>
  <si>
    <t>https://azizstan.net/student_image/25124.jpg</t>
  </si>
  <si>
    <t>25204</t>
  </si>
  <si>
    <t>น.ส.นัรมี สะแม</t>
  </si>
  <si>
    <t>https://azizstan.net/student_image/25204.jpg</t>
  </si>
  <si>
    <t>25335</t>
  </si>
  <si>
    <t>น.ส.มารีน่า วานิ</t>
  </si>
  <si>
    <t>https://azizstan.net/student_image/25335.jpg</t>
  </si>
  <si>
    <t>25355</t>
  </si>
  <si>
    <t>น.ส.นาเดีย โสะปนแอ</t>
  </si>
  <si>
    <t>https://azizstan.net/student_image/25355.jpg</t>
  </si>
  <si>
    <t>25403</t>
  </si>
  <si>
    <t>น.ส.ซูไฮลา สาแม</t>
  </si>
  <si>
    <t>https://azizstan.net/student_image/25403.jpg</t>
  </si>
  <si>
    <t>25467</t>
  </si>
  <si>
    <t>น.ส.อารีดา สาแม</t>
  </si>
  <si>
    <t>https://azizstan.net/student_image/25467.jpg</t>
  </si>
  <si>
    <t>25468</t>
  </si>
  <si>
    <t>น.ส.ลันตีรา ลาเตะ</t>
  </si>
  <si>
    <t>https://azizstan.net/student_image/25468.jpg</t>
  </si>
  <si>
    <t>25508</t>
  </si>
  <si>
    <t>น.ส.นูรฟาเดียร์ ดาหะหลี</t>
  </si>
  <si>
    <t>https://azizstan.net/student_image/25508.jpg</t>
  </si>
  <si>
    <t>25531</t>
  </si>
  <si>
    <t>น.ส.ตัสนียะห์ มะ</t>
  </si>
  <si>
    <t>https://azizstan.net/student_image/25531.jpg</t>
  </si>
  <si>
    <t>25534</t>
  </si>
  <si>
    <t>น.ส.ซัลวา จิใจ</t>
  </si>
  <si>
    <t>https://azizstan.net/student_image/25534.jpg</t>
  </si>
  <si>
    <t>25622</t>
  </si>
  <si>
    <t>น.ส.ซีตีนูรอาลีซา เหล๊าะหมาน</t>
  </si>
  <si>
    <t>https://azizstan.net/student_image/25622.jpg</t>
  </si>
  <si>
    <t>25625</t>
  </si>
  <si>
    <t>น.ส.ฟาเดียร์ อาซ่อง</t>
  </si>
  <si>
    <t>https://azizstan.net/student_image/25625.jpg</t>
  </si>
  <si>
    <t>25628</t>
  </si>
  <si>
    <t>น.ส.นูรฮาซีละห์ เมาะอะ</t>
  </si>
  <si>
    <t>https://azizstan.net/student_image/25628.jpg</t>
  </si>
  <si>
    <t>25636</t>
  </si>
  <si>
    <t>น.ส.ฮัฟณี บาราเฮ็ง</t>
  </si>
  <si>
    <t>https://azizstan.net/student_image/25636.jpg</t>
  </si>
  <si>
    <t>25637</t>
  </si>
  <si>
    <t>น.ส.นุรมี ชูมุง</t>
  </si>
  <si>
    <t>https://azizstan.net/student_image/25637.jpg</t>
  </si>
  <si>
    <t>25653</t>
  </si>
  <si>
    <t>น.ส.มูนาซีเร๊าะ หลงนิเล๊าะ</t>
  </si>
  <si>
    <t>https://azizstan.net/student_image/25653.jpg</t>
  </si>
  <si>
    <t>25667</t>
  </si>
  <si>
    <t>น.ส.นูรฮัลวา มะยีงอ</t>
  </si>
  <si>
    <t>https://azizstan.net/student_image/25667.jpg</t>
  </si>
  <si>
    <t>25689</t>
  </si>
  <si>
    <t>น.ส.นูรฟาฏอนี แวหะยี</t>
  </si>
  <si>
    <t>https://azizstan.net/student_image/25689.jpg</t>
  </si>
  <si>
    <t>25723</t>
  </si>
  <si>
    <t>น.ส.อัสมะ มีลอ</t>
  </si>
  <si>
    <t>https://azizstan.net/student_image/25723.jpg</t>
  </si>
  <si>
    <t>25795</t>
  </si>
  <si>
    <t>น.ส.อามีเน๊าะ สาแลแม</t>
  </si>
  <si>
    <t>https://azizstan.net/student_image/25795.jpg</t>
  </si>
  <si>
    <t>25811</t>
  </si>
  <si>
    <t>น.ส.อณิมา หมีนหนุด</t>
  </si>
  <si>
    <t>https://azizstan.net/student_image/25811.jpg</t>
  </si>
  <si>
    <t>25944</t>
  </si>
  <si>
    <t>น.ส.กวินตรา รัตนชาญวาณิชย์</t>
  </si>
  <si>
    <t>https://azizstan.net/student_image/25944.jpg</t>
  </si>
  <si>
    <t>25959</t>
  </si>
  <si>
    <t>น.ส.รุสนี สะนิ</t>
  </si>
  <si>
    <t>https://azizstan.net/student_image/25959.jpg</t>
  </si>
  <si>
    <t>25988</t>
  </si>
  <si>
    <t>น.ส.วริศา หมัดชูโชติ</t>
  </si>
  <si>
    <t>https://azizstan.net/student_image/25988.jpg</t>
  </si>
  <si>
    <t>26003</t>
  </si>
  <si>
    <t>น.ส.นูรอาซีกีน บินโหว๊ะ</t>
  </si>
  <si>
    <t>https://azizstan.net/student_image/26003.jpg</t>
  </si>
  <si>
    <t>26031</t>
  </si>
  <si>
    <t>น.ส.ฮันนาน บาดง</t>
  </si>
  <si>
    <t>https://azizstan.net/student_image/26031.jpg</t>
  </si>
  <si>
    <t>26736</t>
  </si>
  <si>
    <t>น.ส.สุภัสสรา มีมิง</t>
  </si>
  <si>
    <t>https://azizstan.net/student_image/26736.jpg</t>
  </si>
  <si>
    <t>26790</t>
  </si>
  <si>
    <t>น.ส.นูรไอณี ดือราซอ</t>
  </si>
  <si>
    <t>https://azizstan.net/student_image/26790.jpg</t>
  </si>
  <si>
    <t>22707</t>
  </si>
  <si>
    <t>น.ส.อาทิตยา สอเล๊าะ</t>
  </si>
  <si>
    <t>ม.5/10</t>
  </si>
  <si>
    <t>https://azizstan.net/student_image/22707.jpg</t>
  </si>
  <si>
    <t>23348</t>
  </si>
  <si>
    <t>น.ส.ฟิตรียา โซะ</t>
  </si>
  <si>
    <t>https://azizstan.net/student_image/23348.jpg</t>
  </si>
  <si>
    <t>23418</t>
  </si>
  <si>
    <t>น.ส.อาดีละห์ มูสอ</t>
  </si>
  <si>
    <t>https://azizstan.net/student_image/23418.jpg</t>
  </si>
  <si>
    <t>23429</t>
  </si>
  <si>
    <t>น.ส.อามานี กะดะแซ</t>
  </si>
  <si>
    <t>https://azizstan.net/student_image/23429.jpg</t>
  </si>
  <si>
    <t>23459</t>
  </si>
  <si>
    <t>น.ส.นัสริน โสะติ</t>
  </si>
  <si>
    <t>https://azizstan.net/student_image/23459.jpg</t>
  </si>
  <si>
    <t>23491</t>
  </si>
  <si>
    <t>น.ส.นุศริน มามะ</t>
  </si>
  <si>
    <t>https://azizstan.net/student_image/23491.jpg</t>
  </si>
  <si>
    <t>23542</t>
  </si>
  <si>
    <t>น.ส.วัลย์โซเฟีย เระสะอะ</t>
  </si>
  <si>
    <t>https://azizstan.net/student_image/23542.jpg</t>
  </si>
  <si>
    <t>23547</t>
  </si>
  <si>
    <t>น.ส.นัสริน ดอเลาะ</t>
  </si>
  <si>
    <t>https://azizstan.net/student_image/23547.jpg</t>
  </si>
  <si>
    <t>23555</t>
  </si>
  <si>
    <t>น.ส.นิฟัรฮาน ดาโอ๊ะ</t>
  </si>
  <si>
    <t>https://azizstan.net/student_image/23555.jpg</t>
  </si>
  <si>
    <t>23559</t>
  </si>
  <si>
    <t>น.ส.ฟารีดา ชายมัน</t>
  </si>
  <si>
    <t>https://azizstan.net/student_image/23559.jpg</t>
  </si>
  <si>
    <t>23561</t>
  </si>
  <si>
    <t>น.ส.ซีตีมาซีเตาะห์ คางา</t>
  </si>
  <si>
    <t>https://azizstan.net/student_image/23561.jpg</t>
  </si>
  <si>
    <t>23565</t>
  </si>
  <si>
    <t>น.ส.อัสมานี อาลี</t>
  </si>
  <si>
    <t>https://azizstan.net/student_image/23565.jpg</t>
  </si>
  <si>
    <t>23575</t>
  </si>
  <si>
    <t>น.ส.ณัจมีย์ อาบู</t>
  </si>
  <si>
    <t>https://azizstan.net/student_image/23575.jpg</t>
  </si>
  <si>
    <t>23582</t>
  </si>
  <si>
    <t>น.ส.นูรฮายาตี สาและ</t>
  </si>
  <si>
    <t>https://azizstan.net/student_image/23582.jpg</t>
  </si>
  <si>
    <t>23583</t>
  </si>
  <si>
    <t>น.ส.อามาลีนา สาแลหมัน</t>
  </si>
  <si>
    <t>https://azizstan.net/student_image/23583.jpg</t>
  </si>
  <si>
    <t>23596</t>
  </si>
  <si>
    <t>น.ส.ตอฮีเราะห์ ยุทธ์พันธุ์</t>
  </si>
  <si>
    <t>https://azizstan.net/student_image/23596.jpg</t>
  </si>
  <si>
    <t>23609</t>
  </si>
  <si>
    <t>น.ส.นูรอัยนี มอลอ</t>
  </si>
  <si>
    <t>https://azizstan.net/student_image/23609.jpg</t>
  </si>
  <si>
    <t>23615</t>
  </si>
  <si>
    <t>น.ส.นาดียะฮ์ อาแว</t>
  </si>
  <si>
    <t>https://azizstan.net/student_image/23615.jpg</t>
  </si>
  <si>
    <t>23641</t>
  </si>
  <si>
    <t>น.ส.ฟิรดาว สือรี</t>
  </si>
  <si>
    <t>https://azizstan.net/student_image/23641.jpg</t>
  </si>
  <si>
    <t>23659</t>
  </si>
  <si>
    <t>น.ส.วานีตา ปาตง</t>
  </si>
  <si>
    <t>https://azizstan.net/student_image/23659.jpg</t>
  </si>
  <si>
    <t>23672</t>
  </si>
  <si>
    <t>น.ส.นุรฮายาตี เจ๊ะเลาะ</t>
  </si>
  <si>
    <t>https://azizstan.net/student_image/23672.jpg</t>
  </si>
  <si>
    <t>23692</t>
  </si>
  <si>
    <t>น.ส.นิรฮุดา โตะโยะ</t>
  </si>
  <si>
    <t>https://azizstan.net/student_image/23692.jpg</t>
  </si>
  <si>
    <t>23699</t>
  </si>
  <si>
    <t>น.ส.สุไรนี บาเหม</t>
  </si>
  <si>
    <t>https://azizstan.net/student_image/23699.jpg</t>
  </si>
  <si>
    <t>23760</t>
  </si>
  <si>
    <t>น.ส.อาริสา สามะ</t>
  </si>
  <si>
    <t>https://azizstan.net/student_image/23760.jpg</t>
  </si>
  <si>
    <t>23766</t>
  </si>
  <si>
    <t>น.ส.นูรฟารียา มะเซ็ง</t>
  </si>
  <si>
    <t>https://azizstan.net/student_image/23766.jpg</t>
  </si>
  <si>
    <t>23799</t>
  </si>
  <si>
    <t>น.ส.ลาตีฟะห์ วาเตะ</t>
  </si>
  <si>
    <t>https://azizstan.net/student_image/23799.jpg</t>
  </si>
  <si>
    <t>23800</t>
  </si>
  <si>
    <t>น.ส.หาฟีเซาะฮ วาเตะ</t>
  </si>
  <si>
    <t>https://azizstan.net/student_image/23800.jpg</t>
  </si>
  <si>
    <t>23803</t>
  </si>
  <si>
    <t>น.ส.นูรอูมีรูมาน สาและ</t>
  </si>
  <si>
    <t>https://azizstan.net/student_image/23803.jpg</t>
  </si>
  <si>
    <t>23812</t>
  </si>
  <si>
    <t>น.ส.นูรหาวารีย์ แวสนิ</t>
  </si>
  <si>
    <t>https://azizstan.net/student_image/23812.jpg</t>
  </si>
  <si>
    <t>23813</t>
  </si>
  <si>
    <t>น.ส.นิเกาศักร นิเงาะ</t>
  </si>
  <si>
    <t>https://azizstan.net/student_image/23813.jpg</t>
  </si>
  <si>
    <t>23820</t>
  </si>
  <si>
    <t>น.ส.ยัสมี เจะมะ</t>
  </si>
  <si>
    <t>https://azizstan.net/student_image/23820.jpg</t>
  </si>
  <si>
    <t>23838</t>
  </si>
  <si>
    <t>น.ส.ซิสวานี ราชเพชร</t>
  </si>
  <si>
    <t>https://azizstan.net/student_image/23838.jpg</t>
  </si>
  <si>
    <t>23878</t>
  </si>
  <si>
    <t>น.ส.นูรรีดา คาร์เดร์</t>
  </si>
  <si>
    <t>https://azizstan.net/student_image/23878.jpg</t>
  </si>
  <si>
    <t>23907</t>
  </si>
  <si>
    <t>น.ส.ฆูไรชา หะยีมะนุ</t>
  </si>
  <si>
    <t>https://azizstan.net/student_image/23907.jpg</t>
  </si>
  <si>
    <t>23968</t>
  </si>
  <si>
    <t>น.ส.อามีตา สาเล็ง</t>
  </si>
  <si>
    <t>https://azizstan.net/student_image/23968.jpg</t>
  </si>
  <si>
    <t>23970</t>
  </si>
  <si>
    <t>น.ส.นุรซาฮีดาร์ บาดง</t>
  </si>
  <si>
    <t>https://azizstan.net/student_image/23970.jpg</t>
  </si>
  <si>
    <t>25356</t>
  </si>
  <si>
    <t>น.ส.นัจลาอ์ อิแต</t>
  </si>
  <si>
    <t>https://azizstan.net/student_image/25356.jpg</t>
  </si>
  <si>
    <t>25660</t>
  </si>
  <si>
    <t>น.ส.วิตรี ตันหยงสะมะแอ</t>
  </si>
  <si>
    <t>https://azizstan.net/student_image/25660.jpg</t>
  </si>
  <si>
    <t>25668</t>
  </si>
  <si>
    <t>น.ส.ตอฮีเราะห์ ละแมะสะ</t>
  </si>
  <si>
    <t>https://azizstan.net/student_image/25668.jpg</t>
  </si>
  <si>
    <t>25806</t>
  </si>
  <si>
    <t>น.ส.ฮาบีบะห์ ดอเลาะ</t>
  </si>
  <si>
    <t>https://azizstan.net/student_image/25806.jpg</t>
  </si>
  <si>
    <t>25840</t>
  </si>
  <si>
    <t>น.ส.นูรฮาวา อาบูวะ</t>
  </si>
  <si>
    <t>https://azizstan.net/student_image/25840.jpg</t>
  </si>
  <si>
    <t>26004</t>
  </si>
  <si>
    <t>น.ส.ฮาบีบะห์ จะบากา</t>
  </si>
  <si>
    <t>https://azizstan.net/student_image/26004.jpg</t>
  </si>
  <si>
    <t>21975</t>
  </si>
  <si>
    <t>น.ส.ฟิตรา ยามา</t>
  </si>
  <si>
    <t>ม.6/0</t>
  </si>
  <si>
    <t>อป.3/2</t>
  </si>
  <si>
    <t>https://azizstan.net/student_image/21975.jpg</t>
  </si>
  <si>
    <t>21978</t>
  </si>
  <si>
    <t>นายมูฮำหมัดอัซมี ดือราแม</t>
  </si>
  <si>
    <t>https://azizstan.net/student_image/21978.jpg</t>
  </si>
  <si>
    <t>22041</t>
  </si>
  <si>
    <t>น.ส.นูรฟะห์ มะมิง</t>
  </si>
  <si>
    <t>https://azizstan.net/student_image/22041.jpg</t>
  </si>
  <si>
    <t>22050</t>
  </si>
  <si>
    <t>น.ส.สูไรยา เจะหะ</t>
  </si>
  <si>
    <t>https://azizstan.net/student_image/22050.jpg</t>
  </si>
  <si>
    <t>22152</t>
  </si>
  <si>
    <t>น.ส.รุสมาวาตี หะยี</t>
  </si>
  <si>
    <t>https://azizstan.net/student_image/22152.jpg</t>
  </si>
  <si>
    <t>22178</t>
  </si>
  <si>
    <t>น.ส.คอรีเย๊าะ สะแม</t>
  </si>
  <si>
    <t>https://azizstan.net/student_image/22178.jpg</t>
  </si>
  <si>
    <t>22195</t>
  </si>
  <si>
    <t>น.ส.ฟิตรียะห์ ยีราตี</t>
  </si>
  <si>
    <t>https://azizstan.net/student_image/22195.jpg</t>
  </si>
  <si>
    <t>22235</t>
  </si>
  <si>
    <t>นายลุตฟี ลายามุง</t>
  </si>
  <si>
    <t>https://azizstan.net/student_image/22235.jpg</t>
  </si>
  <si>
    <t>22440</t>
  </si>
  <si>
    <t>น.ส.อามาล สาและ</t>
  </si>
  <si>
    <t>https://azizstan.net/student_image/22440.jpg</t>
  </si>
  <si>
    <t>22526</t>
  </si>
  <si>
    <t>น.ส.อนิส สันบากอ</t>
  </si>
  <si>
    <t>https://azizstan.net/student_image/22526.jpg</t>
  </si>
  <si>
    <t>23189</t>
  </si>
  <si>
    <t>น.ส.ฮัรฟานา อุเซ็ง</t>
  </si>
  <si>
    <t>https://azizstan.net/student_image/23189.jpg</t>
  </si>
  <si>
    <t>23261</t>
  </si>
  <si>
    <t>น.ส.นูรลัยลา ลาเต๊ะ</t>
  </si>
  <si>
    <t>https://azizstan.net/student_image/23261.jpg</t>
  </si>
  <si>
    <t>24095</t>
  </si>
  <si>
    <t>นายอัสซุกรอน โรมรินทร์</t>
  </si>
  <si>
    <t>https://azizstan.net/student_image/24095.jpg</t>
  </si>
  <si>
    <t>22344</t>
  </si>
  <si>
    <t>นายอัซฮาร์ สะอิ</t>
  </si>
  <si>
    <t>ม.6/1</t>
  </si>
  <si>
    <t>https://azizstan.net/student_image/22344.jpg</t>
  </si>
  <si>
    <t>22700</t>
  </si>
  <si>
    <t>นายอารีฟีน วานิ</t>
  </si>
  <si>
    <t>https://azizstan.net/student_image/22700.jpg</t>
  </si>
  <si>
    <t>22709</t>
  </si>
  <si>
    <t>นายอัฟฟาน มันอิ</t>
  </si>
  <si>
    <t>https://azizstan.net/student_image/22709.jpg</t>
  </si>
  <si>
    <t>22728</t>
  </si>
  <si>
    <t>นายอัซลัน สาแม</t>
  </si>
  <si>
    <t>https://azizstan.net/student_image/22728.jpg</t>
  </si>
  <si>
    <t>22741</t>
  </si>
  <si>
    <t>นายอิรฮัม เหมหลง</t>
  </si>
  <si>
    <t>https://azizstan.net/student_image/22741.jpg</t>
  </si>
  <si>
    <t>22746</t>
  </si>
  <si>
    <t>นายอฟันดี กาสามาสุ</t>
  </si>
  <si>
    <t>https://azizstan.net/student_image/22746.jpg</t>
  </si>
  <si>
    <t>22779</t>
  </si>
  <si>
    <t>นายมูฮำหมัดอิรฟาน เจ๊ะหลง</t>
  </si>
  <si>
    <t>https://azizstan.net/student_image/22779.jpg</t>
  </si>
  <si>
    <t>22789</t>
  </si>
  <si>
    <t>นายอบู ยะโกะ</t>
  </si>
  <si>
    <t>https://azizstan.net/student_image/22789.jpg</t>
  </si>
  <si>
    <t>22825</t>
  </si>
  <si>
    <t>นายนาบิลล์ อาบู</t>
  </si>
  <si>
    <t>https://azizstan.net/student_image/22825.jpg</t>
  </si>
  <si>
    <t>22862</t>
  </si>
  <si>
    <t>นายอัสรี มะซง</t>
  </si>
  <si>
    <t>https://azizstan.net/student_image/22862.jpg</t>
  </si>
  <si>
    <t>22905</t>
  </si>
  <si>
    <t>นายบาซอรี มะแซ</t>
  </si>
  <si>
    <t>อป.3/1</t>
  </si>
  <si>
    <t>https://azizstan.net/student_image/22905.jpg</t>
  </si>
  <si>
    <t>22956</t>
  </si>
  <si>
    <t>นายอันนัสรู แวโด</t>
  </si>
  <si>
    <t>https://azizstan.net/student_image/22956.jpg</t>
  </si>
  <si>
    <t>22963</t>
  </si>
  <si>
    <t>นายวราวีย์ นิจิ</t>
  </si>
  <si>
    <t>https://azizstan.net/student_image/22963.jpg</t>
  </si>
  <si>
    <t>22969</t>
  </si>
  <si>
    <t>นายซูฮัยมี บูแม</t>
  </si>
  <si>
    <t>https://azizstan.net/student_image/22969.jpg</t>
  </si>
  <si>
    <t>23021</t>
  </si>
  <si>
    <t>นายณอิฟ กิตติชัย</t>
  </si>
  <si>
    <t>https://azizstan.net/student_image/23021.jpg</t>
  </si>
  <si>
    <t>23050</t>
  </si>
  <si>
    <t>นายอามีน มะเซ็ง</t>
  </si>
  <si>
    <t>https://azizstan.net/student_image/23050.jpg</t>
  </si>
  <si>
    <t>23077</t>
  </si>
  <si>
    <t>นายอนัส แลมันเส็น</t>
  </si>
  <si>
    <t>https://azizstan.net/student_image/23077.jpg</t>
  </si>
  <si>
    <t>23139</t>
  </si>
  <si>
    <t>นายชินาธิป ดามัน</t>
  </si>
  <si>
    <t>https://azizstan.net/student_image/23139.jpg</t>
  </si>
  <si>
    <t>23140</t>
  </si>
  <si>
    <t>นายอับดุลกอเดร์ เส็นสะนา</t>
  </si>
  <si>
    <t>https://azizstan.net/student_image/23140.jpg</t>
  </si>
  <si>
    <t>23157</t>
  </si>
  <si>
    <t>นายอิคลาส หีมบู</t>
  </si>
  <si>
    <t>https://azizstan.net/student_image/23157.jpg</t>
  </si>
  <si>
    <t>23186</t>
  </si>
  <si>
    <t>นายริฟฮาน คาเดลอดิง</t>
  </si>
  <si>
    <t>https://azizstan.net/student_image/23186.jpg</t>
  </si>
  <si>
    <t>23209</t>
  </si>
  <si>
    <t>นายฟาอิล สะบูดิง</t>
  </si>
  <si>
    <t>https://azizstan.net/student_image/23209.jpg</t>
  </si>
  <si>
    <t>23276</t>
  </si>
  <si>
    <t>นายอานัส เจะสะแลแม</t>
  </si>
  <si>
    <t>https://azizstan.net/student_image/23276.jpg</t>
  </si>
  <si>
    <t>24807</t>
  </si>
  <si>
    <t>นายอัซรีย์ สามะ</t>
  </si>
  <si>
    <t>https://azizstan.net/student_image/24807.jpg</t>
  </si>
  <si>
    <t>24926</t>
  </si>
  <si>
    <t>นายฮากีมี อะลีหะ</t>
  </si>
  <si>
    <t>https://azizstan.net/student_image/24926.jpg</t>
  </si>
  <si>
    <t>25067</t>
  </si>
  <si>
    <t>นายพันธกานต์ เทือกเถาว์</t>
  </si>
  <si>
    <t>https://azizstan.net/student_image/25067.jpg</t>
  </si>
  <si>
    <t>25140</t>
  </si>
  <si>
    <t>นายอันวา หะยีบีรู</t>
  </si>
  <si>
    <t>https://azizstan.net/student_image/25140.jpg</t>
  </si>
  <si>
    <t>25168</t>
  </si>
  <si>
    <t>นายบูรฮัน กะนางอ</t>
  </si>
  <si>
    <t>https://azizstan.net/student_image/25168.jpg</t>
  </si>
  <si>
    <t>25269</t>
  </si>
  <si>
    <t>นายซัมรี เบ็ญเจะอุมา</t>
  </si>
  <si>
    <t>https://azizstan.net/student_image/25269.jpg</t>
  </si>
  <si>
    <t>25302</t>
  </si>
  <si>
    <t>นายริฟฮาน สุวรรณวงค์</t>
  </si>
  <si>
    <t>https://azizstan.net/student_image/25302.jpg</t>
  </si>
  <si>
    <t>25306</t>
  </si>
  <si>
    <t>นายรอมฎอล แอเลาะ</t>
  </si>
  <si>
    <t>https://azizstan.net/student_image/25306.jpg</t>
  </si>
  <si>
    <t>25532</t>
  </si>
  <si>
    <t>นายฟารุฟ ยะฝาด</t>
  </si>
  <si>
    <t>https://azizstan.net/student_image/25532.jpg</t>
  </si>
  <si>
    <t>25940</t>
  </si>
  <si>
    <t>นายอนัส โตะหะ</t>
  </si>
  <si>
    <t>https://azizstan.net/student_image/25940.jpg</t>
  </si>
  <si>
    <t>26020</t>
  </si>
  <si>
    <t>นายมูฮำหมัดอัซมี แวบือราเฮง</t>
  </si>
  <si>
    <t>https://azizstan.net/student_image/26020.jpg</t>
  </si>
  <si>
    <t>26024</t>
  </si>
  <si>
    <t>นายอับดุลเลาะห์   กูวิง</t>
  </si>
  <si>
    <t>https://azizstan.net/student_image/26024.jpg</t>
  </si>
  <si>
    <t>26803</t>
  </si>
  <si>
    <t>นายมุซลิม ยิมัน</t>
  </si>
  <si>
    <t>https://azizstan.net/student_image/26803.jpg</t>
  </si>
  <si>
    <t>22672</t>
  </si>
  <si>
    <t>นายซอบรี มิเร็ม</t>
  </si>
  <si>
    <t>ม.6/2</t>
  </si>
  <si>
    <t>https://azizstan.net/student_image/22672.jpg</t>
  </si>
  <si>
    <t>22676</t>
  </si>
  <si>
    <t>นายอาดัม ยะโยะ</t>
  </si>
  <si>
    <t>https://azizstan.net/student_image/22676.jpg</t>
  </si>
  <si>
    <t>22682</t>
  </si>
  <si>
    <t>นายอานัส โมะยาเส็ง</t>
  </si>
  <si>
    <t>https://azizstan.net/student_image/22682.jpg</t>
  </si>
  <si>
    <t>22690</t>
  </si>
  <si>
    <t>นายอิลฮัม เจ๊ะดอหะ</t>
  </si>
  <si>
    <t>https://azizstan.net/student_image/22690.jpg</t>
  </si>
  <si>
    <t>22729</t>
  </si>
  <si>
    <t>นายอาริฟ สาอุ</t>
  </si>
  <si>
    <t>https://azizstan.net/student_image/22729.jpg</t>
  </si>
  <si>
    <t>22739</t>
  </si>
  <si>
    <t>นายมูฮำหมัด สะแม</t>
  </si>
  <si>
    <t>https://azizstan.net/student_image/22739.jpg</t>
  </si>
  <si>
    <t>22794</t>
  </si>
  <si>
    <t>นายตัรมีซี หะยีบือราเฮง</t>
  </si>
  <si>
    <t>https://azizstan.net/student_image/22794.jpg</t>
  </si>
  <si>
    <t>22809</t>
  </si>
  <si>
    <t>นายอิสมาแอ สานิ</t>
  </si>
  <si>
    <t>https://azizstan.net/student_image/22809.jpg</t>
  </si>
  <si>
    <t>22845</t>
  </si>
  <si>
    <t>นายมูฮัมหมัดฮานาฟี สาและ</t>
  </si>
  <si>
    <t>https://azizstan.net/student_image/22845.jpg</t>
  </si>
  <si>
    <t>22863</t>
  </si>
  <si>
    <t>นายบุสรอ วอเห็ง</t>
  </si>
  <si>
    <t>https://azizstan.net/student_image/22863.jpg</t>
  </si>
  <si>
    <t>22877</t>
  </si>
  <si>
    <t>นายซุลกิฟลี นิอามะ</t>
  </si>
  <si>
    <t>https://azizstan.net/student_image/22877.jpg</t>
  </si>
  <si>
    <t>22903</t>
  </si>
  <si>
    <t>นายภูมินทร์ สูดี</t>
  </si>
  <si>
    <t>https://azizstan.net/student_image/22903.jpg</t>
  </si>
  <si>
    <t>22942</t>
  </si>
  <si>
    <t>นายมูฮำหมัดลุตฟี อับดุลเล๊าะ</t>
  </si>
  <si>
    <t>https://azizstan.net/student_image/22942.jpg</t>
  </si>
  <si>
    <t>22952</t>
  </si>
  <si>
    <t>นายสุทิรันต์ ดอเลาะ</t>
  </si>
  <si>
    <t>https://azizstan.net/student_image/22952.jpg</t>
  </si>
  <si>
    <t>22968</t>
  </si>
  <si>
    <t>นายวันอัลฟีโน มามะ</t>
  </si>
  <si>
    <t>https://azizstan.net/student_image/22968.jpg</t>
  </si>
  <si>
    <t>22985</t>
  </si>
  <si>
    <t>นายซุลกิฟลี บุญสังข์</t>
  </si>
  <si>
    <t>https://azizstan.net/student_image/22985.jpg</t>
  </si>
  <si>
    <t>22988</t>
  </si>
  <si>
    <t>นายฮาฟีซี ตาเย๊ะ</t>
  </si>
  <si>
    <t>https://azizstan.net/student_image/22988.jpg</t>
  </si>
  <si>
    <t>23012</t>
  </si>
  <si>
    <t>นายรุสลัน แวสะมะแอ</t>
  </si>
  <si>
    <t>https://azizstan.net/student_image/23012.jpg</t>
  </si>
  <si>
    <t>23026</t>
  </si>
  <si>
    <t>นายอับดุลฮาดี โต๊ะเจะ</t>
  </si>
  <si>
    <t>https://azizstan.net/student_image/23026.jpg</t>
  </si>
  <si>
    <t>23042</t>
  </si>
  <si>
    <t>นายอัสรีฟาน หมันนะ</t>
  </si>
  <si>
    <t>https://azizstan.net/student_image/23042.jpg</t>
  </si>
  <si>
    <t>23069</t>
  </si>
  <si>
    <t>นายริฟฮาน มามะ</t>
  </si>
  <si>
    <t>https://azizstan.net/student_image/23069.jpg</t>
  </si>
  <si>
    <t>23098</t>
  </si>
  <si>
    <t>นายนัซรูน กาเจะ</t>
  </si>
  <si>
    <t>https://azizstan.net/student_image/23098.jpg</t>
  </si>
  <si>
    <t>23114</t>
  </si>
  <si>
    <t>นายฮาพีซอล หยงสตาร์</t>
  </si>
  <si>
    <t>https://azizstan.net/student_image/23114.jpg</t>
  </si>
  <si>
    <t>23227</t>
  </si>
  <si>
    <t>นายชารีฟ แวนาแว</t>
  </si>
  <si>
    <t>https://azizstan.net/student_image/23227.jpg</t>
  </si>
  <si>
    <t>23239</t>
  </si>
  <si>
    <t>นายมันซูร หะยียามาย</t>
  </si>
  <si>
    <t>https://azizstan.net/student_image/23239.jpg</t>
  </si>
  <si>
    <t>23269</t>
  </si>
  <si>
    <t>นายอาดัม เจะเละ</t>
  </si>
  <si>
    <t>https://azizstan.net/student_image/23269.jpg</t>
  </si>
  <si>
    <t>23277</t>
  </si>
  <si>
    <t>นายมูฮัมหมัดอามีรุล สาและ</t>
  </si>
  <si>
    <t>https://azizstan.net/student_image/23277.jpg</t>
  </si>
  <si>
    <t>23279</t>
  </si>
  <si>
    <t>นายรุสดี หยีเหยง</t>
  </si>
  <si>
    <t>https://azizstan.net/student_image/23279.jpg</t>
  </si>
  <si>
    <t>23304</t>
  </si>
  <si>
    <t>นายฟาริด สาเลง</t>
  </si>
  <si>
    <t>https://azizstan.net/student_image/23304.jpg</t>
  </si>
  <si>
    <t>24586</t>
  </si>
  <si>
    <t>นายอับดุลฮาฟิซ มามะ</t>
  </si>
  <si>
    <t>https://azizstan.net/student_image/24586.jpg</t>
  </si>
  <si>
    <t>24653</t>
  </si>
  <si>
    <t>นายปฏิภาณ หมานสิทธิ์</t>
  </si>
  <si>
    <t>https://azizstan.net/student_image/24653.jpg</t>
  </si>
  <si>
    <t>24669</t>
  </si>
  <si>
    <t>นายภูวาเนตร์ ขุนทอง</t>
  </si>
  <si>
    <t>https://azizstan.net/student_image/24669.jpg</t>
  </si>
  <si>
    <t>24813</t>
  </si>
  <si>
    <t>นายสุกรียา ยูโซะ</t>
  </si>
  <si>
    <t>https://azizstan.net/student_image/24813.jpg</t>
  </si>
  <si>
    <t>24820</t>
  </si>
  <si>
    <t>นายรุสมัน แลมันเส็น</t>
  </si>
  <si>
    <t>https://azizstan.net/student_image/24820.jpg</t>
  </si>
  <si>
    <t>24874</t>
  </si>
  <si>
    <t>นายซูกอรในย์ สมาแอ</t>
  </si>
  <si>
    <t>https://azizstan.net/student_image/24874.jpg</t>
  </si>
  <si>
    <t>24929</t>
  </si>
  <si>
    <t>นายอัซนัน สะมะแอ</t>
  </si>
  <si>
    <t>https://azizstan.net/student_image/24929.jpg</t>
  </si>
  <si>
    <t>25230</t>
  </si>
  <si>
    <t>นายสุไลมาน เจะมะสอง</t>
  </si>
  <si>
    <t>https://azizstan.net/student_image/25230.jpg</t>
  </si>
  <si>
    <t>25254</t>
  </si>
  <si>
    <t>นายซอฟรัน มามะ</t>
  </si>
  <si>
    <t>https://azizstan.net/student_image/25254.jpg</t>
  </si>
  <si>
    <t>25273</t>
  </si>
  <si>
    <t>นายอิรฟาน ซาราเซะ</t>
  </si>
  <si>
    <t>https://azizstan.net/student_image/25273.jpg</t>
  </si>
  <si>
    <t>25350</t>
  </si>
  <si>
    <t>นายอับดุลอาซัน ชูมุง</t>
  </si>
  <si>
    <t>https://azizstan.net/student_image/25350.jpg</t>
  </si>
  <si>
    <t>22666</t>
  </si>
  <si>
    <t>น.ส.ฟารีซาน ลือโมะ</t>
  </si>
  <si>
    <t>ม.6/3</t>
  </si>
  <si>
    <t>https://azizstan.net/student_image/22666.jpg</t>
  </si>
  <si>
    <t>22694</t>
  </si>
  <si>
    <t>น.ส.รุสลีซา เจะแว</t>
  </si>
  <si>
    <t>https://azizstan.net/student_image/22694.jpg</t>
  </si>
  <si>
    <t>22714</t>
  </si>
  <si>
    <t>น.ส.นัสรีน เจะเลาะ</t>
  </si>
  <si>
    <t>https://azizstan.net/student_image/22714.jpg</t>
  </si>
  <si>
    <t>22734</t>
  </si>
  <si>
    <t>น.ส.นูรฮูดา ดอเลาะ</t>
  </si>
  <si>
    <t>https://azizstan.net/student_image/22734.jpg</t>
  </si>
  <si>
    <t>22745</t>
  </si>
  <si>
    <t>น.ส.ฟาเดีย สะอิ</t>
  </si>
  <si>
    <t>https://azizstan.net/student_image/22745.jpg</t>
  </si>
  <si>
    <t>22768</t>
  </si>
  <si>
    <t>น.ส.ฟิรดาวส์ โตะลากอ</t>
  </si>
  <si>
    <t>https://azizstan.net/student_image/22768.jpg</t>
  </si>
  <si>
    <t>22770</t>
  </si>
  <si>
    <t>น.ส.ตัสนีม หามะ</t>
  </si>
  <si>
    <t>https://azizstan.net/student_image/22770.jpg</t>
  </si>
  <si>
    <t>22826</t>
  </si>
  <si>
    <t>น.ส.ตัสมี อุเซ็ง</t>
  </si>
  <si>
    <t>https://azizstan.net/student_image/22826.jpg</t>
  </si>
  <si>
    <t>22837</t>
  </si>
  <si>
    <t>น.ส.แพรวา สะนิ</t>
  </si>
  <si>
    <t>https://azizstan.net/student_image/22837.jpg</t>
  </si>
  <si>
    <t>22886</t>
  </si>
  <si>
    <t>น.ส.กนกวรรณ มิดดี้</t>
  </si>
  <si>
    <t>https://azizstan.net/student_image/22886.jpg</t>
  </si>
  <si>
    <t>22896</t>
  </si>
  <si>
    <t>น.ส.โซฟียา หะยีดอเลาะ</t>
  </si>
  <si>
    <t>https://azizstan.net/student_image/22896.jpg</t>
  </si>
  <si>
    <t>22912</t>
  </si>
  <si>
    <t>น.ส.อานีฟา หะยียูนุ</t>
  </si>
  <si>
    <t>https://azizstan.net/student_image/22912.jpg</t>
  </si>
  <si>
    <t>22915</t>
  </si>
  <si>
    <t>น.ส.นัสรีน สาและเล๊าะ</t>
  </si>
  <si>
    <t>https://azizstan.net/student_image/22915.jpg</t>
  </si>
  <si>
    <t>22916</t>
  </si>
  <si>
    <t>น.ส.นัสริน แวยูโซะ</t>
  </si>
  <si>
    <t>https://azizstan.net/student_image/22916.jpg</t>
  </si>
  <si>
    <t>22960</t>
  </si>
  <si>
    <t>น.ส.ซาบีเกาะห์ มะดีเยาะ</t>
  </si>
  <si>
    <t>https://azizstan.net/student_image/22960.jpg</t>
  </si>
  <si>
    <t>22975</t>
  </si>
  <si>
    <t>น.ส.ฟาติมะ หะระซัน</t>
  </si>
  <si>
    <t>https://azizstan.net/student_image/22975.jpg</t>
  </si>
  <si>
    <t>22989</t>
  </si>
  <si>
    <t>น.ส.ซูรีนา ปูซู</t>
  </si>
  <si>
    <t>https://azizstan.net/student_image/22989.jpg</t>
  </si>
  <si>
    <t>22997</t>
  </si>
  <si>
    <t>น.ส.นูกีต้า หัดกาเจ</t>
  </si>
  <si>
    <t>https://azizstan.net/student_image/22997.jpg</t>
  </si>
  <si>
    <t>23007</t>
  </si>
  <si>
    <t>น.ส.ชลดา มูณี</t>
  </si>
  <si>
    <t>https://azizstan.net/student_image/23007.jpg</t>
  </si>
  <si>
    <t>23043</t>
  </si>
  <si>
    <t>น.ส.มารีณี สามะ</t>
  </si>
  <si>
    <t>https://azizstan.net/student_image/23043.jpg</t>
  </si>
  <si>
    <t>23084</t>
  </si>
  <si>
    <t>น.ส.นุรซันวา สาเมาะ</t>
  </si>
  <si>
    <t>https://azizstan.net/student_image/23084.jpg</t>
  </si>
  <si>
    <t>23086</t>
  </si>
  <si>
    <t>น.ส.สุไรนีย์ กาเต็มมะดี</t>
  </si>
  <si>
    <t>https://azizstan.net/student_image/23086.jpg</t>
  </si>
  <si>
    <t>23092</t>
  </si>
  <si>
    <t>น.ส.มูเนาวเราะห์ หะยีเจ๊ะมุ</t>
  </si>
  <si>
    <t>https://azizstan.net/student_image/23092.jpg</t>
  </si>
  <si>
    <t>23138</t>
  </si>
  <si>
    <t>น.ส.ฟิตรีดาห์ อามะ</t>
  </si>
  <si>
    <t>https://azizstan.net/student_image/23138.jpg</t>
  </si>
  <si>
    <t>23160</t>
  </si>
  <si>
    <t>น.ส.นูรอารียาณี สะแม</t>
  </si>
  <si>
    <t>https://azizstan.net/student_image/23160.jpg</t>
  </si>
  <si>
    <t>23213</t>
  </si>
  <si>
    <t>น.ส.ฮาปือเซาะห์ มะยิ</t>
  </si>
  <si>
    <t>https://azizstan.net/student_image/23213.jpg</t>
  </si>
  <si>
    <t>23315</t>
  </si>
  <si>
    <t>น.ส.นุรฮัซวานี อามะ</t>
  </si>
  <si>
    <t>https://azizstan.net/student_image/23315.jpg</t>
  </si>
  <si>
    <t>23728</t>
  </si>
  <si>
    <t>น.ส.วิลาสินี สุหลง</t>
  </si>
  <si>
    <t>https://azizstan.net/student_image/23728.jpg</t>
  </si>
  <si>
    <t>23992</t>
  </si>
  <si>
    <t>น.ส.นูริต้า หมัดอาดัม</t>
  </si>
  <si>
    <t>https://azizstan.net/student_image/23992.jpg</t>
  </si>
  <si>
    <t>24559</t>
  </si>
  <si>
    <t>น.ส.นูรอัยน์ มะซอ</t>
  </si>
  <si>
    <t>https://azizstan.net/student_image/24559.jpg</t>
  </si>
  <si>
    <t>24739</t>
  </si>
  <si>
    <t>น.ส.คอดีเย๊าะ แวสะแม</t>
  </si>
  <si>
    <t>https://azizstan.net/student_image/24739.jpg</t>
  </si>
  <si>
    <t>24741</t>
  </si>
  <si>
    <t>น.ส.กัลยารัตน์ สาอิ</t>
  </si>
  <si>
    <t>https://azizstan.net/student_image/24741.jpg</t>
  </si>
  <si>
    <t>24750</t>
  </si>
  <si>
    <t>น.ส.ซัซวานี หลังปาปัน</t>
  </si>
  <si>
    <t>https://azizstan.net/student_image/24750.jpg</t>
  </si>
  <si>
    <t>24787</t>
  </si>
  <si>
    <t>น.ส.นัรมีน สะแลแม</t>
  </si>
  <si>
    <t>https://azizstan.net/student_image/24787.jpg</t>
  </si>
  <si>
    <t>24947</t>
  </si>
  <si>
    <t>น.ส.นูรฮายาตี เจะแต</t>
  </si>
  <si>
    <t>https://azizstan.net/student_image/24947.jpg</t>
  </si>
  <si>
    <t>25027</t>
  </si>
  <si>
    <t>น.ส.นิฟาตีมะ สะมะแอ</t>
  </si>
  <si>
    <t>https://azizstan.net/student_image/25027.jpg</t>
  </si>
  <si>
    <t>25117</t>
  </si>
  <si>
    <t>น.ส.ซีรีน เหมมินทร์</t>
  </si>
  <si>
    <t>https://azizstan.net/student_image/25117.jpg</t>
  </si>
  <si>
    <t>25179</t>
  </si>
  <si>
    <t>น.ส.ซอฟะ ดิง</t>
  </si>
  <si>
    <t>https://azizstan.net/student_image/25179.jpg</t>
  </si>
  <si>
    <t>25279</t>
  </si>
  <si>
    <t>น.ส.โซรัยญา ละแมะสะ</t>
  </si>
  <si>
    <t>https://azizstan.net/student_image/25279.jpg</t>
  </si>
  <si>
    <t>25299</t>
  </si>
  <si>
    <t>น.ส.เปรมศิณี หัดเลาะ</t>
  </si>
  <si>
    <t>https://azizstan.net/student_image/25299.jpg</t>
  </si>
  <si>
    <t>25789</t>
  </si>
  <si>
    <t>น.ส.ซูลฟา สะมุดิง</t>
  </si>
  <si>
    <t>https://azizstan.net/student_image/25789.jpg</t>
  </si>
  <si>
    <t>22654</t>
  </si>
  <si>
    <t>น.ส.ฮันนาน บิลหลี</t>
  </si>
  <si>
    <t>ม.6/4</t>
  </si>
  <si>
    <t>https://azizstan.net/student_image/22654.jpg</t>
  </si>
  <si>
    <t>22665</t>
  </si>
  <si>
    <t>น.ส.ฟาดีละห์ ปอสา</t>
  </si>
  <si>
    <t>https://azizstan.net/student_image/22665.jpg</t>
  </si>
  <si>
    <t>22695</t>
  </si>
  <si>
    <t>น.ส.วันฮูดา มะมิง</t>
  </si>
  <si>
    <t>https://azizstan.net/student_image/22695.jpg</t>
  </si>
  <si>
    <t>22704</t>
  </si>
  <si>
    <t>น.ส.แวซูฮัยลา แวนุเซ็ง</t>
  </si>
  <si>
    <t>https://azizstan.net/student_image/22704.jpg</t>
  </si>
  <si>
    <t>22716</t>
  </si>
  <si>
    <t>น.ส.โรสมียาตี หะยีดาโอะ</t>
  </si>
  <si>
    <t>https://azizstan.net/student_image/22716.jpg</t>
  </si>
  <si>
    <t>22750</t>
  </si>
  <si>
    <t>น.ส.นูรฮายาตี อีแต</t>
  </si>
  <si>
    <t>https://azizstan.net/student_image/22750.jpg</t>
  </si>
  <si>
    <t>22754</t>
  </si>
  <si>
    <t>น.ส.นิสรีน กาซอ</t>
  </si>
  <si>
    <t>https://azizstan.net/student_image/22754.jpg</t>
  </si>
  <si>
    <t>22766</t>
  </si>
  <si>
    <t>น.ส.สุไรนา หะยีมะลี</t>
  </si>
  <si>
    <t>https://azizstan.net/student_image/22766.jpg</t>
  </si>
  <si>
    <t>22767</t>
  </si>
  <si>
    <t>น.ส.สุไรดา หะมะ</t>
  </si>
  <si>
    <t>https://azizstan.net/student_image/22767.jpg</t>
  </si>
  <si>
    <t>22776</t>
  </si>
  <si>
    <t>น.ส.ฟิรดาวส์ ยามา</t>
  </si>
  <si>
    <t>https://azizstan.net/student_image/22776.jpg</t>
  </si>
  <si>
    <t>22780</t>
  </si>
  <si>
    <t>น.ส.ต่วนนูรีฮัน ดอเลาะ</t>
  </si>
  <si>
    <t>https://azizstan.net/student_image/22780.jpg</t>
  </si>
  <si>
    <t>22782</t>
  </si>
  <si>
    <t>น.ส.สีตีดียานา สาหะ</t>
  </si>
  <si>
    <t>https://azizstan.net/student_image/22782.jpg</t>
  </si>
  <si>
    <t>22799</t>
  </si>
  <si>
    <t>น.ส.นูรอัยณีย์ มะดีเยาะ</t>
  </si>
  <si>
    <t>https://azizstan.net/student_image/22799.jpg</t>
  </si>
  <si>
    <t>22815</t>
  </si>
  <si>
    <t>น.ส.นุรูฮานีซ๊ะห์ เจะสนิ</t>
  </si>
  <si>
    <t>https://azizstan.net/student_image/22815.jpg</t>
  </si>
  <si>
    <t>22832</t>
  </si>
  <si>
    <t>น.ส.ศอฟาอ์ มะเส็นสะ</t>
  </si>
  <si>
    <t>https://azizstan.net/student_image/22832.jpg</t>
  </si>
  <si>
    <t>22848</t>
  </si>
  <si>
    <t>น.ส.นูรอัยนี โตะมิง</t>
  </si>
  <si>
    <t>https://azizstan.net/student_image/22848.jpg</t>
  </si>
  <si>
    <t>22922</t>
  </si>
  <si>
    <t>น.ส.นูรีดา บ่อเตย</t>
  </si>
  <si>
    <t>https://azizstan.net/student_image/22922.jpg</t>
  </si>
  <si>
    <t>22934</t>
  </si>
  <si>
    <t>น.ส.ฟาตอนะห์ ยามิง</t>
  </si>
  <si>
    <t>https://azizstan.net/student_image/22934.jpg</t>
  </si>
  <si>
    <t>22935</t>
  </si>
  <si>
    <t>น.ส.ซูซานา สาอิ</t>
  </si>
  <si>
    <t>https://azizstan.net/student_image/22935.jpg</t>
  </si>
  <si>
    <t>22961</t>
  </si>
  <si>
    <t>น.ส.ซาบีเราะห์ มะดีเยาะ</t>
  </si>
  <si>
    <t>https://azizstan.net/student_image/22961.jpg</t>
  </si>
  <si>
    <t>22978</t>
  </si>
  <si>
    <t>น.ส.ชลธิชา มิ่งแม้น</t>
  </si>
  <si>
    <t>https://azizstan.net/student_image/22978.jpg</t>
  </si>
  <si>
    <t>22987</t>
  </si>
  <si>
    <t>น.ส.นูรไฮดา หมัดยาดำ</t>
  </si>
  <si>
    <t>https://azizstan.net/student_image/22987.jpg</t>
  </si>
  <si>
    <t>23014</t>
  </si>
  <si>
    <t>น.ส.ซิลมี ปะจู</t>
  </si>
  <si>
    <t>https://azizstan.net/student_image/23014.jpg</t>
  </si>
  <si>
    <t>23095</t>
  </si>
  <si>
    <t>น.ส.ซารีน่า โอล่า</t>
  </si>
  <si>
    <t>https://azizstan.net/student_image/23095.jpg</t>
  </si>
  <si>
    <t>23128</t>
  </si>
  <si>
    <t>น.ส.พาวาตี เจ๊ะอีแต</t>
  </si>
  <si>
    <t>https://azizstan.net/student_image/23128.jpg</t>
  </si>
  <si>
    <t>23132</t>
  </si>
  <si>
    <t>น.ส.ฮาพีซัน กาซอ</t>
  </si>
  <si>
    <t>https://azizstan.net/student_image/23132.jpg</t>
  </si>
  <si>
    <t>23152</t>
  </si>
  <si>
    <t>น.ส.อาวาฏิฟ สะลิมิง</t>
  </si>
  <si>
    <t>https://azizstan.net/student_image/23152.jpg</t>
  </si>
  <si>
    <t>23155</t>
  </si>
  <si>
    <t>น.ส.การีมะฮ์ ตาเยะ</t>
  </si>
  <si>
    <t>https://azizstan.net/student_image/23155.jpg</t>
  </si>
  <si>
    <t>23225</t>
  </si>
  <si>
    <t>น.ส.ฟิรดาวส์ เตาะมะ</t>
  </si>
  <si>
    <t>https://azizstan.net/student_image/23225.jpg</t>
  </si>
  <si>
    <t>23254</t>
  </si>
  <si>
    <t>น.ส.อาฟีฟะฮ์ ดามัน</t>
  </si>
  <si>
    <t>https://azizstan.net/student_image/23254.jpg</t>
  </si>
  <si>
    <t>24475</t>
  </si>
  <si>
    <t>น.ส.ซูไฮลา อาแว</t>
  </si>
  <si>
    <t>https://azizstan.net/student_image/24475.jpg</t>
  </si>
  <si>
    <t>24629</t>
  </si>
  <si>
    <t>น.ส.นูรฮาลาวาตี หะยีเลาะ</t>
  </si>
  <si>
    <t>https://azizstan.net/student_image/24629.jpg</t>
  </si>
  <si>
    <t>24683</t>
  </si>
  <si>
    <t>น.ส.นูรีนา ตาเละ</t>
  </si>
  <si>
    <t>https://azizstan.net/student_image/24683.jpg</t>
  </si>
  <si>
    <t>24812</t>
  </si>
  <si>
    <t>น.ส.ซามีมี่ เจะเงาะ</t>
  </si>
  <si>
    <t>https://azizstan.net/student_image/24812.jpg</t>
  </si>
  <si>
    <t>24855</t>
  </si>
  <si>
    <t>น.ส.อานัดซูวา ดือราแม</t>
  </si>
  <si>
    <t>https://azizstan.net/student_image/24855.jpg</t>
  </si>
  <si>
    <t>24927</t>
  </si>
  <si>
    <t>น.ส.รูวัยดา โดยหมะ</t>
  </si>
  <si>
    <t>https://azizstan.net/student_image/24927.jpg</t>
  </si>
  <si>
    <t>25045</t>
  </si>
  <si>
    <t>น.ส.อาริตา มะหลี</t>
  </si>
  <si>
    <t>https://azizstan.net/student_image/25045.jpg</t>
  </si>
  <si>
    <t>25050</t>
  </si>
  <si>
    <t>น.ส.อารียา มุสอหัด</t>
  </si>
  <si>
    <t>https://azizstan.net/student_image/25050.jpg</t>
  </si>
  <si>
    <t>25054</t>
  </si>
  <si>
    <t>น.ส.นุรอัฟนัน สามะ</t>
  </si>
  <si>
    <t>https://azizstan.net/student_image/25054.jpg</t>
  </si>
  <si>
    <t>25066</t>
  </si>
  <si>
    <t>น.ส.นุรอายน์ บูละ</t>
  </si>
  <si>
    <t>https://azizstan.net/student_image/25066.jpg</t>
  </si>
  <si>
    <t>25110</t>
  </si>
  <si>
    <t>น.ส.นูรมา บางปู</t>
  </si>
  <si>
    <t>https://azizstan.net/student_image/25110.jpg</t>
  </si>
  <si>
    <t>25119</t>
  </si>
  <si>
    <t>น.ส.ซัซวานา เจ๊ะดาโอะ</t>
  </si>
  <si>
    <t>https://azizstan.net/student_image/25119.jpg</t>
  </si>
  <si>
    <t>25232</t>
  </si>
  <si>
    <t>น.ส.อามาดีนา บากา</t>
  </si>
  <si>
    <t>https://azizstan.net/student_image/25232.jpg</t>
  </si>
  <si>
    <t>25280</t>
  </si>
  <si>
    <t>น.ส.ศิริขวัญ วรรณศรี</t>
  </si>
  <si>
    <t>https://azizstan.net/student_image/25280.jpg</t>
  </si>
  <si>
    <t>25688</t>
  </si>
  <si>
    <t>น.ส.สาอีดะห์ รามัญเศษ</t>
  </si>
  <si>
    <t>https://azizstan.net/student_image/25688.jpg</t>
  </si>
  <si>
    <t>26023</t>
  </si>
  <si>
    <t>น.ส.อันดาวาตี เจะแม</t>
  </si>
  <si>
    <t>https://azizstan.net/student_image/26023.jpg</t>
  </si>
  <si>
    <t>22648</t>
  </si>
  <si>
    <t>นายอาดีนัน แยนาย</t>
  </si>
  <si>
    <t>ม.6/5</t>
  </si>
  <si>
    <t>อป.3/5</t>
  </si>
  <si>
    <t>https://azizstan.net/student_image/22648.jpg</t>
  </si>
  <si>
    <t>22653</t>
  </si>
  <si>
    <t>นายอับดุลมุมิน หมะเด็น</t>
  </si>
  <si>
    <t>https://azizstan.net/student_image/22653.jpg</t>
  </si>
  <si>
    <t>22655</t>
  </si>
  <si>
    <t>น.ส.อาดิลานานา แดหวา</t>
  </si>
  <si>
    <t>https://azizstan.net/student_image/22655.jpg</t>
  </si>
  <si>
    <t>22663</t>
  </si>
  <si>
    <t>น.ส.อัลญาดานียะห์ อาแว</t>
  </si>
  <si>
    <t>https://azizstan.net/student_image/22663.jpg</t>
  </si>
  <si>
    <t>22668</t>
  </si>
  <si>
    <t>น.ส.ซิกรอ สะมะแอ</t>
  </si>
  <si>
    <t>https://azizstan.net/student_image/22668.jpg</t>
  </si>
  <si>
    <t>22671</t>
  </si>
  <si>
    <t>นายยุซรี แวหนิ</t>
  </si>
  <si>
    <t>https://azizstan.net/student_image/22671.jpg</t>
  </si>
  <si>
    <t>22675</t>
  </si>
  <si>
    <t>น.ส.อัสนา ฮาแว</t>
  </si>
  <si>
    <t>https://azizstan.net/student_image/22675.jpg</t>
  </si>
  <si>
    <t>22722</t>
  </si>
  <si>
    <t>นายมุมิน เล๊าะล่อ</t>
  </si>
  <si>
    <t>https://azizstan.net/student_image/22722.jpg</t>
  </si>
  <si>
    <t>22725</t>
  </si>
  <si>
    <t>น.ส.ญัฟนี ลาเต๊ะ</t>
  </si>
  <si>
    <t>https://azizstan.net/student_image/22725.jpg</t>
  </si>
  <si>
    <t>22735</t>
  </si>
  <si>
    <t>น.ส.ฟาตีเมาะ แวหามะ</t>
  </si>
  <si>
    <t>https://azizstan.net/student_image/22735.jpg</t>
  </si>
  <si>
    <t>22761</t>
  </si>
  <si>
    <t>น.ส.นิคอาซูรา บือราเฮง</t>
  </si>
  <si>
    <t>https://azizstan.net/student_image/22761.jpg</t>
  </si>
  <si>
    <t>22807</t>
  </si>
  <si>
    <t>น.ส.จามิล เจ๊ะมามะ</t>
  </si>
  <si>
    <t>https://azizstan.net/student_image/22807.jpg</t>
  </si>
  <si>
    <t>22811</t>
  </si>
  <si>
    <t>น.ส.นาดา ดอเลาะ</t>
  </si>
  <si>
    <t>https://azizstan.net/student_image/22811.jpg</t>
  </si>
  <si>
    <t>22889</t>
  </si>
  <si>
    <t>นายนัทวุฒิ หวังผล</t>
  </si>
  <si>
    <t>https://azizstan.net/student_image/22889.jpg</t>
  </si>
  <si>
    <t>22898</t>
  </si>
  <si>
    <t>น.ส.โรสสุรีย์ เวชกะ</t>
  </si>
  <si>
    <t>https://azizstan.net/student_image/22898.jpg</t>
  </si>
  <si>
    <t>22901</t>
  </si>
  <si>
    <t>น.ส.มัสนีย์ ลือแมะ</t>
  </si>
  <si>
    <t>https://azizstan.net/student_image/22901.jpg</t>
  </si>
  <si>
    <t>22902</t>
  </si>
  <si>
    <t>น.ส.อาฟีเกาะฮ เทพวารินทร์</t>
  </si>
  <si>
    <t>https://azizstan.net/student_image/22902.jpg</t>
  </si>
  <si>
    <t>22917</t>
  </si>
  <si>
    <t>นายพงศ์ตะวัน มายาสัน</t>
  </si>
  <si>
    <t>https://azizstan.net/student_image/22917.jpg</t>
  </si>
  <si>
    <t>22919</t>
  </si>
  <si>
    <t>น.ส.อาดีละห์ สาเตาะ</t>
  </si>
  <si>
    <t>https://azizstan.net/student_image/22919.jpg</t>
  </si>
  <si>
    <t>22996</t>
  </si>
  <si>
    <t>น.ส.นูรีซัน หะยีดอเลาะ</t>
  </si>
  <si>
    <t>https://azizstan.net/student_image/22996.jpg</t>
  </si>
  <si>
    <t>22998</t>
  </si>
  <si>
    <t>นายซัรฮัน สามาลูกา</t>
  </si>
  <si>
    <t>https://azizstan.net/student_image/22998.jpg</t>
  </si>
  <si>
    <t>23013</t>
  </si>
  <si>
    <t>นายมูฮัมหมัดรอมฎอน กาหลง</t>
  </si>
  <si>
    <t>https://azizstan.net/student_image/23013.jpg</t>
  </si>
  <si>
    <t>23015</t>
  </si>
  <si>
    <t>นายรอมฎอน เส็นเจริญ</t>
  </si>
  <si>
    <t>https://azizstan.net/student_image/23015.jpg</t>
  </si>
  <si>
    <t>23034</t>
  </si>
  <si>
    <t>นายมูฮำหมัดมะห์ยูดีน เพชรรุ่ง</t>
  </si>
  <si>
    <t>https://azizstan.net/student_image/23034.jpg</t>
  </si>
  <si>
    <t>23040</t>
  </si>
  <si>
    <t>น.ส.นิอรณี นิโอะ</t>
  </si>
  <si>
    <t>https://azizstan.net/student_image/23040.jpg</t>
  </si>
  <si>
    <t>23127</t>
  </si>
  <si>
    <t>นายมูฮัมหมัดฮาฟีส สะมะแอ</t>
  </si>
  <si>
    <t>https://azizstan.net/student_image/23127.jpg</t>
  </si>
  <si>
    <t>23146</t>
  </si>
  <si>
    <t>น.ส.นูรอายนุง ดอคอ</t>
  </si>
  <si>
    <t>https://azizstan.net/student_image/23146.jpg</t>
  </si>
  <si>
    <t>23171</t>
  </si>
  <si>
    <t>นายมูซัยมี ลูกเล็ก</t>
  </si>
  <si>
    <t>https://azizstan.net/student_image/23171.jpg</t>
  </si>
  <si>
    <t>23177</t>
  </si>
  <si>
    <t>น.ส.ซีรีน มะลี</t>
  </si>
  <si>
    <t>https://azizstan.net/student_image/23177.jpg</t>
  </si>
  <si>
    <t>23181</t>
  </si>
  <si>
    <t>น.ส.อัซซูฮัยฟา เตะหนิ</t>
  </si>
  <si>
    <t>https://azizstan.net/student_image/23181.jpg</t>
  </si>
  <si>
    <t>23205</t>
  </si>
  <si>
    <t>นายอารีฟีน สะเล่</t>
  </si>
  <si>
    <t>https://azizstan.net/student_image/23205.jpg</t>
  </si>
  <si>
    <t>23218</t>
  </si>
  <si>
    <t>น.ส.ฟิรฮานาน ดรอแม</t>
  </si>
  <si>
    <t>https://azizstan.net/student_image/23218.jpg</t>
  </si>
  <si>
    <t>24921</t>
  </si>
  <si>
    <t>น.ส.อิฮซาน แวดีซา</t>
  </si>
  <si>
    <t>https://azizstan.net/student_image/24921.jpg</t>
  </si>
  <si>
    <t>24945</t>
  </si>
  <si>
    <t>น.ส.กูฮัซวานี บิสนุม</t>
  </si>
  <si>
    <t>https://azizstan.net/student_image/24945.jpg</t>
  </si>
  <si>
    <t>25003</t>
  </si>
  <si>
    <t>น.ส.นิสซารีน วิวัชพงษ์</t>
  </si>
  <si>
    <t>https://azizstan.net/student_image/25003.jpg</t>
  </si>
  <si>
    <t>25260</t>
  </si>
  <si>
    <t>นายรุทธวีร์ หลำเบ็นหมุด</t>
  </si>
  <si>
    <t>https://azizstan.net/student_image/25260.jpg</t>
  </si>
  <si>
    <t>22696</t>
  </si>
  <si>
    <t>น.ส.สุพัตรา กูนิง</t>
  </si>
  <si>
    <t>ม.6/6</t>
  </si>
  <si>
    <t>อป.3/6</t>
  </si>
  <si>
    <t>https://azizstan.net/student_image/22696.jpg</t>
  </si>
  <si>
    <t>22740</t>
  </si>
  <si>
    <t>น.ส.สูมัยยะห์ อาลีมามะ</t>
  </si>
  <si>
    <t>https://azizstan.net/student_image/22740.jpg</t>
  </si>
  <si>
    <t>22742</t>
  </si>
  <si>
    <t>น.ส.นิสรีน มอลอ</t>
  </si>
  <si>
    <t>https://azizstan.net/student_image/22742.jpg</t>
  </si>
  <si>
    <t>22765</t>
  </si>
  <si>
    <t>น.ส.อามีเนาะ ดอเลาะ</t>
  </si>
  <si>
    <t>https://azizstan.net/student_image/22765.jpg</t>
  </si>
  <si>
    <t>22801</t>
  </si>
  <si>
    <t>นายมัรวัน ขามิ</t>
  </si>
  <si>
    <t>https://azizstan.net/student_image/22801.jpg</t>
  </si>
  <si>
    <t>22868</t>
  </si>
  <si>
    <t>น.ส.ซัยฟริต้า กุตงกือเด็ง</t>
  </si>
  <si>
    <t>https://azizstan.net/student_image/22868.jpg</t>
  </si>
  <si>
    <t>22891</t>
  </si>
  <si>
    <t>น.ส.นัสรียา เบ็ญยุโสะ</t>
  </si>
  <si>
    <t>https://azizstan.net/student_image/22891.jpg</t>
  </si>
  <si>
    <t>22945</t>
  </si>
  <si>
    <t>นายกัซฟี หะยีบากา</t>
  </si>
  <si>
    <t>https://azizstan.net/student_image/22945.jpg</t>
  </si>
  <si>
    <t>22965</t>
  </si>
  <si>
    <t>น.ส.อัสมะ เจะสนิ</t>
  </si>
  <si>
    <t>https://azizstan.net/student_image/22965.jpg</t>
  </si>
  <si>
    <t>23000</t>
  </si>
  <si>
    <t>น.ส.ฟาตีเมาะ สาและ</t>
  </si>
  <si>
    <t>https://azizstan.net/student_image/23000.jpg</t>
  </si>
  <si>
    <t>23003</t>
  </si>
  <si>
    <t>นายนูรูลดีน สะอะ</t>
  </si>
  <si>
    <t>https://azizstan.net/student_image/23003.jpg</t>
  </si>
  <si>
    <t>23004</t>
  </si>
  <si>
    <t>น.ส.ซูฮาดา สาเร๊าะ</t>
  </si>
  <si>
    <t>https://azizstan.net/student_image/23004.jpg</t>
  </si>
  <si>
    <t>23019</t>
  </si>
  <si>
    <t>น.ส.นาฟัล ปาโห๊ะ</t>
  </si>
  <si>
    <t>https://azizstan.net/student_image/23019.jpg</t>
  </si>
  <si>
    <t>23041</t>
  </si>
  <si>
    <t>น.ส.นินูรีฮัน มะลี</t>
  </si>
  <si>
    <t>https://azizstan.net/student_image/23041.jpg</t>
  </si>
  <si>
    <t>23100</t>
  </si>
  <si>
    <t>นายอามีรูน สะอะ</t>
  </si>
  <si>
    <t>https://azizstan.net/student_image/23100.jpg</t>
  </si>
  <si>
    <t>23102</t>
  </si>
  <si>
    <t>น.ส.มาดีฮะห์ สาแมป่าอ้อ</t>
  </si>
  <si>
    <t>https://azizstan.net/student_image/23102.jpg</t>
  </si>
  <si>
    <t>23159</t>
  </si>
  <si>
    <t>น.ส.อาดีลา อับดุลวาฮับ</t>
  </si>
  <si>
    <t>https://azizstan.net/student_image/23159.jpg</t>
  </si>
  <si>
    <t>23210</t>
  </si>
  <si>
    <t>นายมูฮำหมัดยุฟรี ดือราแม</t>
  </si>
  <si>
    <t>https://azizstan.net/student_image/23210.jpg</t>
  </si>
  <si>
    <t>24693</t>
  </si>
  <si>
    <t>น.ส.นูรนาฟาติน หะมะ</t>
  </si>
  <si>
    <t>https://azizstan.net/student_image/24693.jpg</t>
  </si>
  <si>
    <t>24703</t>
  </si>
  <si>
    <t>น.ส.อามีนา บาราเฮง</t>
  </si>
  <si>
    <t>https://azizstan.net/student_image/24703.jpg</t>
  </si>
  <si>
    <t>24728</t>
  </si>
  <si>
    <t>นายมูฮัมมัดฮิลมี ดือราซอ</t>
  </si>
  <si>
    <t>https://azizstan.net/student_image/24728.jpg</t>
  </si>
  <si>
    <t>24771</t>
  </si>
  <si>
    <t>น.ส.สิมิลัน ยาประจัน</t>
  </si>
  <si>
    <t>https://azizstan.net/student_image/24771.jpg</t>
  </si>
  <si>
    <t>24875</t>
  </si>
  <si>
    <t>นายนัสรี หมัดเลียด</t>
  </si>
  <si>
    <t>https://azizstan.net/student_image/24875.jpg</t>
  </si>
  <si>
    <t>24890</t>
  </si>
  <si>
    <t>นายมูฮัมหมัดฟิตรี บิน โมฮะหมัด เคอร์</t>
  </si>
  <si>
    <t>https://azizstan.net/student_image/24890.jpg</t>
  </si>
  <si>
    <t>25030</t>
  </si>
  <si>
    <t>น.ส.นูรอัยนา หะยีสามะ</t>
  </si>
  <si>
    <t>https://azizstan.net/student_image/25030.jpg</t>
  </si>
  <si>
    <t>25102</t>
  </si>
  <si>
    <t>นายฮากีม หะยียูโซะ</t>
  </si>
  <si>
    <t>https://azizstan.net/student_image/25102.jpg</t>
  </si>
  <si>
    <t>25127</t>
  </si>
  <si>
    <t>นายมูฮำหมัดอาลีฟ อุมา</t>
  </si>
  <si>
    <t>https://azizstan.net/student_image/25127.jpg</t>
  </si>
  <si>
    <t>22661</t>
  </si>
  <si>
    <t>น.ส.นูร์ชาอีดา สิบู</t>
  </si>
  <si>
    <t>ม.6/7</t>
  </si>
  <si>
    <t>https://azizstan.net/student_image/22661.jpg</t>
  </si>
  <si>
    <t>22662</t>
  </si>
  <si>
    <t>น.ส.นุรฟาณี มะโร๊ะ</t>
  </si>
  <si>
    <t>https://azizstan.net/student_image/22662.jpg</t>
  </si>
  <si>
    <t>22724</t>
  </si>
  <si>
    <t>น.ส.อาณีฟะห์ มานิ</t>
  </si>
  <si>
    <t>https://azizstan.net/student_image/22724.jpg</t>
  </si>
  <si>
    <t>22727</t>
  </si>
  <si>
    <t>น.ส.อัฟฟะห์ สาและ</t>
  </si>
  <si>
    <t>https://azizstan.net/student_image/22727.jpg</t>
  </si>
  <si>
    <t>22775</t>
  </si>
  <si>
    <t>น.ส.อัญญาณี อาหมะ</t>
  </si>
  <si>
    <t>https://azizstan.net/student_image/22775.jpg</t>
  </si>
  <si>
    <t>22777</t>
  </si>
  <si>
    <t>น.ส.โรสนาซีกีน มะเย็ง</t>
  </si>
  <si>
    <t>https://azizstan.net/student_image/22777.jpg</t>
  </si>
  <si>
    <t>22785</t>
  </si>
  <si>
    <t>น.ส.ซีตียูไลกอ เจ๊ะมะ</t>
  </si>
  <si>
    <t>https://azizstan.net/student_image/22785.jpg</t>
  </si>
  <si>
    <t>22786</t>
  </si>
  <si>
    <t>น.ส.นูรฟาตอนะห์ ลาเตะ</t>
  </si>
  <si>
    <t>https://azizstan.net/student_image/22786.jpg</t>
  </si>
  <si>
    <t>22791</t>
  </si>
  <si>
    <t>น.ส.แวมุสลีมะห์ หะยีดอเล๊าะ</t>
  </si>
  <si>
    <t>https://azizstan.net/student_image/22791.jpg</t>
  </si>
  <si>
    <t>22802</t>
  </si>
  <si>
    <t>น.ส.วาสินีย์ สาและ</t>
  </si>
  <si>
    <t>https://azizstan.net/student_image/22802.jpg</t>
  </si>
  <si>
    <t>22897</t>
  </si>
  <si>
    <t>น.ส.อานิสา ยาลอ</t>
  </si>
  <si>
    <t>https://azizstan.net/student_image/22897.jpg</t>
  </si>
  <si>
    <t>22923</t>
  </si>
  <si>
    <t>น.ส.ฟารีฮีน หมะหลี</t>
  </si>
  <si>
    <t>https://azizstan.net/student_image/22923.jpg</t>
  </si>
  <si>
    <t>22924</t>
  </si>
  <si>
    <t>น.ส.อามีนะห์ สาเมาะ</t>
  </si>
  <si>
    <t>https://azizstan.net/student_image/22924.jpg</t>
  </si>
  <si>
    <t>22959</t>
  </si>
  <si>
    <t>น.ส.นูรีฮัน ยามา</t>
  </si>
  <si>
    <t>https://azizstan.net/student_image/22959.jpg</t>
  </si>
  <si>
    <t>22966</t>
  </si>
  <si>
    <t>น.ส.ซัรวาน เจ๊ะมะ</t>
  </si>
  <si>
    <t>https://azizstan.net/student_image/22966.jpg</t>
  </si>
  <si>
    <t>22967</t>
  </si>
  <si>
    <t>น.ส.นูรูลฮูดา อาบู</t>
  </si>
  <si>
    <t>https://azizstan.net/student_image/22967.jpg</t>
  </si>
  <si>
    <t>22979</t>
  </si>
  <si>
    <t>น.ส.นูรีฮัน บีมา</t>
  </si>
  <si>
    <t>https://azizstan.net/student_image/22979.jpg</t>
  </si>
  <si>
    <t>22980</t>
  </si>
  <si>
    <t>น.ส.อมานีนา อาแว</t>
  </si>
  <si>
    <t>https://azizstan.net/student_image/22980.jpg</t>
  </si>
  <si>
    <t>22992</t>
  </si>
  <si>
    <t>น.ส.นูรไอนี ยาโกะ</t>
  </si>
  <si>
    <t>https://azizstan.net/student_image/22992.jpg</t>
  </si>
  <si>
    <t>22995</t>
  </si>
  <si>
    <t>น.ส.ฟาตีฮะห์ ขาเดร์</t>
  </si>
  <si>
    <t>https://azizstan.net/student_image/22995.jpg</t>
  </si>
  <si>
    <t>23029</t>
  </si>
  <si>
    <t>น.ส.อามาลีนา แวดอเลาะ</t>
  </si>
  <si>
    <t>https://azizstan.net/student_image/23029.jpg</t>
  </si>
  <si>
    <t>23051</t>
  </si>
  <si>
    <t>น.ส.นูรฟาตีน บือราเฮง</t>
  </si>
  <si>
    <t>https://azizstan.net/student_image/23051.jpg</t>
  </si>
  <si>
    <t>23052</t>
  </si>
  <si>
    <t>น.ส.นูรฟาตีฮะห์ บือราเฮง</t>
  </si>
  <si>
    <t>https://azizstan.net/student_image/23052.jpg</t>
  </si>
  <si>
    <t>23137</t>
  </si>
  <si>
    <t>น.ส.วาวีนัส สะหะ</t>
  </si>
  <si>
    <t>https://azizstan.net/student_image/23137.jpg</t>
  </si>
  <si>
    <t>23169</t>
  </si>
  <si>
    <t>น.ส.ฟิรฮานา อุปมา</t>
  </si>
  <si>
    <t>https://azizstan.net/student_image/23169.jpg</t>
  </si>
  <si>
    <t>23183</t>
  </si>
  <si>
    <t>น.ส.นาอีฟา สาแม</t>
  </si>
  <si>
    <t>https://azizstan.net/student_image/23183.jpg</t>
  </si>
  <si>
    <t>23318</t>
  </si>
  <si>
    <t>น.ส.ฟาเดีย สาแม</t>
  </si>
  <si>
    <t>https://azizstan.net/student_image/23318.jpg</t>
  </si>
  <si>
    <t>24596</t>
  </si>
  <si>
    <t>น.ส.ตูแวฮุสนา ตูแวสิงนิง</t>
  </si>
  <si>
    <t>https://azizstan.net/student_image/24596.jpg</t>
  </si>
  <si>
    <t>24684</t>
  </si>
  <si>
    <t>น.ส.มารีนา ดือราแม</t>
  </si>
  <si>
    <t>https://azizstan.net/student_image/24684.jpg</t>
  </si>
  <si>
    <t>24710</t>
  </si>
  <si>
    <t>น.ส.นิมุขมีนะห์ มูยา</t>
  </si>
  <si>
    <t>https://azizstan.net/student_image/24710.jpg</t>
  </si>
  <si>
    <t>24826</t>
  </si>
  <si>
    <t>น.ส.นิตยา มาแน</t>
  </si>
  <si>
    <t>https://azizstan.net/student_image/24826.jpg</t>
  </si>
  <si>
    <t>24915</t>
  </si>
  <si>
    <t>น.ส.นูรัยฟา เพชรแลหมัน</t>
  </si>
  <si>
    <t>https://azizstan.net/student_image/24915.jpg</t>
  </si>
  <si>
    <t>24918</t>
  </si>
  <si>
    <t>น.ส.นิอังคณา สุหลงกุ</t>
  </si>
  <si>
    <t>https://azizstan.net/student_image/24918.jpg</t>
  </si>
  <si>
    <t>24969</t>
  </si>
  <si>
    <t>น.ส.นูรีฮา ยีเร็ง</t>
  </si>
  <si>
    <t>https://azizstan.net/student_image/24969.jpg</t>
  </si>
  <si>
    <t>24973</t>
  </si>
  <si>
    <t>น.ส.นูรรอยฮาน สาหมัด</t>
  </si>
  <si>
    <t>https://azizstan.net/student_image/24973.jpg</t>
  </si>
  <si>
    <t>25121</t>
  </si>
  <si>
    <t>น.ส.อณีรา มะแซ</t>
  </si>
  <si>
    <t>https://azizstan.net/student_image/25121.jpg</t>
  </si>
  <si>
    <t>25126</t>
  </si>
  <si>
    <t>น.ส.คณัสนันท์ นุกูล</t>
  </si>
  <si>
    <t>https://azizstan.net/student_image/25126.jpg</t>
  </si>
  <si>
    <t>25175</t>
  </si>
  <si>
    <t>น.ส.นูรอักมัล กากะ</t>
  </si>
  <si>
    <t>https://azizstan.net/student_image/25175.jpg</t>
  </si>
  <si>
    <t>25202</t>
  </si>
  <si>
    <t>น.ส.ฟัฏนีน อาแว</t>
  </si>
  <si>
    <t>https://azizstan.net/student_image/25202.jpg</t>
  </si>
  <si>
    <t>25231</t>
  </si>
  <si>
    <t>น.ส.ฟิดาอียะห์ สามะ</t>
  </si>
  <si>
    <t>https://azizstan.net/student_image/25231.jpg</t>
  </si>
  <si>
    <t>25246</t>
  </si>
  <si>
    <t>น.ส.อาอีชะ เนียมนำ</t>
  </si>
  <si>
    <t>https://azizstan.net/student_image/25246.jpg</t>
  </si>
  <si>
    <t>25326</t>
  </si>
  <si>
    <t>น.ส.มิสละห์ คาเร็ง</t>
  </si>
  <si>
    <t>https://azizstan.net/student_image/25326.jpg</t>
  </si>
  <si>
    <t>25332</t>
  </si>
  <si>
    <t>น.ส.ทิพย์เกษร สันตตินบีวงศ์</t>
  </si>
  <si>
    <t>https://azizstan.net/student_image/25332.jpg</t>
  </si>
  <si>
    <t>25354</t>
  </si>
  <si>
    <t>น.ส.โซเฟีย ยูโซ๊ะ</t>
  </si>
  <si>
    <t>https://azizstan.net/student_image/25354.jpg</t>
  </si>
  <si>
    <t>25763</t>
  </si>
  <si>
    <t>น.ส.นูรอามานี เจ๊ะแห</t>
  </si>
  <si>
    <t>https://azizstan.net/student_image/25763.jpg</t>
  </si>
  <si>
    <t>22652</t>
  </si>
  <si>
    <t>น.ส.แวกามารียะห์ อุมา</t>
  </si>
  <si>
    <t>ม.6/8</t>
  </si>
  <si>
    <t>https://azizstan.net/student_image/22652.jpg</t>
  </si>
  <si>
    <t>22660</t>
  </si>
  <si>
    <t>น.ส.นูรฮารีสา กูดู</t>
  </si>
  <si>
    <t>https://azizstan.net/student_image/22660.jpg</t>
  </si>
  <si>
    <t>22769</t>
  </si>
  <si>
    <t>น.ส.อารีสซา ยาลอ</t>
  </si>
  <si>
    <t>https://azizstan.net/student_image/22769.jpg</t>
  </si>
  <si>
    <t>22800</t>
  </si>
  <si>
    <t>น.ส.นูรฮัลฟารี มะมิง</t>
  </si>
  <si>
    <t>https://azizstan.net/student_image/22800.jpg</t>
  </si>
  <si>
    <t>22852</t>
  </si>
  <si>
    <t>น.ส.สาริต้า เอียดหวัง</t>
  </si>
  <si>
    <t>https://azizstan.net/student_image/22852.jpg</t>
  </si>
  <si>
    <t>22906</t>
  </si>
  <si>
    <t>น.ส.รุสนีตา เจะเตะ</t>
  </si>
  <si>
    <t>https://azizstan.net/student_image/22906.jpg</t>
  </si>
  <si>
    <t>22939</t>
  </si>
  <si>
    <t>น.ส.นูรีฮัน ขาเดร์</t>
  </si>
  <si>
    <t>https://azizstan.net/student_image/22939.jpg</t>
  </si>
  <si>
    <t>22943</t>
  </si>
  <si>
    <t>น.ส.ฟาตีมะห์ สะนิ</t>
  </si>
  <si>
    <t>https://azizstan.net/student_image/22943.jpg</t>
  </si>
  <si>
    <t>22949</t>
  </si>
  <si>
    <t>น.ส.นูรฮายาตี ยูโสะ</t>
  </si>
  <si>
    <t>https://azizstan.net/student_image/22949.jpg</t>
  </si>
  <si>
    <t>22986</t>
  </si>
  <si>
    <t>น.ส.นัสรี ดาราแม</t>
  </si>
  <si>
    <t>https://azizstan.net/student_image/22986.jpg</t>
  </si>
  <si>
    <t>22990</t>
  </si>
  <si>
    <t>น.ส.สุกันยา ยุโสะ</t>
  </si>
  <si>
    <t>https://azizstan.net/student_image/22990.jpg</t>
  </si>
  <si>
    <t>23044</t>
  </si>
  <si>
    <t>น.ส.รัศมี เวาะกอ</t>
  </si>
  <si>
    <t>https://azizstan.net/student_image/23044.jpg</t>
  </si>
  <si>
    <t>23058</t>
  </si>
  <si>
    <t>น.ส.ซัลวา เจะเลาะ</t>
  </si>
  <si>
    <t>https://azizstan.net/student_image/23058.jpg</t>
  </si>
  <si>
    <t>23125</t>
  </si>
  <si>
    <t>น.ส.แวนาอีมะ หะยีสาอุ</t>
  </si>
  <si>
    <t>https://azizstan.net/student_image/23125.jpg</t>
  </si>
  <si>
    <t>23158</t>
  </si>
  <si>
    <t>น.ส.ยัสมี ยูโซะ</t>
  </si>
  <si>
    <t>https://azizstan.net/student_image/23158.jpg</t>
  </si>
  <si>
    <t>23175</t>
  </si>
  <si>
    <t>น.ส.กูฟาราเดียร์ รงโซะ</t>
  </si>
  <si>
    <t>https://azizstan.net/student_image/23175.jpg</t>
  </si>
  <si>
    <t>23199</t>
  </si>
  <si>
    <t>น.ส.ซูซานี บากา</t>
  </si>
  <si>
    <t>https://azizstan.net/student_image/23199.jpg</t>
  </si>
  <si>
    <t>23215</t>
  </si>
  <si>
    <t>น.ส.อาอิซะฮ์ สาหลำ</t>
  </si>
  <si>
    <t>https://azizstan.net/student_image/23215.jpg</t>
  </si>
  <si>
    <t>23252</t>
  </si>
  <si>
    <t>น.ส.ซูไบยา ดีสะเอะ</t>
  </si>
  <si>
    <t>https://azizstan.net/student_image/23252.jpg</t>
  </si>
  <si>
    <t>23257</t>
  </si>
  <si>
    <t>น.ส.ฮามีด๊ะ เด็นมานิ</t>
  </si>
  <si>
    <t>https://azizstan.net/student_image/23257.jpg</t>
  </si>
  <si>
    <t>23270</t>
  </si>
  <si>
    <t>น.ส.สุไวดา กาเซ็ง</t>
  </si>
  <si>
    <t>https://azizstan.net/student_image/23270.jpg</t>
  </si>
  <si>
    <t>23300</t>
  </si>
  <si>
    <t>น.ส.ภัสลี สะมาแอ</t>
  </si>
  <si>
    <t>https://azizstan.net/student_image/23300.jpg</t>
  </si>
  <si>
    <t>23627</t>
  </si>
  <si>
    <t>น.ส.นาวาล ทาเน๊าะ</t>
  </si>
  <si>
    <t>https://azizstan.net/student_image/23627.jpg</t>
  </si>
  <si>
    <t>24603</t>
  </si>
  <si>
    <t>น.ส.อามีเราะฮ์ หวันหวัง</t>
  </si>
  <si>
    <t>https://azizstan.net/student_image/24603.jpg</t>
  </si>
  <si>
    <t>24642</t>
  </si>
  <si>
    <t>น.ส.อิมตีนาน เกาะสาและ</t>
  </si>
  <si>
    <t>https://azizstan.net/student_image/24642.jpg</t>
  </si>
  <si>
    <t>24708</t>
  </si>
  <si>
    <t>น.ส.อาฟีฟา มอและ</t>
  </si>
  <si>
    <t>https://azizstan.net/student_image/24708.jpg</t>
  </si>
  <si>
    <t>24716</t>
  </si>
  <si>
    <t>น.ส.อามานี สาและ</t>
  </si>
  <si>
    <t>https://azizstan.net/student_image/24716.jpg</t>
  </si>
  <si>
    <t>24827</t>
  </si>
  <si>
    <t>น.ส.ฟาตีมะห์ หรนหมาน</t>
  </si>
  <si>
    <t>https://azizstan.net/student_image/24827.jpg</t>
  </si>
  <si>
    <t>24871</t>
  </si>
  <si>
    <t>น.ส.ซอลีฮะฮ์ อามะ</t>
  </si>
  <si>
    <t>https://azizstan.net/student_image/24871.jpg</t>
  </si>
  <si>
    <t>24876</t>
  </si>
  <si>
    <t>น.ส.นัสริน เล๊าะมอง</t>
  </si>
  <si>
    <t>https://azizstan.net/student_image/24876.jpg</t>
  </si>
  <si>
    <t>24955</t>
  </si>
  <si>
    <t>น.ส.นูรฮายาตี แวโซะ</t>
  </si>
  <si>
    <t>https://azizstan.net/student_image/24955.jpg</t>
  </si>
  <si>
    <t>25107</t>
  </si>
  <si>
    <t>น.ส.นาญีวา ตาหา</t>
  </si>
  <si>
    <t>https://azizstan.net/student_image/25107.jpg</t>
  </si>
  <si>
    <t>25113</t>
  </si>
  <si>
    <t>น.ส.อาริษา สาแม</t>
  </si>
  <si>
    <t>https://azizstan.net/student_image/25113.jpg</t>
  </si>
  <si>
    <t>25115</t>
  </si>
  <si>
    <t>น.ส.นาสรียา ลาเต๊ะ</t>
  </si>
  <si>
    <t>https://azizstan.net/student_image/25115.jpg</t>
  </si>
  <si>
    <t>25180</t>
  </si>
  <si>
    <t>น.ส.กัซมาริน กูนา</t>
  </si>
  <si>
    <t>https://azizstan.net/student_image/25180.jpg</t>
  </si>
  <si>
    <t>25212</t>
  </si>
  <si>
    <t>น.ส.แวอาอีเสาะ แวยูโซะ</t>
  </si>
  <si>
    <t>https://azizstan.net/student_image/25212.jpg</t>
  </si>
  <si>
    <t>25213</t>
  </si>
  <si>
    <t>น.ส.ฮาซียะห์ เด็ง</t>
  </si>
  <si>
    <t>https://azizstan.net/student_image/25213.jpg</t>
  </si>
  <si>
    <t>25216</t>
  </si>
  <si>
    <t>น.ส.ฮุซนา ดาโห๊ะ</t>
  </si>
  <si>
    <t>https://azizstan.net/student_image/25216.jpg</t>
  </si>
  <si>
    <t>25217</t>
  </si>
  <si>
    <t>น.ส.นุรนาตาชา เวาะหลง</t>
  </si>
  <si>
    <t>https://azizstan.net/student_image/25217.jpg</t>
  </si>
  <si>
    <t>25241</t>
  </si>
  <si>
    <t>น.ส.อาซีย์ลา ดอแม</t>
  </si>
  <si>
    <t>https://azizstan.net/student_image/25241.jpg</t>
  </si>
  <si>
    <t>25281</t>
  </si>
  <si>
    <t>น.ส.มาซีเต๊าะห์ กระโด</t>
  </si>
  <si>
    <t>https://azizstan.net/student_image/25281.jpg</t>
  </si>
  <si>
    <t>25340</t>
  </si>
  <si>
    <t>น.ส.ฮุสนา ดอเลาะ</t>
  </si>
  <si>
    <t>https://azizstan.net/student_image/25340.jpg</t>
  </si>
  <si>
    <t>25753</t>
  </si>
  <si>
    <t>น.ส.ฮามีมีซูฮาดา สามะ</t>
  </si>
  <si>
    <t>https://azizstan.net/student_image/25753.jpg</t>
  </si>
  <si>
    <t>22674</t>
  </si>
  <si>
    <t>น.ส.อิมตีนาน แวนิ</t>
  </si>
  <si>
    <t>ม.6/9</t>
  </si>
  <si>
    <t>อป.3/7</t>
  </si>
  <si>
    <t>https://azizstan.net/student_image/22674.jpg</t>
  </si>
  <si>
    <t>22698</t>
  </si>
  <si>
    <t>น.ส.รุสมา เจ๊ะเหม</t>
  </si>
  <si>
    <t>https://azizstan.net/student_image/22698.jpg</t>
  </si>
  <si>
    <t>22748</t>
  </si>
  <si>
    <t>นายอามีน วานิ</t>
  </si>
  <si>
    <t>https://azizstan.net/student_image/22748.jpg</t>
  </si>
  <si>
    <t>22762</t>
  </si>
  <si>
    <t>นายฟิกรี่ ล่าหับ</t>
  </si>
  <si>
    <t>https://azizstan.net/student_image/22762.jpg</t>
  </si>
  <si>
    <t>22788</t>
  </si>
  <si>
    <t>น.ส.นูรอันดา กราซุย</t>
  </si>
  <si>
    <t>https://azizstan.net/student_image/22788.jpg</t>
  </si>
  <si>
    <t>22820</t>
  </si>
  <si>
    <t>น.ส.ซอลีฮะห์ ปะดอตา</t>
  </si>
  <si>
    <t>https://azizstan.net/student_image/22820.jpg</t>
  </si>
  <si>
    <t>22829</t>
  </si>
  <si>
    <t>น.ส.อัซวานี ตาเยะ</t>
  </si>
  <si>
    <t>https://azizstan.net/student_image/22829.jpg</t>
  </si>
  <si>
    <t>22842</t>
  </si>
  <si>
    <t>น.ส.ซูไมยะห์ ยูโซะ</t>
  </si>
  <si>
    <t>https://azizstan.net/student_image/22842.jpg</t>
  </si>
  <si>
    <t>22850</t>
  </si>
  <si>
    <t>น.ส.นาฤรวี เต๊ะหมัดมะ</t>
  </si>
  <si>
    <t>https://azizstan.net/student_image/22850.jpg</t>
  </si>
  <si>
    <t>22920</t>
  </si>
  <si>
    <t>น.ส.นิญาดา มะโระ</t>
  </si>
  <si>
    <t>https://azizstan.net/student_image/22920.jpg</t>
  </si>
  <si>
    <t>22931</t>
  </si>
  <si>
    <t>นายนัสรีย์ เดนหะ</t>
  </si>
  <si>
    <t>https://azizstan.net/student_image/22931.jpg</t>
  </si>
  <si>
    <t>22983</t>
  </si>
  <si>
    <t>นายอัฟนัน การี</t>
  </si>
  <si>
    <t>https://azizstan.net/student_image/22983.jpg</t>
  </si>
  <si>
    <t>22993</t>
  </si>
  <si>
    <t>น.ส.ฟาเดีย แวสุหลง</t>
  </si>
  <si>
    <t>https://azizstan.net/student_image/22993.jpg</t>
  </si>
  <si>
    <t>23023</t>
  </si>
  <si>
    <t>นายรอมฎอน ดอเลาะ</t>
  </si>
  <si>
    <t>https://azizstan.net/student_image/23023.jpg</t>
  </si>
  <si>
    <t>23075</t>
  </si>
  <si>
    <t>น.ส.อัฟนาน อิละละ</t>
  </si>
  <si>
    <t>https://azizstan.net/student_image/23075.jpg</t>
  </si>
  <si>
    <t>23122</t>
  </si>
  <si>
    <t>น.ส.ยัสมี กอแต</t>
  </si>
  <si>
    <t>https://azizstan.net/student_image/23122.jpg</t>
  </si>
  <si>
    <t>23165</t>
  </si>
  <si>
    <t>นายวันริฟกีย์ สะอิ</t>
  </si>
  <si>
    <t>https://azizstan.net/student_image/23165.jpg</t>
  </si>
  <si>
    <t>23188</t>
  </si>
  <si>
    <t>นายศศิธร เกบุตร</t>
  </si>
  <si>
    <t>https://azizstan.net/student_image/23188.jpg</t>
  </si>
  <si>
    <t>23258</t>
  </si>
  <si>
    <t>นายชารีฟ มอซู</t>
  </si>
  <si>
    <t>https://azizstan.net/student_image/23258.jpg</t>
  </si>
  <si>
    <t>24690</t>
  </si>
  <si>
    <t>น.ส.อาริฟะฮ์ มะแอ</t>
  </si>
  <si>
    <t>https://azizstan.net/student_image/24690.jpg</t>
  </si>
  <si>
    <t>24795</t>
  </si>
  <si>
    <t>น.ส.นูรฮันนาน เง๊าะเห๊าะติ</t>
  </si>
  <si>
    <t>https://azizstan.net/student_image/24795.jpg</t>
  </si>
  <si>
    <t>24967</t>
  </si>
  <si>
    <t>น.ส.อารียา บินดีน</t>
  </si>
  <si>
    <t>https://azizstan.net/student_image/24967.jpg</t>
  </si>
  <si>
    <t>24986</t>
  </si>
  <si>
    <t>น.ส.ฮาซาน๊ะ แมเราะดำ</t>
  </si>
  <si>
    <t>https://azizstan.net/student_image/24986.jpg</t>
  </si>
  <si>
    <t>25009</t>
  </si>
  <si>
    <t>นายนัควัต พยายาม</t>
  </si>
  <si>
    <t>https://azizstan.net/student_image/25009.jpg</t>
  </si>
  <si>
    <t>25010</t>
  </si>
  <si>
    <t>น.ส.วานีตา สุไลมาน</t>
  </si>
  <si>
    <t>https://azizstan.net/student_image/25010.jpg</t>
  </si>
  <si>
    <t>25108</t>
  </si>
  <si>
    <t>นายอันวาร์ ศรีอาหมัด</t>
  </si>
  <si>
    <t>https://azizstan.net/student_image/25108.jpg</t>
  </si>
  <si>
    <t>25183</t>
  </si>
  <si>
    <t>น.ส.วันฟาฏิมะห์ สะบิดิง</t>
  </si>
  <si>
    <t>https://azizstan.net/student_image/25183.jpg</t>
  </si>
  <si>
    <t>25274</t>
  </si>
  <si>
    <t>น.ส.ฟัสนา มะเซ็งบางี</t>
  </si>
  <si>
    <t>https://azizstan.net/student_image/25274.jpg</t>
  </si>
  <si>
    <t>25292</t>
  </si>
  <si>
    <t>น.ส.ซัซวานี เย๊ะ</t>
  </si>
  <si>
    <t>https://azizstan.net/student_image/25292.jpg</t>
  </si>
  <si>
    <t>26800</t>
  </si>
  <si>
    <t>น.ส.นูรฮูดา เจ๊ะสัน</t>
  </si>
  <si>
    <t>https://azizstan.net/student_image/26800.jpg</t>
  </si>
  <si>
    <t>22651</t>
  </si>
  <si>
    <t>น.ส.ปัทมา อุมาร์</t>
  </si>
  <si>
    <t>ม.6/10</t>
  </si>
  <si>
    <t>https://azizstan.net/student_image/22651.jpg</t>
  </si>
  <si>
    <t>22659</t>
  </si>
  <si>
    <t>น.ส.ซูฟียา เจะเลาะ</t>
  </si>
  <si>
    <t>https://azizstan.net/student_image/22659.jpg</t>
  </si>
  <si>
    <t>22678</t>
  </si>
  <si>
    <t>น.ส.นูรฟาดา สาเร๊ะ</t>
  </si>
  <si>
    <t>https://azizstan.net/student_image/22678.jpg</t>
  </si>
  <si>
    <t>22744</t>
  </si>
  <si>
    <t>น.ส.อาวาติฟ จิสา</t>
  </si>
  <si>
    <t>https://azizstan.net/student_image/22744.jpg</t>
  </si>
  <si>
    <t>22783</t>
  </si>
  <si>
    <t>น.ส.นูรไอนี บือราเฮง</t>
  </si>
  <si>
    <t>https://azizstan.net/student_image/22783.jpg</t>
  </si>
  <si>
    <t>22833</t>
  </si>
  <si>
    <t>น.ส.ฟาตีฮะห์ สาแม</t>
  </si>
  <si>
    <t>https://azizstan.net/student_image/22833.jpg</t>
  </si>
  <si>
    <t>22851</t>
  </si>
  <si>
    <t>น.ส.ฮุสนา สะอิ</t>
  </si>
  <si>
    <t>https://azizstan.net/student_image/22851.jpg</t>
  </si>
  <si>
    <t>22887</t>
  </si>
  <si>
    <t>น.ส.ธัญพัฒน์ มิดดี้</t>
  </si>
  <si>
    <t>https://azizstan.net/student_image/22887.jpg</t>
  </si>
  <si>
    <t>22900</t>
  </si>
  <si>
    <t>น.ส.อัรฟานี เจ๊ะมาซอ</t>
  </si>
  <si>
    <t>https://azizstan.net/student_image/22900.jpg</t>
  </si>
  <si>
    <t>22911</t>
  </si>
  <si>
    <t>น.ส.อิลฮัม สะอิ</t>
  </si>
  <si>
    <t>https://azizstan.net/student_image/22911.jpg</t>
  </si>
  <si>
    <t>22955</t>
  </si>
  <si>
    <t>น.ส.ฮับเซาะห์ มะเซ็ง</t>
  </si>
  <si>
    <t>https://azizstan.net/student_image/22955.jpg</t>
  </si>
  <si>
    <t>23078</t>
  </si>
  <si>
    <t>น.ส.อัสมะ สะอิ</t>
  </si>
  <si>
    <t>https://azizstan.net/student_image/23078.jpg</t>
  </si>
  <si>
    <t>23117</t>
  </si>
  <si>
    <t>น.ส.มูรณี มามะ</t>
  </si>
  <si>
    <t>https://azizstan.net/student_image/23117.jpg</t>
  </si>
  <si>
    <t>23161</t>
  </si>
  <si>
    <t>น.ส.ตัซนีม คงทอง</t>
  </si>
  <si>
    <t>https://azizstan.net/student_image/23161.jpg</t>
  </si>
  <si>
    <t>23162</t>
  </si>
  <si>
    <t>น.ส.นูรฮีดายะห์ สะอุ</t>
  </si>
  <si>
    <t>https://azizstan.net/student_image/23162.jpg</t>
  </si>
  <si>
    <t>23184</t>
  </si>
  <si>
    <t>น.ส.นูรฟาติน บือซา</t>
  </si>
  <si>
    <t>https://azizstan.net/student_image/23184.jpg</t>
  </si>
  <si>
    <t>23214</t>
  </si>
  <si>
    <t>น.ส.นูรียา คาร์เดร์</t>
  </si>
  <si>
    <t>https://azizstan.net/student_image/23214.jpg</t>
  </si>
  <si>
    <t>23230</t>
  </si>
  <si>
    <t>น.ส.มูรซีดา ยีลาเตะ</t>
  </si>
  <si>
    <t>https://azizstan.net/student_image/23230.jpg</t>
  </si>
  <si>
    <t>23232</t>
  </si>
  <si>
    <t>น.ส.อิรฟานา ยุนุ</t>
  </si>
  <si>
    <t>https://azizstan.net/student_image/23232.jpg</t>
  </si>
  <si>
    <t>24607</t>
  </si>
  <si>
    <t>น.ส.ตอยยีบ๊ะห์ โตะเหะ</t>
  </si>
  <si>
    <t>https://azizstan.net/student_image/24607.jpg</t>
  </si>
  <si>
    <t>24686</t>
  </si>
  <si>
    <t>น.ส.อารียา กิจการ</t>
  </si>
  <si>
    <t>https://azizstan.net/student_image/24686.jpg</t>
  </si>
  <si>
    <t>24711</t>
  </si>
  <si>
    <t>น.ส.วันดา สะหลำหมะ</t>
  </si>
  <si>
    <t>https://azizstan.net/student_image/24711.jpg</t>
  </si>
  <si>
    <t>24758</t>
  </si>
  <si>
    <t>น.ส.นูซ๊ะฟะฮานา คางา</t>
  </si>
  <si>
    <t>https://azizstan.net/student_image/24758.jpg</t>
  </si>
  <si>
    <t>24840</t>
  </si>
  <si>
    <t>น.ส.นูรฟาเอรา อาแว</t>
  </si>
  <si>
    <t>https://azizstan.net/student_image/24840.jpg</t>
  </si>
  <si>
    <t>24841</t>
  </si>
  <si>
    <t>น.ส.มุสลีฮา มะเกะ</t>
  </si>
  <si>
    <t>https://azizstan.net/student_image/24841.jpg</t>
  </si>
  <si>
    <t>24842</t>
  </si>
  <si>
    <t>น.ส.โซเฟีย หามะ</t>
  </si>
  <si>
    <t>https://azizstan.net/student_image/24842.jpg</t>
  </si>
  <si>
    <t>24858</t>
  </si>
  <si>
    <t>น.ส.นัยนา สาเม๊าะ</t>
  </si>
  <si>
    <t>https://azizstan.net/student_image/24858.jpg</t>
  </si>
  <si>
    <t>24961</t>
  </si>
  <si>
    <t>น.ส.นิสรีน หะยีเด็ง</t>
  </si>
  <si>
    <t>https://azizstan.net/student_image/24961.jpg</t>
  </si>
  <si>
    <t>24966</t>
  </si>
  <si>
    <t>น.ส.ฟาตีฮะห์ แวเด็ง</t>
  </si>
  <si>
    <t>https://azizstan.net/student_image/24966.jpg</t>
  </si>
  <si>
    <t>24981</t>
  </si>
  <si>
    <t>น.ส.นาเดียร์ ชูมุง</t>
  </si>
  <si>
    <t>https://azizstan.net/student_image/24981.jpg</t>
  </si>
  <si>
    <t>25046</t>
  </si>
  <si>
    <t>น.ส.อัสมา สาและบู</t>
  </si>
  <si>
    <t>https://azizstan.net/student_image/25046.jpg</t>
  </si>
  <si>
    <t>25112</t>
  </si>
  <si>
    <t>น.ส.ซัยนูน ยีกะจิ</t>
  </si>
  <si>
    <t>https://azizstan.net/student_image/25112.jpg</t>
  </si>
  <si>
    <t>25146</t>
  </si>
  <si>
    <t>น.ส.นูรฮารีซา เจ๊ะมะ</t>
  </si>
  <si>
    <t>https://azizstan.net/student_image/25146.jpg</t>
  </si>
  <si>
    <t>25178</t>
  </si>
  <si>
    <t>น.ส.มัสรีนา หะยีสุหลง</t>
  </si>
  <si>
    <t>https://azizstan.net/student_image/25178.jpg</t>
  </si>
  <si>
    <t>25308</t>
  </si>
  <si>
    <t>น.ส.สากีนะ สาเมาะ</t>
  </si>
  <si>
    <t>https://azizstan.net/student_image/25308.jpg</t>
  </si>
  <si>
    <t>25325</t>
  </si>
  <si>
    <t>น.ส.อัฟฟารีดา มะแซ</t>
  </si>
  <si>
    <t>https://azizstan.net/student_image/25325.jpg</t>
  </si>
  <si>
    <t>25345</t>
  </si>
  <si>
    <t>น.ส.อารมาวานี สาแล๊ะ</t>
  </si>
  <si>
    <t>https://azizstan.net/student_image/25345.jpg</t>
  </si>
  <si>
    <t>25926</t>
  </si>
  <si>
    <t>น.ส.รอยฮาน วะจิดี</t>
  </si>
  <si>
    <t>https://azizstan.net/student_image/25926.jpg</t>
  </si>
  <si>
    <t>25961</t>
  </si>
  <si>
    <t>น.ส.บาซีเราะฮ์ หมูณี</t>
  </si>
  <si>
    <t>https://azizstan.net/student_image/25961.jpg</t>
  </si>
  <si>
    <t>25972</t>
  </si>
  <si>
    <t>น.ส.ฟาซูรา มะตีเยาะ</t>
  </si>
  <si>
    <t>https://azizstan.net/student_image/25972.jpg</t>
  </si>
  <si>
    <t>26002</t>
  </si>
  <si>
    <t>น.ส.นัซศณานีย์ เดเระมะ</t>
  </si>
  <si>
    <t>https://azizstan.net/student_image/26002.jpg</t>
  </si>
  <si>
    <t>26557</t>
  </si>
  <si>
    <t>น.ส.สุธิมา วานิ</t>
  </si>
  <si>
    <t>https://azizstan.net/student_image/26557.jpg</t>
  </si>
  <si>
    <t>6821910016</t>
  </si>
  <si>
    <t>นายมูฮัมหมัดอีดีล มะแซ</t>
  </si>
  <si>
    <t>ปวช.1/1</t>
  </si>
  <si>
    <t>อก.ปวช.1/1</t>
  </si>
  <si>
    <t>https://azizstan.net/student_image/6821910016.jpg</t>
  </si>
  <si>
    <t>6821910018</t>
  </si>
  <si>
    <t>นายซูกิฟรีฮ์ อาแว</t>
  </si>
  <si>
    <t>https://azizstan.net/student_image/6821910018.jpg</t>
  </si>
  <si>
    <t>6821910022</t>
  </si>
  <si>
    <t>นายฟิตตรี แวกะจิ</t>
  </si>
  <si>
    <t>https://azizstan.net/student_image/6821910022.jpg</t>
  </si>
  <si>
    <t>6821910023</t>
  </si>
  <si>
    <t>นายวาฟียุดดีน กูนา</t>
  </si>
  <si>
    <t>https://azizstan.net/student_image/6821910023.jpg</t>
  </si>
  <si>
    <t>6821910026</t>
  </si>
  <si>
    <t>นายอาดัม จันเจือ</t>
  </si>
  <si>
    <t>https://azizstan.net/student_image/6821910026.jpg</t>
  </si>
  <si>
    <t>6821910027</t>
  </si>
  <si>
    <t>นายฟัรฮาน รอยิง</t>
  </si>
  <si>
    <t>https://azizstan.net/student_image/6821910027.jpg</t>
  </si>
  <si>
    <t>6821910028</t>
  </si>
  <si>
    <t>นายอาลิฟ ดอเลาะ</t>
  </si>
  <si>
    <t>https://azizstan.net/student_image/6821910028.jpg</t>
  </si>
  <si>
    <t>6821910031</t>
  </si>
  <si>
    <t>นายอานัส แลแรมะ</t>
  </si>
  <si>
    <t>https://azizstan.net/student_image/6821910031.jpg</t>
  </si>
  <si>
    <t>6821910037</t>
  </si>
  <si>
    <t>นายนาซิร์ เห็ง</t>
  </si>
  <si>
    <t>https://azizstan.net/student_image/6821910037.jpg</t>
  </si>
  <si>
    <t>6821910039</t>
  </si>
  <si>
    <t>นายมังโซ เจะเฮง</t>
  </si>
  <si>
    <t>https://azizstan.net/student_image/6821910039.jpg</t>
  </si>
  <si>
    <t>6821910040</t>
  </si>
  <si>
    <t>นายซอฟี แมเลาะ</t>
  </si>
  <si>
    <t>https://azizstan.net/student_image/6821910040.jpg</t>
  </si>
  <si>
    <t>6821910041</t>
  </si>
  <si>
    <t>นายริฟฟา หัดกาเจ</t>
  </si>
  <si>
    <t>https://azizstan.net/student_image/6821910041.jpg</t>
  </si>
  <si>
    <t>6821910042</t>
  </si>
  <si>
    <t>นายอิบนูซาบิล ยามา</t>
  </si>
  <si>
    <t>https://azizstan.net/student_image/6821910042.jpg</t>
  </si>
  <si>
    <t>6821910043</t>
  </si>
  <si>
    <t>นายบาดาวี ขุนโชติชู</t>
  </si>
  <si>
    <t>https://azizstan.net/student_image/6821910043.jpg</t>
  </si>
  <si>
    <t>6821910051</t>
  </si>
  <si>
    <t>นายอัฟการ สะแลแม</t>
  </si>
  <si>
    <t>https://azizstan.net/student_image/6821910051.jpg</t>
  </si>
  <si>
    <t>6821910052</t>
  </si>
  <si>
    <t>นายคอยรูณล์ สามะแล</t>
  </si>
  <si>
    <t>https://azizstan.net/student_image/6821910052.jpg</t>
  </si>
  <si>
    <t>6821910058</t>
  </si>
  <si>
    <t>นายซูกีฟลี ปะจูเซ็ง</t>
  </si>
  <si>
    <t>https://azizstan.net/student_image/6821910058.jpg</t>
  </si>
  <si>
    <t>6821910061</t>
  </si>
  <si>
    <t>นายปองพล ขาเดร์</t>
  </si>
  <si>
    <t>https://azizstan.net/student_image/6821910061.jpg</t>
  </si>
  <si>
    <t>6821910066</t>
  </si>
  <si>
    <t>นายอีรฟาน ใบตาเย๊ะ</t>
  </si>
  <si>
    <t>https://azizstan.net/student_image/6821910066.jpg</t>
  </si>
  <si>
    <t>6821910067</t>
  </si>
  <si>
    <t>นายอัลฆอฟฟาร สะนิ</t>
  </si>
  <si>
    <t>https://azizstan.net/student_image/6821910067.jpg</t>
  </si>
  <si>
    <t>6821910068</t>
  </si>
  <si>
    <t>นายอิรฟาน อุเซ็ง</t>
  </si>
  <si>
    <t>https://azizstan.net/student_image/6821910068.jpg</t>
  </si>
  <si>
    <t>6821910001</t>
  </si>
  <si>
    <t>น.ส.ฮุสนา ยีสะมะแอ</t>
  </si>
  <si>
    <t>ปวช.1/2</t>
  </si>
  <si>
    <t>อก.ปวช.1/2</t>
  </si>
  <si>
    <t>https://azizstan.net/student_image/6821910001.jpg</t>
  </si>
  <si>
    <t>6821910002</t>
  </si>
  <si>
    <t>น.ส.อามานี ชายแผะ</t>
  </si>
  <si>
    <t>https://azizstan.net/student_image/6821910002.jpg</t>
  </si>
  <si>
    <t>6821910003</t>
  </si>
  <si>
    <t>น.ส.อิบตีซาร อุมาร์</t>
  </si>
  <si>
    <t>https://azizstan.net/student_image/6821910003.jpg</t>
  </si>
  <si>
    <t>6821910004</t>
  </si>
  <si>
    <t>น.ส.ซูรียานี มีนา</t>
  </si>
  <si>
    <t>https://azizstan.net/student_image/6821910004.jpg</t>
  </si>
  <si>
    <t>6821910005</t>
  </si>
  <si>
    <t>น.ส.รินเดียร์นี สาเล็ง</t>
  </si>
  <si>
    <t>https://azizstan.net/student_image/6821910005.jpg</t>
  </si>
  <si>
    <t>6821910006</t>
  </si>
  <si>
    <t>น.ส.นาริณ แก้วส่าเหระ</t>
  </si>
  <si>
    <t>https://azizstan.net/student_image/6821910006.jpg</t>
  </si>
  <si>
    <t>6821910007</t>
  </si>
  <si>
    <t>น.ส.ฮุสนา ปูเต๊ะ</t>
  </si>
  <si>
    <t>https://azizstan.net/student_image/6821910007.jpg</t>
  </si>
  <si>
    <t>6821910008</t>
  </si>
  <si>
    <t>น.ส.ซูมีรา มามะ</t>
  </si>
  <si>
    <t>https://azizstan.net/student_image/6821910008.jpg</t>
  </si>
  <si>
    <t>6821910009</t>
  </si>
  <si>
    <t>น.ส.โซเฟีย ดะเจะตู</t>
  </si>
  <si>
    <t>https://azizstan.net/student_image/6821910009.jpg</t>
  </si>
  <si>
    <t>6821910011</t>
  </si>
  <si>
    <t>น.ส.นุรฟิตรี เจ๊ะอูมา</t>
  </si>
  <si>
    <t>https://azizstan.net/student_image/6821910011.jpg</t>
  </si>
  <si>
    <t>6821910012</t>
  </si>
  <si>
    <t>น.ส.ซิดะณีย์ หวันนิ</t>
  </si>
  <si>
    <t>https://azizstan.net/student_image/6821910012.jpg</t>
  </si>
  <si>
    <t>6821910014</t>
  </si>
  <si>
    <t>น.ส.ศิรานุช จิตเรือ</t>
  </si>
  <si>
    <t>https://azizstan.net/student_image/6821910014.jpg</t>
  </si>
  <si>
    <t>6821910017</t>
  </si>
  <si>
    <t>น.ส.ซามีรา แอหัส</t>
  </si>
  <si>
    <t>https://azizstan.net/student_image/6821910017.jpg</t>
  </si>
  <si>
    <t>6821910019</t>
  </si>
  <si>
    <t>น.ส.ยัสมี อารง</t>
  </si>
  <si>
    <t>https://azizstan.net/student_image/6821910019.jpg</t>
  </si>
  <si>
    <t>6821910020</t>
  </si>
  <si>
    <t>น.ส.ไฮฟะ กาแบ</t>
  </si>
  <si>
    <t>https://azizstan.net/student_image/6821910020.jpg</t>
  </si>
  <si>
    <t>6821910024</t>
  </si>
  <si>
    <t>น.ส.นูรไลลา บางปู</t>
  </si>
  <si>
    <t>https://azizstan.net/student_image/6821910024.jpg</t>
  </si>
  <si>
    <t>6821910029</t>
  </si>
  <si>
    <t>น.ส.มุมีนัต ดาโหะมุสอ</t>
  </si>
  <si>
    <t>https://azizstan.net/student_image/6821910029.jpg</t>
  </si>
  <si>
    <t>6821910032</t>
  </si>
  <si>
    <t>น.ส.นูรุลวาฮีดา หมัดเหระ</t>
  </si>
  <si>
    <t>https://azizstan.net/student_image/6821910032.jpg</t>
  </si>
  <si>
    <t>6821910036</t>
  </si>
  <si>
    <t>น.ส.ฟิรดาวส์ ลือบาน๊ะ</t>
  </si>
  <si>
    <t>https://azizstan.net/student_image/6821910036.jpg</t>
  </si>
  <si>
    <t>6821910045</t>
  </si>
  <si>
    <t>น.ส.ซูไฮลา ยามา</t>
  </si>
  <si>
    <t>https://azizstan.net/student_image/6821910045.jpg</t>
  </si>
  <si>
    <t>6821910046</t>
  </si>
  <si>
    <t>น.ส.ฮานีฟา หะยีดอเลาะ</t>
  </si>
  <si>
    <t>https://azizstan.net/student_image/6821910046.jpg</t>
  </si>
  <si>
    <t>6821910047</t>
  </si>
  <si>
    <t>น.ส.กูอารีซา กูโนะ</t>
  </si>
  <si>
    <t>https://azizstan.net/student_image/6821910047.jpg</t>
  </si>
  <si>
    <t>6821910048</t>
  </si>
  <si>
    <t>น.ส.นูรูตัสนิม ปุเตะ</t>
  </si>
  <si>
    <t>https://azizstan.net/student_image/6821910048.jpg</t>
  </si>
  <si>
    <t>6821910049</t>
  </si>
  <si>
    <t>น.ส.อาตียะห์ ยุนุ</t>
  </si>
  <si>
    <t>https://azizstan.net/student_image/6821910049.jpg</t>
  </si>
  <si>
    <t>6821910050</t>
  </si>
  <si>
    <t>น.ส.นุรุลซัมซี สะอิ</t>
  </si>
  <si>
    <t>https://azizstan.net/student_image/6821910050.jpg</t>
  </si>
  <si>
    <t>6821910053</t>
  </si>
  <si>
    <t>น.ส.นูรอัฟซา อายเดร์</t>
  </si>
  <si>
    <t>https://azizstan.net/student_image/6821910053.jpg</t>
  </si>
  <si>
    <t>6821910054</t>
  </si>
  <si>
    <t>น.ส.ฟาเดีย ยะโกะ</t>
  </si>
  <si>
    <t>https://azizstan.net/student_image/6821910054.jpg</t>
  </si>
  <si>
    <t>6821910056</t>
  </si>
  <si>
    <t>น.ส.ซัลวานี ดอเลาะ</t>
  </si>
  <si>
    <t>https://azizstan.net/student_image/6821910056.jpg</t>
  </si>
  <si>
    <t>6821910057</t>
  </si>
  <si>
    <t>น.ส.นูรมา มะสะ</t>
  </si>
  <si>
    <t>https://azizstan.net/student_image/6821910057.jpg</t>
  </si>
  <si>
    <t>6821910059</t>
  </si>
  <si>
    <t>น.ส.ซูไรดา ร่าหมาน</t>
  </si>
  <si>
    <t>https://azizstan.net/student_image/6821910059.jpg</t>
  </si>
  <si>
    <t>6821910060</t>
  </si>
  <si>
    <t>น.ส.นูรูวาฮีดา บือแน</t>
  </si>
  <si>
    <t>https://azizstan.net/student_image/6821910060.jpg</t>
  </si>
  <si>
    <t>6821910062</t>
  </si>
  <si>
    <t>น.ส.มักกียะห์ สามะ</t>
  </si>
  <si>
    <t>https://azizstan.net/student_image/6821910062.jpg</t>
  </si>
  <si>
    <t>6821910063</t>
  </si>
  <si>
    <t>น.ส.ลียานา ยีมะมิง</t>
  </si>
  <si>
    <t>https://azizstan.net/student_image/6821910063.jpg</t>
  </si>
  <si>
    <t>6821910065</t>
  </si>
  <si>
    <t>น.ส.อานีซา ตอแลมา</t>
  </si>
  <si>
    <t>https://azizstan.net/student_image/6821910065.jpg</t>
  </si>
  <si>
    <t>6821910069</t>
  </si>
  <si>
    <t>น.ส.ฟาตอนะห์ หะเอียด</t>
  </si>
  <si>
    <t>https://azizstan.net/student_image/6821910069.jpg</t>
  </si>
  <si>
    <t>6721910135</t>
  </si>
  <si>
    <t>นายมุสลิม แดงรามัน</t>
  </si>
  <si>
    <t>ปวช.2/1</t>
  </si>
  <si>
    <t>อก.ปวช.2/1</t>
  </si>
  <si>
    <t>https://azizstan.net/student_image/6721910135.jpg</t>
  </si>
  <si>
    <t>6721910137</t>
  </si>
  <si>
    <t>นายอัฟฟาน ยูนุ๊</t>
  </si>
  <si>
    <t>https://azizstan.net/student_image/6721910137.jpg</t>
  </si>
  <si>
    <t>6721910138</t>
  </si>
  <si>
    <t>นายภูวนารถ บาเหม</t>
  </si>
  <si>
    <t>https://azizstan.net/student_image/6721910138.jpg</t>
  </si>
  <si>
    <t>6721910143</t>
  </si>
  <si>
    <t>นายมูฮัมหมัดบีลาล์ สะนิ</t>
  </si>
  <si>
    <t>https://azizstan.net/student_image/6721910143.jpg</t>
  </si>
  <si>
    <t>6721910149</t>
  </si>
  <si>
    <t>นายอานัส ดาโอะ</t>
  </si>
  <si>
    <t>https://azizstan.net/student_image/6721910149.jpg</t>
  </si>
  <si>
    <t>6721910150</t>
  </si>
  <si>
    <t>นายอามีรัน มามุ</t>
  </si>
  <si>
    <t>https://azizstan.net/student_image/6721910150.jpg</t>
  </si>
  <si>
    <t>6721910153</t>
  </si>
  <si>
    <t>นายศุภมาศ สาและอาแร</t>
  </si>
  <si>
    <t>https://azizstan.net/student_image/6721910153.jpg</t>
  </si>
  <si>
    <t>6721910155</t>
  </si>
  <si>
    <t>นายฟิรฮาน หะยีสาแม</t>
  </si>
  <si>
    <t>https://azizstan.net/student_image/6721910155.jpg</t>
  </si>
  <si>
    <t>6721910158</t>
  </si>
  <si>
    <t>นายซาการียา สาเมาะ</t>
  </si>
  <si>
    <t>https://azizstan.net/student_image/6721910158.jpg</t>
  </si>
  <si>
    <t>6721910167</t>
  </si>
  <si>
    <t>นายคุณากร เกื้อกูล</t>
  </si>
  <si>
    <t>https://azizstan.net/student_image/6721910167.jpg</t>
  </si>
  <si>
    <t>6721910168</t>
  </si>
  <si>
    <t>นายนิเตาฟิต สาและ</t>
  </si>
  <si>
    <t>https://azizstan.net/student_image/6721910168.jpg</t>
  </si>
  <si>
    <t>6721910180</t>
  </si>
  <si>
    <t>นายมูฮัมหมัดไฟซอล มูเซะ</t>
  </si>
  <si>
    <t>https://azizstan.net/student_image/6721910180.jpg</t>
  </si>
  <si>
    <t>6721910182</t>
  </si>
  <si>
    <t>นายมูฮัมหมัดอัซรอฟ เดหนิ</t>
  </si>
  <si>
    <t>https://azizstan.net/student_image/6721910182.jpg</t>
  </si>
  <si>
    <t>6721910183</t>
  </si>
  <si>
    <t>นายฟารุก สาหลำมะ</t>
  </si>
  <si>
    <t>https://azizstan.net/student_image/6721910183.jpg</t>
  </si>
  <si>
    <t>6721910185</t>
  </si>
  <si>
    <t>นายอิสมาแอล สะแม</t>
  </si>
  <si>
    <t>https://azizstan.net/student_image/6721910185.jpg</t>
  </si>
  <si>
    <t>6721910122</t>
  </si>
  <si>
    <t>น.ส.มาดีฮะห์ ฮามะ</t>
  </si>
  <si>
    <t>ปวช.2/2</t>
  </si>
  <si>
    <t>อก.ปวช.2/2</t>
  </si>
  <si>
    <t>https://azizstan.net/student_image/6721910122.jpg</t>
  </si>
  <si>
    <t>6721910123</t>
  </si>
  <si>
    <t>น.ส.อัรดานี ดอเลาะ</t>
  </si>
  <si>
    <t>https://azizstan.net/student_image/6721910123.jpg</t>
  </si>
  <si>
    <t>6721910124</t>
  </si>
  <si>
    <t>น.ส.นุสยาตี สันเต๊ะ</t>
  </si>
  <si>
    <t>https://azizstan.net/student_image/6721910124.jpg</t>
  </si>
  <si>
    <t>6721910126</t>
  </si>
  <si>
    <t>น.ส.นัศรินญา กะหวัง</t>
  </si>
  <si>
    <t>https://azizstan.net/student_image/6721910126.jpg</t>
  </si>
  <si>
    <t>6721910127</t>
  </si>
  <si>
    <t>น.ส.ซีตีรอกีเยาะห์ เจะเละ</t>
  </si>
  <si>
    <t>https://azizstan.net/student_image/6721910127.jpg</t>
  </si>
  <si>
    <t>6721910128</t>
  </si>
  <si>
    <t>น.ส.บุษรินทร์ มะสาอิ</t>
  </si>
  <si>
    <t>https://azizstan.net/student_image/6721910128.jpg</t>
  </si>
  <si>
    <t>6721910129</t>
  </si>
  <si>
    <t>น.ส.อามีนา มะเซ็ง</t>
  </si>
  <si>
    <t>https://azizstan.net/student_image/6721910129.jpg</t>
  </si>
  <si>
    <t>6721910130</t>
  </si>
  <si>
    <t>น.ส.นูรอัยณี อาแว</t>
  </si>
  <si>
    <t>https://azizstan.net/student_image/6721910130.jpg</t>
  </si>
  <si>
    <t>6721910131</t>
  </si>
  <si>
    <t>น.ส.นูรฟาซีหะฮ์ อุมา</t>
  </si>
  <si>
    <t>https://azizstan.net/student_image/6721910131.jpg</t>
  </si>
  <si>
    <t>6721910132</t>
  </si>
  <si>
    <t>น.ส.นุรฟิรเดาซ์ หวังบู</t>
  </si>
  <si>
    <t>https://azizstan.net/student_image/6721910132.jpg</t>
  </si>
  <si>
    <t>6721910133</t>
  </si>
  <si>
    <t>น.ส.นูรีย๊ะ มะเซ็ง</t>
  </si>
  <si>
    <t>https://azizstan.net/student_image/6721910133.jpg</t>
  </si>
  <si>
    <t>6721910134</t>
  </si>
  <si>
    <t>น.ส.วชิรญาณ์ กามา</t>
  </si>
  <si>
    <t>https://azizstan.net/student_image/6721910134.jpg</t>
  </si>
  <si>
    <t>6721910136</t>
  </si>
  <si>
    <t>น.ส.สุไรดาห์ อาแซ</t>
  </si>
  <si>
    <t>https://azizstan.net/student_image/6721910136.jpg</t>
  </si>
  <si>
    <t>6721910139</t>
  </si>
  <si>
    <t>น.ส.ซัลวา สีบู้</t>
  </si>
  <si>
    <t>https://azizstan.net/student_image/6721910139.jpg</t>
  </si>
  <si>
    <t>6721910140</t>
  </si>
  <si>
    <t>น.ส.นาซีเราะ แวสุหลง</t>
  </si>
  <si>
    <t>https://azizstan.net/student_image/6721910140.jpg</t>
  </si>
  <si>
    <t>6721910141</t>
  </si>
  <si>
    <t>น.ส.สุนิษา อาลี</t>
  </si>
  <si>
    <t>https://azizstan.net/student_image/6721910141.jpg</t>
  </si>
  <si>
    <t>6721910145</t>
  </si>
  <si>
    <t>น.ส.ภัทรลดา หลีมะพรรณ</t>
  </si>
  <si>
    <t>https://azizstan.net/student_image/6721910145.jpg</t>
  </si>
  <si>
    <t>6721910147</t>
  </si>
  <si>
    <t>น.ส.นัตตาฟาห์ สะอะ</t>
  </si>
  <si>
    <t>https://azizstan.net/student_image/6721910147.jpg</t>
  </si>
  <si>
    <t>6721910148</t>
  </si>
  <si>
    <t>น.ส.นาซีเราะ เงาะ</t>
  </si>
  <si>
    <t>https://azizstan.net/student_image/6721910148.jpg</t>
  </si>
  <si>
    <t>6721910151</t>
  </si>
  <si>
    <t>น.ส.บัรกิส ดือเระ</t>
  </si>
  <si>
    <t>https://azizstan.net/student_image/6721910151.jpg</t>
  </si>
  <si>
    <t>6721910152</t>
  </si>
  <si>
    <t>น.ส.นูรอัยณี หวังแฉะ</t>
  </si>
  <si>
    <t>https://azizstan.net/student_image/6721910152.jpg</t>
  </si>
  <si>
    <t>6721910157</t>
  </si>
  <si>
    <t>น.ส.อามีรา เตะแต</t>
  </si>
  <si>
    <t>https://azizstan.net/student_image/6721910157.jpg</t>
  </si>
  <si>
    <t>6721910160</t>
  </si>
  <si>
    <t>น.ส.ซูนีรา มะสัน</t>
  </si>
  <si>
    <t>https://azizstan.net/student_image/6721910160.jpg</t>
  </si>
  <si>
    <t>6721910161</t>
  </si>
  <si>
    <t>น.ส.ซีตีนุรฮาลีซา ยูโซะ</t>
  </si>
  <si>
    <t>https://azizstan.net/student_image/6721910161.jpg</t>
  </si>
  <si>
    <t>6721910165</t>
  </si>
  <si>
    <t>น.ส.นูรฮานีฟา เจะอาลี</t>
  </si>
  <si>
    <t>https://azizstan.net/student_image/6721910165.jpg</t>
  </si>
  <si>
    <t>6721910166</t>
  </si>
  <si>
    <t>น.ส.มูนาดา ยะสารี</t>
  </si>
  <si>
    <t>https://azizstan.net/student_image/6721910166.jpg</t>
  </si>
  <si>
    <t>6721910169</t>
  </si>
  <si>
    <t>น.ส.อารียา แวนุเซ็ง</t>
  </si>
  <si>
    <t>https://azizstan.net/student_image/6721910169.jpg</t>
  </si>
  <si>
    <t>6721910170</t>
  </si>
  <si>
    <t>น.ส.โซฟีด๊ะห์ สะตามัน</t>
  </si>
  <si>
    <t>https://azizstan.net/student_image/6721910170.jpg</t>
  </si>
  <si>
    <t>6721910171</t>
  </si>
  <si>
    <t>น.ส.ซูรีฮัน สาแม</t>
  </si>
  <si>
    <t>https://azizstan.net/student_image/6721910171.jpg</t>
  </si>
  <si>
    <t>6721910173</t>
  </si>
  <si>
    <t>น.ส.ฟาติน บ่อเตย</t>
  </si>
  <si>
    <t>https://azizstan.net/student_image/6721910173.jpg</t>
  </si>
  <si>
    <t>6721910174</t>
  </si>
  <si>
    <t>น.ส.ยุสรินดา แปแนะ</t>
  </si>
  <si>
    <t>https://azizstan.net/student_image/6721910174.jpg</t>
  </si>
  <si>
    <t>6721910178</t>
  </si>
  <si>
    <t>น.ส.ซาวานี สมสะ</t>
  </si>
  <si>
    <t>https://azizstan.net/student_image/6721910178.jpg</t>
  </si>
  <si>
    <t>6721910179</t>
  </si>
  <si>
    <t>น.ส.อัสมะ อูเซ็ง</t>
  </si>
  <si>
    <t>https://azizstan.net/student_image/6721910179.jpg</t>
  </si>
  <si>
    <t>6721910181</t>
  </si>
  <si>
    <t>น.ส.นูรสัน สาและ</t>
  </si>
  <si>
    <t>https://azizstan.net/student_image/6721910181.jpg</t>
  </si>
  <si>
    <t>6721910184</t>
  </si>
  <si>
    <t>น.ส.ฮุสนา สันสนิ</t>
  </si>
  <si>
    <t>https://azizstan.net/student_image/6721910184.jpg</t>
  </si>
  <si>
    <t>6721910187</t>
  </si>
  <si>
    <t>น.ส.นุรกาซมี ยูนุ</t>
  </si>
  <si>
    <t>https://azizstan.net/student_image/6721910187.jpg</t>
  </si>
  <si>
    <t>6721910188</t>
  </si>
  <si>
    <t>น.ส.นุรอัฟฟา บาดง</t>
  </si>
  <si>
    <t>https://azizstan.net/student_image/6721910188.jpg</t>
  </si>
  <si>
    <t>6620204012</t>
  </si>
  <si>
    <t>น.ส.เดียร์น่า สะมาแอ</t>
  </si>
  <si>
    <t>ปวช.3/1</t>
  </si>
  <si>
    <t>อก.ปวช.3/1</t>
  </si>
  <si>
    <t>https://azizstan.net/student_image/6620204012.jpg</t>
  </si>
  <si>
    <t>6620204014</t>
  </si>
  <si>
    <t>นายฮัมดัน ลอสะ</t>
  </si>
  <si>
    <t>https://azizstan.net/student_image/6620204014.jpg</t>
  </si>
  <si>
    <t>6620204015</t>
  </si>
  <si>
    <t>นายซัยดาร์น คาเร็ง</t>
  </si>
  <si>
    <t>https://azizstan.net/student_image/6620204015.jpg</t>
  </si>
  <si>
    <t>6620204016</t>
  </si>
  <si>
    <t>นายนาอีฟ ปาโห๊ะ</t>
  </si>
  <si>
    <t>https://azizstan.net/student_image/6620204016.jpg</t>
  </si>
  <si>
    <t>6620204017</t>
  </si>
  <si>
    <t>นายฮัมรัน หยีมะยิ</t>
  </si>
  <si>
    <t>https://azizstan.net/student_image/6620204017.jpg</t>
  </si>
  <si>
    <t>6620204018</t>
  </si>
  <si>
    <t>นายมุสิทชัย มุสอหัด</t>
  </si>
  <si>
    <t>https://azizstan.net/student_image/6620204018.jpg</t>
  </si>
  <si>
    <t>6620204021</t>
  </si>
  <si>
    <t>นายรอมดัน เจะหลง</t>
  </si>
  <si>
    <t>https://azizstan.net/student_image/6620204021.jpg</t>
  </si>
  <si>
    <t>6620204025</t>
  </si>
  <si>
    <t>นายอาดือนันต์ อาลี</t>
  </si>
  <si>
    <t>https://azizstan.net/student_image/6620204025.jpg</t>
  </si>
  <si>
    <t>6620204026</t>
  </si>
  <si>
    <t>นายอิกรอม บาฮอ</t>
  </si>
  <si>
    <t>https://azizstan.net/student_image/6620204026.jpg</t>
  </si>
  <si>
    <t>6620204027</t>
  </si>
  <si>
    <t>นายอัฟฟาน ชายแผะ</t>
  </si>
  <si>
    <t>https://azizstan.net/student_image/6620204027.jpg</t>
  </si>
  <si>
    <t>6620204031</t>
  </si>
  <si>
    <t>นายอัฟฟาน ดอแนเลาะ</t>
  </si>
  <si>
    <t>https://azizstan.net/student_image/6620204031.jpg</t>
  </si>
  <si>
    <t>6620204036</t>
  </si>
  <si>
    <t>นายอาดัม ดานิ</t>
  </si>
  <si>
    <t>https://azizstan.net/student_image/6620204036.jpg</t>
  </si>
  <si>
    <t>6620204049</t>
  </si>
  <si>
    <t>นายมูฮำหมัดฮานาฟี ปะดอมะ</t>
  </si>
  <si>
    <t>https://azizstan.net/student_image/6620204049.jpg</t>
  </si>
  <si>
    <t>6620204053</t>
  </si>
  <si>
    <t>นายอมีรุณ แมเดาะ</t>
  </si>
  <si>
    <t>https://azizstan.net/student_image/6620204053.jpg</t>
  </si>
  <si>
    <t>6620204056</t>
  </si>
  <si>
    <t>นายอานัส จิใจ</t>
  </si>
  <si>
    <t>https://azizstan.net/student_image/6620204056.jpg</t>
  </si>
  <si>
    <t>6620204057</t>
  </si>
  <si>
    <t>นายรอฮิม เจะเด็ง</t>
  </si>
  <si>
    <t>https://azizstan.net/student_image/6620204057.jpg</t>
  </si>
  <si>
    <t>6620204058</t>
  </si>
  <si>
    <t>น.ส.นุรเดียนีย์ หะยีสาแม</t>
  </si>
  <si>
    <t>https://azizstan.net/student_image/6620204058.jpg</t>
  </si>
  <si>
    <t>6620204066</t>
  </si>
  <si>
    <t>นายมะอามีรูน มะสัน</t>
  </si>
  <si>
    <t>https://azizstan.net/student_image/6620204066.jpg</t>
  </si>
  <si>
    <t>6620204067</t>
  </si>
  <si>
    <t>น.ส.ชญานุช บิงดอเลาะ</t>
  </si>
  <si>
    <t>https://azizstan.net/student_image/6620204067.jpg</t>
  </si>
  <si>
    <t>6620204073</t>
  </si>
  <si>
    <t>น.ส.นูรฟาซีลา อะแด</t>
  </si>
  <si>
    <t>https://azizstan.net/student_image/6620204073.jpg</t>
  </si>
  <si>
    <t>6620204076</t>
  </si>
  <si>
    <t>น.ส.ศอลวีญะห์ มะโระ</t>
  </si>
  <si>
    <t>https://azizstan.net/student_image/6620204076.jpg</t>
  </si>
  <si>
    <t>6620204079</t>
  </si>
  <si>
    <t>นายนัศรุน สาแม็ง</t>
  </si>
  <si>
    <t>https://azizstan.net/student_image/6620204079.jpg</t>
  </si>
  <si>
    <t>6620204081</t>
  </si>
  <si>
    <t>น.ส.วารีน่า คงจินดามณี</t>
  </si>
  <si>
    <t>https://azizstan.net/student_image/6620204081.jpg</t>
  </si>
  <si>
    <t>6620204082</t>
  </si>
  <si>
    <t>น.ส.อานีซา โชโด</t>
  </si>
  <si>
    <t>https://azizstan.net/student_image/6620204082.jpg</t>
  </si>
  <si>
    <t>6620204084</t>
  </si>
  <si>
    <t>นายมูฮัมหมัดอีรฟาน สาลีเนาะ</t>
  </si>
  <si>
    <t>https://azizstan.net/student_image/6620204084.jpg</t>
  </si>
  <si>
    <t>6620204088</t>
  </si>
  <si>
    <t>น.ส.สุนิสา บือซา</t>
  </si>
  <si>
    <t>https://azizstan.net/student_image/6620204088.jpg</t>
  </si>
  <si>
    <t>6620204089</t>
  </si>
  <si>
    <t>น.ส.ไซนี มะดีเยาะ</t>
  </si>
  <si>
    <t>https://azizstan.net/student_image/6620204089.jpg</t>
  </si>
  <si>
    <t>6620204091</t>
  </si>
  <si>
    <t>นายดานิช อายิ</t>
  </si>
  <si>
    <t>https://azizstan.net/student_image/6620204091.jpg</t>
  </si>
  <si>
    <t>6620204092</t>
  </si>
  <si>
    <t>น.ส.อวาติฟ ดือเร๊ะ</t>
  </si>
  <si>
    <t>https://azizstan.net/student_image/6620204092.jpg</t>
  </si>
  <si>
    <t>6620204098</t>
  </si>
  <si>
    <t>น.ส.นูรีซ่า รอดเด็น</t>
  </si>
  <si>
    <t>https://azizstan.net/student_image/6620204098.jpg</t>
  </si>
  <si>
    <t>6620204099</t>
  </si>
  <si>
    <t>น.ส.นูรุลฟิรดาวส์ แวหะยี</t>
  </si>
  <si>
    <t>https://azizstan.net/student_image/6620204099.jpg</t>
  </si>
  <si>
    <t>6620204102</t>
  </si>
  <si>
    <t>น.ส.นาซีรา เลาะเฮง</t>
  </si>
  <si>
    <t>https://azizstan.net/student_image/6620204102.jpg</t>
  </si>
  <si>
    <t>6620204104</t>
  </si>
  <si>
    <t>นายอับดุลเลาะห์ อิตำ</t>
  </si>
  <si>
    <t>https://azizstan.net/student_image/6620204104.jpg</t>
  </si>
  <si>
    <t>6620204106</t>
  </si>
  <si>
    <t>น.ส.ซูลฟา ใบเย็มหมะ</t>
  </si>
  <si>
    <t>https://azizstan.net/student_image/6620204106.jpg</t>
  </si>
  <si>
    <t>6620204107</t>
  </si>
  <si>
    <t>นายมะซายูตี มาหลี</t>
  </si>
  <si>
    <t>https://azizstan.net/student_image/6620204107.jpg</t>
  </si>
  <si>
    <t>นายสุเพียร อิสแม</t>
  </si>
  <si>
    <t>ปวช.3/2</t>
  </si>
  <si>
    <t>อก.ปวช.3/2</t>
  </si>
  <si>
    <t>https://azizstan.net/student_image/432.jpg</t>
  </si>
  <si>
    <t>นายซอฟวาน เจ๊ะกายอ</t>
  </si>
  <si>
    <t>https://azizstan.net/student_image/481.jpg</t>
  </si>
  <si>
    <t>นายมูฮำหมัดกูดิง บากา</t>
  </si>
  <si>
    <t>https://azizstan.net/student_image/483.jpg</t>
  </si>
  <si>
    <t>6620204002</t>
  </si>
  <si>
    <t>น.ส.บัลกิซ ฮามะ</t>
  </si>
  <si>
    <t>https://azizstan.net/student_image/6620204002.jpg</t>
  </si>
  <si>
    <t>6620204003</t>
  </si>
  <si>
    <t>น.ส.อานิต้า สาเงาะ</t>
  </si>
  <si>
    <t>https://azizstan.net/student_image/6620204003.jpg</t>
  </si>
  <si>
    <t>6620204005</t>
  </si>
  <si>
    <t>น.ส.อารียา ดาราโชติ</t>
  </si>
  <si>
    <t>https://azizstan.net/student_image/6620204005.jpg</t>
  </si>
  <si>
    <t>6620204006</t>
  </si>
  <si>
    <t>น.ส.นูรมา วาโซะ</t>
  </si>
  <si>
    <t>https://azizstan.net/student_image/6620204006.jpg</t>
  </si>
  <si>
    <t>6620204007</t>
  </si>
  <si>
    <t>น.ส.นูรอาลิซษา มะบูเกะ</t>
  </si>
  <si>
    <t>https://azizstan.net/student_image/6620204007.jpg</t>
  </si>
  <si>
    <t>6620204009</t>
  </si>
  <si>
    <t>น.ส.ฟาร์เดีย นิเดหะ</t>
  </si>
  <si>
    <t>https://azizstan.net/student_image/6620204009.jpg</t>
  </si>
  <si>
    <t>6620204010</t>
  </si>
  <si>
    <t>น.ส.นูรฮัม แวนายี</t>
  </si>
  <si>
    <t>https://azizstan.net/student_image/6620204010.jpg</t>
  </si>
  <si>
    <t>6620204011</t>
  </si>
  <si>
    <t>น.ส.นูรมา ยูบง</t>
  </si>
  <si>
    <t>https://azizstan.net/student_image/6620204011.jpg</t>
  </si>
  <si>
    <t>6620204019</t>
  </si>
  <si>
    <t>นายอิรฟาน อาหวัง</t>
  </si>
  <si>
    <t>https://azizstan.net/student_image/6620204019.jpg</t>
  </si>
  <si>
    <t>6620204024</t>
  </si>
  <si>
    <t>นายซิดดิก ดอเล๊าะ</t>
  </si>
  <si>
    <t>https://azizstan.net/student_image/6620204024.jpg</t>
  </si>
  <si>
    <t>6620204032</t>
  </si>
  <si>
    <t>นายนัสรี สะนิ</t>
  </si>
  <si>
    <t>https://azizstan.net/student_image/6620204032.jpg</t>
  </si>
  <si>
    <t>6620204033</t>
  </si>
  <si>
    <t>นายมูฮัมหมัดซอฟา บือราเฮง</t>
  </si>
  <si>
    <t>https://azizstan.net/student_image/6620204033.jpg</t>
  </si>
  <si>
    <t>6620204038</t>
  </si>
  <si>
    <t>นายนิฮัมดี นิจิ</t>
  </si>
  <si>
    <t>https://azizstan.net/student_image/6620204038.jpg</t>
  </si>
  <si>
    <t>6620204042</t>
  </si>
  <si>
    <t>น.ส.นูรูล สุหลง</t>
  </si>
  <si>
    <t>https://azizstan.net/student_image/6620204042.jpg</t>
  </si>
  <si>
    <t>6620204048</t>
  </si>
  <si>
    <t>น.ส.อามีนา กามิน</t>
  </si>
  <si>
    <t>https://azizstan.net/student_image/6620204048.jpg</t>
  </si>
  <si>
    <t>6620204054</t>
  </si>
  <si>
    <t>นายเจะซาฟีอี เจ๊ะอาแว</t>
  </si>
  <si>
    <t>https://azizstan.net/student_image/6620204054.jpg</t>
  </si>
  <si>
    <t>6620204055</t>
  </si>
  <si>
    <t>นายฮิลมัน มะ</t>
  </si>
  <si>
    <t>https://azizstan.net/student_image/6620204055.jpg</t>
  </si>
  <si>
    <t>6620204065</t>
  </si>
  <si>
    <t>นายอิสมะแอ สาหมะ</t>
  </si>
  <si>
    <t>https://azizstan.net/student_image/6620204065.jpg</t>
  </si>
  <si>
    <t>6620204068</t>
  </si>
  <si>
    <t>นายมูฮาหมัดฮาลีม ฮาแว</t>
  </si>
  <si>
    <t>https://azizstan.net/student_image/6620204068.jpg</t>
  </si>
  <si>
    <t>6620204069</t>
  </si>
  <si>
    <t>นายฮานาฟี อีสอปุเต๊ะ</t>
  </si>
  <si>
    <t>https://azizstan.net/student_image/6620204069.jpg</t>
  </si>
  <si>
    <t>6620204075</t>
  </si>
  <si>
    <t>น.ส.ยัสมี สะนิ</t>
  </si>
  <si>
    <t>https://azizstan.net/student_image/6620204075.jpg</t>
  </si>
  <si>
    <t>6620204080</t>
  </si>
  <si>
    <t>นายมูฮัมมัดอาลาวี เต็มหลง</t>
  </si>
  <si>
    <t>https://azizstan.net/student_image/6620204080.jpg</t>
  </si>
  <si>
    <t>6620204087</t>
  </si>
  <si>
    <t>น.ส.ศัสศาบีลา สาลำ</t>
  </si>
  <si>
    <t>https://azizstan.net/student_image/6620204087.jpg</t>
  </si>
  <si>
    <t>6620204090</t>
  </si>
  <si>
    <t>นายอับดุลฮากิม มามะ</t>
  </si>
  <si>
    <t>https://azizstan.net/student_image/6620204090.jpg</t>
  </si>
  <si>
    <t>6620204094</t>
  </si>
  <si>
    <t>นายอัซรอบฮ์ สิดิ</t>
  </si>
  <si>
    <t>https://azizstan.net/student_image/6620204094.jpg</t>
  </si>
  <si>
    <t>6620204097</t>
  </si>
  <si>
    <t>นายอาลิฟ ลอสะ</t>
  </si>
  <si>
    <t>https://azizstan.net/student_image/6620204097.jpg</t>
  </si>
  <si>
    <t>6620204100</t>
  </si>
  <si>
    <t>น.ส.บิลกิซ หลงเส็น</t>
  </si>
  <si>
    <t>https://azizstan.net/student_image/6620204100.jpg</t>
  </si>
  <si>
    <t>6620204105</t>
  </si>
  <si>
    <t>นายอิบรอเฮม มะเส็น</t>
  </si>
  <si>
    <t>https://azizstan.net/student_image/6620204105.jpg</t>
  </si>
  <si>
    <t>6620204110</t>
  </si>
  <si>
    <t>น.ส.นาซูฮา บือราเฮง</t>
  </si>
  <si>
    <t>https://azizstan.net/student_image/6620204110.jpg</t>
  </si>
  <si>
    <t>6620204111</t>
  </si>
  <si>
    <t>นายอานัส แวเด็ง</t>
  </si>
  <si>
    <t>https://azizstan.net/student_image/6620204111.jpg</t>
  </si>
  <si>
    <t>6620204112</t>
  </si>
  <si>
    <t>น.ส.ฟาตอนะห์ ดอมะ</t>
  </si>
  <si>
    <t>https://azizstan.net/student_image/6620204112.jpg</t>
  </si>
  <si>
    <t>6620204113</t>
  </si>
  <si>
    <t>น.ส.สุไรยา แวยูโซะ</t>
  </si>
  <si>
    <t>https://azizstan.net/student_image/6620204113.jpg</t>
  </si>
  <si>
    <t>6620204117</t>
  </si>
  <si>
    <t>น.ส.ฟาตอนีย๊ะ สาเมาะ</t>
  </si>
  <si>
    <t>https://azizstan.net/student_image/6620204117.jpg</t>
  </si>
  <si>
    <t>6620204121</t>
  </si>
  <si>
    <t>น.ส.มารีนา กานางอ</t>
  </si>
  <si>
    <t>https://azizstan.net/student_image/6620204121.jpg</t>
  </si>
  <si>
    <t>26812</t>
  </si>
  <si>
    <t>ด.ช.มูฮัมหมัดซากีรีน มะยี</t>
  </si>
  <si>
    <t>https://azizstan.net/student_image/26812.jpg</t>
  </si>
  <si>
    <t>open</t>
  </si>
  <si>
    <t>📅 ข้อมูลการสมัคร</t>
  </si>
  <si>
    <t>🏛️ ฝ่ายที่เปิดรับสมัคร</t>
  </si>
  <si>
    <t>✓ เปิดรับสมัครตั้งแต่วันพุธที่ 6 สิงหาคม 2568</t>
  </si>
  <si>
    <t>🚫 ปิดรับสมัครวันอาทิตย์ที่ 24 สิงหาคม 2568</t>
  </si>
  <si>
    <t>📢 ประกาศผลภายในวันที่ 28 สิงหาคม 2568</t>
  </si>
  <si>
    <t>ปล. 📆 กำหนดการอาจมีการเปลี่ยนแปลงได้</t>
  </si>
  <si>
    <t>⭐👨‍🎓 นักเรียนชายต้องมีเกรดเฉลี่ยไม่ต่ำกว่า 2.00</t>
  </si>
  <si>
    <t>⭐👩🏻‍🎓 นักเรียนหต้องญิงมีเกรดเฉลี่ยไม่ต่ำกว่า 2.50</t>
  </si>
  <si>
    <t>รายชื่อสภานักเรียน โรงเรียนมูลนิธิอาซิซสถาน ปีการศึกษา 2567</t>
  </si>
  <si>
    <t>#</t>
  </si>
  <si>
    <t>รหัสนักเรียน</t>
  </si>
  <si>
    <t>ชื่อ-สกุล</t>
  </si>
  <si>
    <t>ชั้น</t>
  </si>
  <si>
    <t>ฝ่าย</t>
  </si>
  <si>
    <t>เกรด
สามัญ</t>
  </si>
  <si>
    <t>เกรด
ศาสนา</t>
  </si>
  <si>
    <t>หมายเหตุ</t>
  </si>
  <si>
    <t>ลิงค์วีดิโอ</t>
  </si>
  <si>
    <t>Gedung01</t>
  </si>
  <si>
    <t>Gedung02</t>
  </si>
  <si>
    <t>Gedung03</t>
  </si>
  <si>
    <t>Gedung04</t>
  </si>
  <si>
    <t>Gedung05</t>
  </si>
  <si>
    <t>Gedung06</t>
  </si>
  <si>
    <t>Gedung07</t>
  </si>
  <si>
    <t>Gedung08</t>
  </si>
  <si>
    <t>Gedung09</t>
  </si>
  <si>
    <t>Gedung10</t>
  </si>
  <si>
    <t>VDO</t>
  </si>
  <si>
    <t>รวม</t>
  </si>
  <si>
    <t>การยืนยันสิทธิ์</t>
  </si>
  <si>
    <t>การชำระค่าประกัน</t>
  </si>
  <si>
    <t>เกรดเฉลี่ย</t>
  </si>
  <si>
    <t>ค้างแก้(วิชา)</t>
  </si>
  <si>
    <t>สภานักเรียน(ชาย)</t>
  </si>
  <si>
    <t>22620</t>
  </si>
  <si>
    <t>นายมูฮำหมัดอัซวัน ลือแมลูโดง</t>
  </si>
  <si>
    <t>โปรดเลือกฝ่ายที่รับผิดชอบ</t>
  </si>
  <si>
    <t>24217</t>
  </si>
  <si>
    <t>นายอิสมาแอน สะอาด</t>
  </si>
  <si>
    <t>ประธานสภานักเรียน</t>
  </si>
  <si>
    <t>22467</t>
  </si>
  <si>
    <t>นายไฟซอล ดอเลาะ</t>
  </si>
  <si>
    <t>รองประธานสภานักเรียน</t>
  </si>
  <si>
    <t>24336</t>
  </si>
  <si>
    <t>นายอนัส เมาะอะ</t>
  </si>
  <si>
    <t>เลขานุการ</t>
  </si>
  <si>
    <t>22621</t>
  </si>
  <si>
    <t>นายฟาฮัด แขวงบู</t>
  </si>
  <si>
    <t>วิชาการ</t>
  </si>
  <si>
    <t>22046</t>
  </si>
  <si>
    <t>นายรามดาน ล่ากูด</t>
  </si>
  <si>
    <t>ปกครอง</t>
  </si>
  <si>
    <t>22194</t>
  </si>
  <si>
    <t>นายอีรฟา ดอเลาะ</t>
  </si>
  <si>
    <t>อีบาดัต</t>
  </si>
  <si>
    <t>21949</t>
  </si>
  <si>
    <t>นายฮารฟัน กาเซ็ง</t>
  </si>
  <si>
    <t>นันทนาการและสวัสดิการ</t>
  </si>
  <si>
    <t>เด็กชายอาเดล มาตัดสา</t>
  </si>
  <si>
    <t>อาคารสถานที่</t>
  </si>
  <si>
    <t>ประชาสัมพันธ์</t>
  </si>
  <si>
    <t>22104</t>
  </si>
  <si>
    <t>นายอัฟฟาน อาแว</t>
  </si>
  <si>
    <t>สื่อสารสัมพันธ์(ไอที)</t>
  </si>
  <si>
    <t>22364</t>
  </si>
  <si>
    <t>นายมูฮำหมัดฟีรัส มะและ</t>
  </si>
  <si>
    <t>มวลชนสัมพันธ์</t>
  </si>
  <si>
    <t>เหรัญญิก</t>
  </si>
  <si>
    <t>24464</t>
  </si>
  <si>
    <t>นายฟุรกอน ชุติประสาร</t>
  </si>
  <si>
    <t>นายสิทธิพล หมัดซูโชติ</t>
  </si>
  <si>
    <t>22171</t>
  </si>
  <si>
    <t>22308</t>
  </si>
  <si>
    <t>นายมูฮัมหมัดอิมรอน เตาะมะ</t>
  </si>
  <si>
    <t>22366</t>
  </si>
  <si>
    <t>นายอิลฟาน สาหลำ</t>
  </si>
  <si>
    <t>22334</t>
  </si>
  <si>
    <t>นายอาฟานดี มณีหิยา</t>
  </si>
  <si>
    <t>22085</t>
  </si>
  <si>
    <t>นายมุสตอฟา เจะปอ</t>
  </si>
  <si>
    <t>24337</t>
  </si>
  <si>
    <t>นายมาร์รอซ บือแน</t>
  </si>
  <si>
    <t>22112</t>
  </si>
  <si>
    <t>นายฮาซัน หยงสตาร์</t>
  </si>
  <si>
    <t>นายมูฮำหมัดไซฟู อามะ</t>
  </si>
  <si>
    <t>นายซุรกอรนัย สาและ</t>
  </si>
  <si>
    <t>สภานักเรียน(หญิง)</t>
  </si>
  <si>
    <t>นางสาวนุชอัยนี แหลหมันไทย</t>
  </si>
  <si>
    <t>ฝ่ายปกครอง</t>
  </si>
  <si>
    <t>https://drive.google.com/open?id=19ziNbRO38x58c57pJVj5iz7wRif8Oxwb</t>
  </si>
  <si>
    <t>/</t>
  </si>
  <si>
    <t>ยังไม่จ่าย</t>
  </si>
  <si>
    <t>นางสาวฟิรฮานา อุปมา</t>
  </si>
  <si>
    <t>https://drive.google.com/open?id=1JEf7mrt_vCo6h3kTyezEH3IRKewhImFU</t>
  </si>
  <si>
    <t>นางสาวกูฟาราเดียร์ รงโซะ</t>
  </si>
  <si>
    <t>ฝ่ายวิชาการ</t>
  </si>
  <si>
    <t>https://drive.google.com/open?id=1wHDKRH0BAvCTFC-g0haq28eTfaLU5xXp</t>
  </si>
  <si>
    <t>นางสาวเอมี่ฟาตีฮะห์ ซามารูดิน</t>
  </si>
  <si>
    <t>ฝ่ายประชาสัมพันธ์</t>
  </si>
  <si>
    <t>https://drive.google.com/open?id=1yC2qiTiDEz_PuhaYR2T6FG0SGPfLfPa9</t>
  </si>
  <si>
    <t>จ่ายแล้ว(โอน)</t>
  </si>
  <si>
    <t>นางสาวอัสมะฮ์ หมะอุเส็น</t>
  </si>
  <si>
    <t>https://drive.google.com/open?id=1oIOHEc6EdKNDsOcWTWrGbmkKGjEu2VY8</t>
  </si>
  <si>
    <t>นางสาวซัซวานา เจ๊ะดาโอะ</t>
  </si>
  <si>
    <t>https://drive.google.com/open?id=1iKmXKWal58TtbjSzploZnSNMyWiS8ZCk</t>
  </si>
  <si>
    <t>23529</t>
  </si>
  <si>
    <t>นางสาวมานาล บาฮะ</t>
  </si>
  <si>
    <t>ฝ่ายสื่อสารสัมพันธ์(IT)</t>
  </si>
  <si>
    <t>https://drive.google.com/open?id=1dNuS6pwUD-FjFF2ZF5WFX4n1__yRRRB4</t>
  </si>
  <si>
    <t>นางสาวสุพัตรา กูนิง</t>
  </si>
  <si>
    <t>https://drive.google.com/open?id=1qJqbxne61RM1-tE-0YLOEHyWfhvV_Qf4</t>
  </si>
  <si>
    <t>นางสาวนุรฮามีมี กุโน</t>
  </si>
  <si>
    <t>https://drive.google.com/open?id=1Do_amrV08NJAN3G6RxkcWIqnln3M_NAK</t>
  </si>
  <si>
    <t>นางสาวนันทิตา มุสตาฟา</t>
  </si>
  <si>
    <t>https://drive.google.com/open?id=1Ho8MaYyKeP9tqbTt2xBppLSPAFF9eSZf</t>
  </si>
  <si>
    <t>นางสาวนูรอามาลีนา เมาตี</t>
  </si>
  <si>
    <t>ฝ่ายนันทนาการ</t>
  </si>
  <si>
    <t>https://drive.google.com/open?id=1LOFN2_TYnM8V-xkzSKtoSaUGnWcakG2c</t>
  </si>
  <si>
    <t>นางสาวรอฮายา เซ็งโซะ</t>
  </si>
  <si>
    <t>https://drive.google.com/open?id=1EaACEDBf3yE1GB808N8Pj98RDvuESV9L</t>
  </si>
  <si>
    <t>นางสาวนุรนัสรีณา เจ๊ะแว</t>
  </si>
  <si>
    <t>https://drive.google.com/open?id=1P7P81dtsdUqCdH-01B0nqnCqVtkCopkv</t>
  </si>
  <si>
    <t>นางสาวซะห์เร๊าะห์ รือแม</t>
  </si>
  <si>
    <t>https://drive.google.com/open?id=1UIzKBD0LwVN4azwKauJG9ADM4rplqeJO</t>
  </si>
  <si>
    <t>นางสาวจัสมิน เบ็ญอาหลี</t>
  </si>
  <si>
    <t>https://drive.google.com/open?id=1XUdTx041z6L-QY6rUzfYTljhnAospMbN</t>
  </si>
  <si>
    <t>นางสาวอะรีนา ลาไหน</t>
  </si>
  <si>
    <t>https://drive.google.com/open?id=19QQstHaHUP7BeTC210U05FgxvsSDTWyl</t>
  </si>
  <si>
    <t>นางสาวนูรอามาลียา เมาตี</t>
  </si>
  <si>
    <t>https://drive.google.com/open?id=11W-w3GsXCKUZSv5vLQAa1PctyM_WEz78</t>
  </si>
  <si>
    <t>นางสาวสิรัญยา พันธุสะ</t>
  </si>
  <si>
    <t>https://drive.google.com/open?id=1xhq6migK_PxjOJwvAmadpMeAgKRZlg2j</t>
  </si>
  <si>
    <t>นางสาวซาบีเราะห์ มะดีเยาะ</t>
  </si>
  <si>
    <t>https://drive.google.com/open?id=1fdcZPf0XyqTv7FJAufsaSfqTgjRc0mkG</t>
  </si>
  <si>
    <t>นางสาวนูรีซัน อาบ๊ะ</t>
  </si>
  <si>
    <t>ฝ่ายอาคารสถานที่</t>
  </si>
  <si>
    <t>https://drive.google.com/open?id=1XKReDxPddCusnJpB6jp4BU0M4FEffRER</t>
  </si>
  <si>
    <t>นางสาวซิลมี ปะจู</t>
  </si>
  <si>
    <t>https://drive.google.com/open?id=1vBLflZksns3GjT4N9toJzWM6crR1Py7t</t>
  </si>
  <si>
    <t>นางสาวโรสนานิง อ่อนเวียง</t>
  </si>
  <si>
    <t>https://drive.google.com/open?id=1svWqXMEkH32RZZo6NPiCwxcbhfESgj9a</t>
  </si>
  <si>
    <t>นางสาวปัตติมา อิมำกะจิ</t>
  </si>
  <si>
    <t>https://drive.google.com/open?id=19Klxa-4ah04Cl-RLSZmGZ5LbK-sY6g9z</t>
  </si>
  <si>
    <t>นางสาวมนัสนันท์ บุญสังข์</t>
  </si>
  <si>
    <t>https://drive.google.com/open?id=1OpJ-_FYslK2zDn9C-p8ihVs-6pynWgWy</t>
  </si>
  <si>
    <t>นางสาวแวยัสมีน วาเตะ</t>
  </si>
  <si>
    <t>https://drive.google.com/open?id=1qmALhv76hNWZ-dpX-99ymLEya3qtXtbk</t>
  </si>
  <si>
    <t>นางสาวคัสสิมา มะดาเร๊ะ</t>
  </si>
  <si>
    <t>https://drive.google.com/open?id=1PMP9QNlqZngubnffnRSffP6F7sVVDiKu</t>
  </si>
  <si>
    <t>นางสาวฟิรดาวส์ เตาะมะ</t>
  </si>
  <si>
    <t>https://drive.google.com/open?id=10SAclZHZQ60zyg4ic8duOhjWQXfp41sW</t>
  </si>
  <si>
    <t>เด็กหญิงนูรฟาตีฮะห์ สะอิ</t>
  </si>
  <si>
    <t>https://drive.google.com/open?id=1nxy78l9ow38MpvMwmLyQbSoL97JMkCvv</t>
  </si>
  <si>
    <t>นางสาวซาบีน่า แอนิ่ม</t>
  </si>
  <si>
    <t>https://drive.google.com/open?id=1DFOqn0shqyZdAymyWnt05Jf62JwPMrox</t>
  </si>
  <si>
    <t>นางสาวซาบีเกาะห์ มะดีเยาะ</t>
  </si>
  <si>
    <t>https://drive.google.com/open?id=1ZoMFw9hvvyuAdMXUdsskuiNef_K4YXBo</t>
  </si>
  <si>
    <t>นางสาวนูรนาฟาติน หะมะ</t>
  </si>
  <si>
    <t>https://drive.google.com/open?id=1drXAYADZq8QeV1qcV2fdV0A0DDhd_7aA</t>
  </si>
  <si>
    <t>นางสาววันฟิตรี หะยีสาแม</t>
  </si>
  <si>
    <t>https://drive.google.com/open?id=1YpNCiEw3JTpry_G2lYdr7g0_XdypPtRy</t>
  </si>
  <si>
    <t>นางสาวเจ๊ะจือมีเลาะห์ กือจิ</t>
  </si>
  <si>
    <t>https://drive.google.com/open?id=1hBiYIdjGPYfq6IQ2FwdxPRaSyxog6pn3</t>
  </si>
  <si>
    <t>นางสาวอัสมา เตาสัน</t>
  </si>
  <si>
    <t>https://drive.google.com/open?id=1O85N8z_0fDUI0nkd4tOvujUefsA-Mn0i</t>
  </si>
  <si>
    <t>นางสาวโซเฟีย มะแซ</t>
  </si>
  <si>
    <t>https://drive.google.com/open?id=1DLdew55BsxIZcdL_8Bwf3cRpNNODggCr</t>
  </si>
  <si>
    <t>เด็กหญิงนัชวา อภิบาลแบ</t>
  </si>
  <si>
    <t>https://drive.google.com/open?id=1NmhxMIjmLudQUAZzlitsj8ph0x1im8bV</t>
  </si>
  <si>
    <t>นางสาวอาฟีฟะห์ คาร์เดร์</t>
  </si>
  <si>
    <t>https://drive.google.com/open?id=1lIlNShSHs2NfFXrK2XlKD1eIQrhMZxeA</t>
  </si>
  <si>
    <t>นางสาวสุรัยยา สุหลง</t>
  </si>
  <si>
    <t>https://drive.google.com/open?id=1nPrnNBpoR0af-Ye2rL2SLXOxU9fQKTUI</t>
  </si>
  <si>
    <t>จ่ายแล้ว(เงินสด)</t>
  </si>
  <si>
    <t>นางสาวฟาเดีย สะอิ</t>
  </si>
  <si>
    <t>https://drive.google.com/open?id=12ItfYe3CSQzlzZwkMVshsYjYLOtwd-sy</t>
  </si>
  <si>
    <t>นางสาวฟิตรียะห์ ยีราตี</t>
  </si>
  <si>
    <t>ยังไม่ส่ง</t>
  </si>
  <si>
    <t>https://drive.google.com/open?id=1o49kEklDGlYO5WpGczKoMNFgf46VsLS7</t>
  </si>
  <si>
    <t>นางสาวฟาร่า เจ๊ะมิง</t>
  </si>
  <si>
    <t>https://drive.google.com/open?id=1-s5NCzkvhtjV3pktabWuySfOlwMcBT3V</t>
  </si>
  <si>
    <t>นางสาววาสินีย์ สาและ</t>
  </si>
  <si>
    <t>https://drive.google.com/open?id=1VCXwk2SzzWue8PuW3fCnr8y7FPm3ciGU</t>
  </si>
  <si>
    <t>นางสาวฟัตนียะห์ ปะจิ</t>
  </si>
  <si>
    <t>https://drive.google.com/open?id=11tmLaID24ayvVqxBsN2YNzZGTkYXo45M</t>
  </si>
  <si>
    <t>นางสาวนาดา โต๊ะเด็ง</t>
  </si>
  <si>
    <t>https://drive.google.com/open?id=1_YogRFdkT845NENjgQB1Phpz2bWiD18E</t>
  </si>
  <si>
    <t>นางสาวสูมัยยะห์ อาลีมามะ</t>
  </si>
  <si>
    <t>https://drive.google.com/open?id=1rx6RdxTSpq7HlveO4OKgISlH38ZjHoLx</t>
  </si>
  <si>
    <t>นางสาวนูรีฮัน ยามา</t>
  </si>
  <si>
    <t>https://drive.google.com/open?id=1m5epFNw1W-uQM7a-VbXtzh4-Z2SVeisQ</t>
  </si>
  <si>
    <t>นางสาวนุสรา มิน่าวัง</t>
  </si>
  <si>
    <t>https://drive.google.com/open?id=17z1u59DZidxcgZXoGpLtciHeW9kbMAkd</t>
  </si>
  <si>
    <t>นางสาวอาดีลา อับดุลวาฮับ</t>
  </si>
  <si>
    <t>https://drive.google.com/open?id=1smMRZXBu7fSFutfNQV4XQyD1TcqzMsSL</t>
  </si>
  <si>
    <t>นางสาวกูนาซูฮา มอหะหมัด</t>
  </si>
  <si>
    <t>https://drive.google.com/open?id=1P2qp3HIp8TgzslkovjzK9fchBTuK_wir</t>
  </si>
  <si>
    <t>คอลัมน์ 1</t>
  </si>
  <si>
    <t>stCode</t>
  </si>
  <si>
    <t>ชื่อ</t>
  </si>
  <si>
    <t>สกุล</t>
  </si>
  <si>
    <t>qr</t>
  </si>
  <si>
    <t>dp</t>
  </si>
  <si>
    <t>Column 8</t>
  </si>
  <si>
    <t>24864_อัฟฎอล_หะยีจิ_ม.3/1|อก.2/1_🕌 ศาสนสัมพันธ์(อีบาดัต)</t>
  </si>
  <si>
    <t>ม.3/1|อก.2/1</t>
  </si>
  <si>
    <t>24892_อาลีฟ_หะยีมิง_ม.3/5|อก.3/10_🎉 สวัสดิการ/นันทนาการ</t>
  </si>
  <si>
    <t>ม.3/5|อก.3/10</t>
  </si>
  <si>
    <t>25004_ฮิซมาน_หีมใบ_ม.3/5|อก.3/10_📢 ประชาสัมพันธ์</t>
  </si>
  <si>
    <t>24173_คัสราฟีย์_สามะ_ม.4/1|อก.3/1_🕌 ศาสนสัมพันธ์(อีบาดัต)</t>
  </si>
  <si>
    <t>ม.4/1|อก.3/1</t>
  </si>
  <si>
    <t>23687_จักรินทร์_เหมสัน_ม.5/5|อป.2/5_💻 สื่อสารมวลชน(ไอที)</t>
  </si>
  <si>
    <t>ม.5/5|อป.2/5</t>
  </si>
  <si>
    <t>23974_เจษฎากร_อภิพัฒน์พลากร_ม.5/8|อป.2/8_👮 ปกครอง</t>
  </si>
  <si>
    <t>ม.5/8|อป.2/8</t>
  </si>
  <si>
    <t>26771_ชารีฟ_แซมาลี_ม.4/2|อป.1/2_👮 ปกครอง</t>
  </si>
  <si>
    <t>ม.4/2|อป.1/2</t>
  </si>
  <si>
    <t>23656_ซาการียา_ยอยเหาะ_ม.5/8|อป.2/8_🕌 ศาสนสัมพันธ์(อีบาดัต)</t>
  </si>
  <si>
    <t>23398_ซาบูดีน_สิริเต๊ะ_ม.5/5|อป.2/5_📚 วิชาการ</t>
  </si>
  <si>
    <t>25925_ซีรอจญ์_ฮัดญีสิดดิก_ม.5/8|อป.2/8_📝 เลขานุการ</t>
  </si>
  <si>
    <t>23877_นัศรุจน์_ทันยุภัก_ม.5/5|อป.2/5_👮 ปกครอง</t>
  </si>
  <si>
    <t>23379_นินิสฟูร์_สะแต_ม.5/6|อป.2/6_🕌 ศาสนสัมพันธ์(อีบาดัต)</t>
  </si>
  <si>
    <t>ม.5/6|อป.2/6</t>
  </si>
  <si>
    <t>25434_นูรูดีน_ใบโสะดำ_ม.5/1|อก.2/1_🏢 อาคารสถานที่</t>
  </si>
  <si>
    <t>ม.5/1|อก.2/1</t>
  </si>
  <si>
    <t>26147_ฟิตดุลยา_เจ๊ะหะ_ม.4/2|อก.1/14_🏢 อาคารสถานที่</t>
  </si>
  <si>
    <t>ม.4/2|อก.1/14</t>
  </si>
  <si>
    <t>25658_ฟิรฮาน_หัตถประดิษฐ์_ม.5/5|อป.2/5_👮 ปกครอง</t>
  </si>
  <si>
    <t>24355_ม.คอเล็ฎ_เจะเละ_ม.4/6|อป.1/6_💻 สื่อสารมวลชน(ไอที)</t>
  </si>
  <si>
    <t>ม.4/6|อป.1/6</t>
  </si>
  <si>
    <t>นายมูฮัมหมัดจัฟรี ตาเยะ</t>
  </si>
  <si>
    <t>25598_ม.จัฟรี_ตาเยะ_ม.5/5|อป.2/5_💻 สื่อสารมวลชน(ไอที)</t>
  </si>
  <si>
    <t>24282_ม.ซาซูวัน_คาเร็ง_ม.4/6|อป.1/6_👮 ปกครอง</t>
  </si>
  <si>
    <t>23427_ม.ฟิรดาว_อาแวกือจิ_ม.5/1|อก.3/3_🕌 ศาสนสัมพันธ์(อีบาดัต)</t>
  </si>
  <si>
    <t>ม.5/1|อก.3/3</t>
  </si>
  <si>
    <t>23639_ม.ไฟศอล_เฆดา_ม.5/1|อก.3/3_👮 ปกครอง</t>
  </si>
  <si>
    <t>26061_รัชชานนท์_เชาว์ช่าง_ม.4/1|อป.1/1_👮 ปกครอง</t>
  </si>
  <si>
    <t>ม.4/1|อป.1/1</t>
  </si>
  <si>
    <t>23397_ลุฐฟีย์_บือราเฮง_ม.5/8|อป.2/8_🕌 ศาสนสัมพันธ์(อีบาดัต)</t>
  </si>
  <si>
    <t>23349_วิทยา_อาหมัด_ม.5/5|อป.2/5_🏢 อาคารสถานที่</t>
  </si>
  <si>
    <t>23759_แวฮาซิร_หะยีสะอิ_ม.5/7|อป.2/7_🕌 ศาสนสัมพันธ์(อีบาดัต)</t>
  </si>
  <si>
    <t>ม.5/7|อป.2/7</t>
  </si>
  <si>
    <t>26782_อนัส_เจะหมาด_ม.4/2|อป.1/2_🕌 ศาสนสัมพันธ์(อีบาดัต)</t>
  </si>
  <si>
    <t>24273_อัชรอฟ_อับดุลวาฮับ_ม.4/6|อป.1/6_👮 ปกครอง</t>
  </si>
  <si>
    <t>23520_อัซซูวา_ยาโงะ_ม.5/1|อก.3/3_🏢 อาคารสถานที่</t>
  </si>
  <si>
    <t>23597_อับดุลมุตตอเล็บ_เหมหมัด_ม.5/8|อป.2/8_👮 ปกครอง</t>
  </si>
  <si>
    <t>23618_อัฟฟาน_เซะมิง_ม.5/1|อก.3/3_👮 ปกครอง</t>
  </si>
  <si>
    <t>26577_อัรฟาน_มะเด็ง_ม.4/2|อก.1/14_🏢 อาคารสถานที่</t>
  </si>
  <si>
    <t>23694_อัสซีซัน_บินเตล็บ_ม.5/5|อป.2/5_🏢 อาคารสถานที่</t>
  </si>
  <si>
    <t>23629_อาเดล_มาตัดสา_ม.5/1|อก.3/3_🤝 รองประธานสภานักเรียน</t>
  </si>
  <si>
    <t>23420_อามีร_เจ๊ะโซะ_ม.5/5|อป.2/5_👮 ปกครอง</t>
  </si>
  <si>
    <t>25757_อารีฟ_อับดุลลาเตะ_ม.5/5|อป.2/5_🏢 อาคารสถานที่</t>
  </si>
  <si>
    <t>24210_อาลาวีย์_สลำเหม_ม.4/1|อก.3/1_📚 วิชาการ</t>
  </si>
  <si>
    <t>23630_อิคลาศ_แวสุหลง_ม.5/6|อป.2/6_🕌 ศาสนสัมพันธ์(อีบาดัต)</t>
  </si>
  <si>
    <t>23381_อิซรอฟ_ตาเยะ_ม.5/6|อป.2/6_👮 ปกครอง</t>
  </si>
  <si>
    <t>24307_ฮาฟิซ_อิจิ_ม.4/6|อป.1/6_🕌 ศาสนสัมพันธ์(อีบาดัต)</t>
  </si>
  <si>
    <t>ม.5/1|อป.1/1</t>
  </si>
  <si>
    <t>23788_ฮูซัยฟี_เจะเลาะ_ม.5/5|อป.2/5_👑 ประธานสภานักเรียน</t>
  </si>
  <si>
    <t>24775_ญานูรี_สาหลำ_ม.3/10|อก.3/12_🏢 อาคารสถานที่</t>
  </si>
  <si>
    <t>ม.3/10|อก.3/12</t>
  </si>
  <si>
    <t>หญิง</t>
  </si>
  <si>
    <t>24760_นัจมีย์_สามะ_ม.3/9|อก.3/7_🏢 อาคารสถานที่</t>
  </si>
  <si>
    <t>ม.3/9|อก.3/7</t>
  </si>
  <si>
    <t>24777_นัซรินทร์_สาและ_ม.3/10|อก.3/12_🎉 สวัสดิการ/นันทนาการ</t>
  </si>
  <si>
    <t>24964_บิสมิลล์_กูโน_ม.3/10|อก.3/12_🎉 สวัสดิการ/นันทนาการ</t>
  </si>
  <si>
    <t>25074_รุสนา_วันยี_ม.3/10|อก.3/12_🏢 อาคารสถานที่</t>
  </si>
  <si>
    <t>24745_รูกัยหยะฮ_ก่องสามัน_ม.3/10|อก.3/12_🎉 สวัสดิการ/นันทนาการ</t>
  </si>
  <si>
    <t>24937_วันนูรญาวารี_ดอเลาะ_ม.3/11|อก.3/11_🎉 สวัสดิการ/นันทนาการ</t>
  </si>
  <si>
    <t>ม.3/11|อก.3/11</t>
  </si>
  <si>
    <t>24901_ฮันนาน_แซ่เตียว_ม.3/5|อก.3/10_📢 ประชาสัมพันธ์</t>
  </si>
  <si>
    <t>24115_ฟิรดาวน์_ลาดอ_ม.4/8|อป.1/8_📢 ประชาสัมพันธ์</t>
  </si>
  <si>
    <t>ม.4/8|อป.1/8</t>
  </si>
  <si>
    <t>26212_ชนันธิดา_เขียวสด_ม.4/7|อป.1/7_🏢 อาคารสถานที่</t>
  </si>
  <si>
    <t>ม.4/7|อป.1/7</t>
  </si>
  <si>
    <t>26342_ซอลีฮะห์_สาเมาะ_ม.4/10|อป.1/4_📚 วิชาการ</t>
  </si>
  <si>
    <t>ม.4/10|อป.1/4</t>
  </si>
  <si>
    <t>24234_ซัลซาบีลา_หะนั่ง_ม.4/6|อป.1/6_📢 ประชาสัมพันธ์</t>
  </si>
  <si>
    <t>24233_ซัลมี_ฮามะ_ม.4/6|อป.1/6_🕌 ศาสนสัมพันธ์(อีบาดัต)</t>
  </si>
  <si>
    <t>23388_ซัลวา_ปะดอดา_ม.5/3|อป.1/3_👮 ปกครอง</t>
  </si>
  <si>
    <t>ม.5/3|อป.1/3</t>
  </si>
  <si>
    <t>25982_ซารีนา_หมัดอาด้ำ_ม.5/8|อป.2/8_🤝 รองประธานสภานักเรียน</t>
  </si>
  <si>
    <t>24256_ซีรินณ์_ยูโซะ_ม.4/5|อป.1/5_💻 สื่อสารมวลชน(ไอที)</t>
  </si>
  <si>
    <t>ม.4/5|อป.1/5</t>
  </si>
  <si>
    <t>24158_ซีรีน_สะมะแอ_ม.4/5|อป.1/5_🎉 สวัสดิการ/นันทนาการ</t>
  </si>
  <si>
    <t>24022_ซูรัยดา_บากาประเสริฐ_ม.4/3|อก.3/15_👮 ปกครอง</t>
  </si>
  <si>
    <t>ม.4/3|อก.3/15</t>
  </si>
  <si>
    <t>23804_ซูไรดา_เดนหะ_ม.5/3|อป.1/3_👮 ปกครอง</t>
  </si>
  <si>
    <t>24008_ตัสนีม_มันปุ_ม.4/7|อป.1/7_📚 วิชาการ</t>
  </si>
  <si>
    <t>25772_นรรจวา_อาแด_ม.5/8|อป.2/8_👮 ปกครอง</t>
  </si>
  <si>
    <t>23636_นัจญวา_ล่าหับ_ม.5/6|อป.2/6_🏢 อาคารสถานที่</t>
  </si>
  <si>
    <t>23380_นัจมีญร์_ดายี_ม.5/8|อป.2/8_👮 ปกครอง</t>
  </si>
  <si>
    <t>23818_นัชวา_อภิบาลแบ_ม.5/4|อก.3/18_👮 ปกครอง</t>
  </si>
  <si>
    <t>ม.5/4|อก.3/18</t>
  </si>
  <si>
    <t>24094_นัซนีม_ดือราแม_ม.4/6|อป.1/6_🕌 ศาสนสัมพันธ์(อีบาดัต)</t>
  </si>
  <si>
    <t>23739_นัซรินทร์_ดาราแม_ม.5/6|อป.2/6_🕌 ศาสนสัมพันธ์(อีบาดัต)</t>
  </si>
  <si>
    <t>26522_นัตตรีเซีย_สองเมือง_ม.4/7|อป.1/7_💻 สื่อสารมวลชน(ไอที)</t>
  </si>
  <si>
    <t>23501_นัสริน_หะยีบากา_ม.5/6|อป.2/6_🎉 สวัสดิการ/นันทนาการ</t>
  </si>
  <si>
    <t>24176_นาดียา_แซแม็ง_ม.4/7|อป.1/7_📚 วิชาการ</t>
  </si>
  <si>
    <t>24050_นารีตา_สาแมแน็ง_ม.4/3|อก.3/15_🏢 อาคารสถานที่</t>
  </si>
  <si>
    <t>24250_นาวัล_มีนา_ม.4/7|อป.1/7_💻 สื่อสารมวลชน(ไอที)</t>
  </si>
  <si>
    <t>24331_นิฟาติน_ดาโอ๊ะ_ม.4/3|อก.3/15_🏢 อาคารสถานที่</t>
  </si>
  <si>
    <t>24275_นิอาลียา_เจะแม_ม.4/6|อป.1/6_🕌 ศาสนสัมพันธ์(อีบาดัต)</t>
  </si>
  <si>
    <t>24300_นุรดีนี_สุหลง_ม.4/6|อป.1/6_🕌 ศาสนสัมพันธ์(อีบาดัต)</t>
  </si>
  <si>
    <t>24238_นุรมี_คอแบ๊ะ_ม.4/6|อป.1/6_🕌 ศาสนสัมพันธ์(อีบาดัต)</t>
  </si>
  <si>
    <t>23771_นูรฟิสรี_เหตุหาก_ม.5/8|อป.2/8_📝 เลขานุการ</t>
  </si>
  <si>
    <t>24454_นูรฮายาตี_สุหลง_ม.4/3|อก.3/15_🏢 อาคารสถานที่</t>
  </si>
  <si>
    <t>23488_นูรฮีดายะห์_อาฮา_ม.5/6|อป.2/6_🎉 สวัสดิการ/นันทนาการ</t>
  </si>
  <si>
    <t>25595_นูรีตา_สาแม_ม.5/3|อก.2/13_🕌 ศาสนสัมพันธ์(อีบาดัต)</t>
  </si>
  <si>
    <t>ม.5/3|อก.2/13</t>
  </si>
  <si>
    <t>23358_เบนาซี_ดาระโจะ_ม.5/3|อป.1/3_👑 ประธานสภานักเรียน</t>
  </si>
  <si>
    <t>23644_ฟาดียะห์_ปาเนาะ_ม.5/6|อป.2/6_🕌 ศาสนสัมพันธ์(อีบาดัต)</t>
  </si>
  <si>
    <t>24142_ฟาตีเม๊าะ_ดอเลาะ_ม.4/8|อป.1/8_🏢 อาคารสถานที่</t>
  </si>
  <si>
    <t>24357_ฟิรดาว_ยาลอ_ม.4/4|อป.1/4_🎉 สวัสดิการ/นันทนาการ</t>
  </si>
  <si>
    <t>ม.4/4|อป.1/4</t>
  </si>
  <si>
    <t>24175_ฟิร์ดาว_สากา_ม.4/8|อป.1/8_📢 ประชาสัมพันธ์</t>
  </si>
  <si>
    <t>23662_มาริษา_มูนะ_ม.5/9|อป.2/1_🕌 ศาสนสัมพันธ์(อีบาดัต)</t>
  </si>
  <si>
    <t>ม.5/9|อป.2/1</t>
  </si>
  <si>
    <t>24025_มุสลีมะฮ์_สมาน_ม.4/3|อก.3/15_🏢 อาคารสถานที่</t>
  </si>
  <si>
    <t>24393_รอยฮาน_ตาเยาะ_ม.4/5|อป.1/5_👮 ปกครอง</t>
  </si>
  <si>
    <t>24070_วาสินี_สันบากอ_ม.4/3|อก.3/15_💻 สื่อสารมวลชน(ไอที)</t>
  </si>
  <si>
    <t>24006_โศรายา_จินตารา_ม.4/3|อก.3/15_👮 ปกครอง</t>
  </si>
  <si>
    <t>26344_สาธิตา_ดอแนเล๊าะ_ม.4/7|อป.1/7_🎉 สวัสดิการ/นันทนาการ</t>
  </si>
  <si>
    <t>24453_สีตีอาอีเส๊าะ_สุหลง_ม.4/7|อป.1/7_📚 วิชาการ</t>
  </si>
  <si>
    <t>23845_อันดา_เจะหะ_ม.5/3|อป.1/3_👮 ปกครอง</t>
  </si>
  <si>
    <t>26340_อาตีน่า_มาลารัตน์_ม.4/2|อก.1/14_📢 ประชาสัมพันธ์</t>
  </si>
  <si>
    <t>23347_อามัล_อิละละ_ม.5/6|อป.2/6_🕌 ศาสนสัมพันธ์(อีบาดัต)</t>
  </si>
  <si>
    <t>23451_อาลีซา_สาและ_ม.5/3|อป.1/3_👮 ปกครอง</t>
  </si>
  <si>
    <t>24105_อิฟตีซาน_สานิ_ม.4/4|อป.1/4_🎉 สวัสดิการ/นันทนาการ</t>
  </si>
  <si>
    <t>24093_อุษวาตี_วาหะ_ม.4/5|อป.1/5_📚 วิชาการ</t>
  </si>
  <si>
    <t>24144_ฮัยซูม_ดามัน_ม.4/7|อป.1/7_💻 สื่อสารมวลชน(ไอที)</t>
  </si>
  <si>
    <t>____</t>
  </si>
  <si>
    <t>ชื่อ - สกุล</t>
  </si>
  <si>
    <t>รูป</t>
  </si>
  <si>
    <t>General Class</t>
  </si>
  <si>
    <t>Religion Class</t>
  </si>
  <si>
    <t>General Grade</t>
  </si>
  <si>
    <t>Religion Grade</t>
  </si>
  <si>
    <t>Video Link</t>
  </si>
  <si>
    <t>Certificate Link</t>
  </si>
  <si>
    <t>Video Link 2</t>
  </si>
  <si>
    <t>Status</t>
  </si>
  <si>
    <t>19/8/2025, 20:38:13</t>
  </si>
  <si>
    <t>female</t>
  </si>
  <si>
    <t>3.35</t>
  </si>
  <si>
    <t>3.58</t>
  </si>
  <si>
    <t>เพราะ อยากมีบทบาทในหน้าที่วิชาการสภานักเรียน  เป็นสิ่งที่รอคอยมาตลอด 2 ปีเต็ม  หนูรู้ค่ะว่าไม่ใช่ใครจะทำก็ได้ค่ะ สำหรับหนูวิชาการไม่ใช่แค่เรื่องเรียน แต่มันคือประตูสู่ความเป็นไปได้ใหม่ๆ หนูอยากทำให้ทุกกิจกรรมของวิชาการเป็นกิจกรรมที่สนุก และเป็นพื้นที่ที่ทุกคนค้นพบศักยภาพของตนเองค่ะ หนูมั่นใจว่าตัวเองจะทำได้ หากหนูพยายาม แต่หนูจะทำให้เต็มที่ที่สุดและสุดความสามารถค่ะ ถ้าหนูได้เป็นสภานักเรียน หนูจะทุ่มเททั้งแรงกายและแรงใจเลยค่ะ ขอบคุณค่ะ</t>
  </si>
  <si>
    <t>https://drive.google.com/drive/folders/17Y4xXlVsgVUPh9Bgwy0hhaT7LIKBVEJY?usp=sharing</t>
  </si>
  <si>
    <t>https://drive.google.com/file/d/14Zm_VAOtZ7vgSRUOdH7DpaSFddow4pJL/view?usp=sharing</t>
  </si>
  <si>
    <t>approved</t>
  </si>
  <si>
    <t>2025-08-19T13:38:13.214Z</t>
  </si>
  <si>
    <t>19/8/2025, 21:45:23</t>
  </si>
  <si>
    <t>2.5</t>
  </si>
  <si>
    <t>2.82</t>
  </si>
  <si>
    <t>ส่วนตัวหนูชอบในการพูดการสื่อสารและการใช้ไมค์ซึ้งฝ่ายประชาสัมพันธ์นั้นตอบโจทย์สำหรับหนูที่สุดแล้วค่ะและหวังว่าในปีนี้หนูจะได้เป็นสภาดั่งความหวังที่หนูตั้งไว้ ขอบคุณค่ะ</t>
  </si>
  <si>
    <t>https://drive.google.com/drive/folders/1X7VbOvbp7sCuTcPhifOiMi2wMbb6zFyY</t>
  </si>
  <si>
    <t>https://drive.google.com/drive/folders/1-f4gYlaOIU0zCpOnfP1E5keSw8QAUU_P</t>
  </si>
  <si>
    <t>rejected</t>
  </si>
  <si>
    <t>2025-08-19T14:45:23.073Z</t>
  </si>
  <si>
    <t>19/8/2025, 21:52:24</t>
  </si>
  <si>
    <t>3.77</t>
  </si>
  <si>
    <t>ดิฉันอยากช่วยดูแลความเป็นระเบียบอย่างความเข้าใจและความรับผิดชอบและคือโอกาสที่จะช่วยโรงเรียนให้น่าอยู่และดิฉันสามารถช่วยเพื่อนๆปฏิบัติได้อย่างถูกต้องอีกเหตุผลคือดิฉันอยากพัฒนาตนเองให้มีความมีวินัย รับผิดชอบมากขึ้นและฝึกความเป็นผู้นำอย่างแท้จริงค่ะ</t>
  </si>
  <si>
    <t>https://l.instagram.com/?u=https%3A%2F%2Fdrive.google.com%2Fdrive%2Ffolders%2F1HBRRba-yAa0g5Wu52a1xH64L9Q3nyZgk&amp;e=AT1UwHVwyMyQaw2MDj8eRfUMXIB_LY5jEWsNGnQYVMNM1Rn-k6W-3WObgt84KnkizNrV7TmaWL92dfZuRsM59fgHLipJbzceLWN1w1N-N2u4CkUOxmllDmYSQ5H4fW1z919UyrQ-Wel0</t>
  </si>
  <si>
    <t>https://l.instagram.com/?u=https%3A%2F%2Fdrive.google.com%2Fdrive%2Ffolders%2F1Zh3YLyVtlUggQ1SYJqE2Au6HX_K6WNx3&amp;e=AT2ZVDMDBEvECeYnkem88tIkO26aCTHSK2e9xS4NYv88gyUl6roiKkj-UD4OKoyEIUlnNu99xhnNqCeIB-31GLM8xZlUScuGI2RLa1DxGcf1cxFEjRlEKJBDT7nr</t>
  </si>
  <si>
    <t>2025-08-19T14:52:23.881Z</t>
  </si>
  <si>
    <t>19/8/2025, 22:00:31</t>
  </si>
  <si>
    <t>สวัสดิการ(นันทนาการ)</t>
  </si>
  <si>
    <t>3.7</t>
  </si>
  <si>
    <t>3.81</t>
  </si>
  <si>
    <t>ดิฉันอาจไม่ใช่คนที่ตลกที่สุด หรือพูดเก่งที่สุด แต่ดิฉันคือคนที่อยากเห็นทุกคนสนุกไปด้วยกัน อยากสร้างช่วงเวลาที่แม้จะสั้น แต่ทำให้คนจดจำได้นาน เพราะสำหรับดิฉัน ฝ่ายนันทนาการไม่ใช่แค่ความบันเทิง — แต่มันคือการเชื่อมคน แปลงความเครียดเป็นรอยยิ้ม และเปลี่ยนวันธรรมดาให้กลายเป็นวันที่พิเศษ</t>
  </si>
  <si>
    <t>https://l.instagram.com/?u=https%3A%2F%2Fdrive.google.com%2Fdrive%2Ffolders%2F1-9KFsCT-Vh9jZ2LLzCeXLBYNBELs06Q7&amp;e=AT3aycv0XW6OPvWBX1OxavQnbbH8GW4S0wxIghws3tbiGVVYlvufXAmQO9oVtgHYmgwNf8xlk45T9AHY7U5ZGERPThxtczRHhcBevGyimCyxCSdFpfD7Hw0YVe-boM7ykQhnPPRh1J02</t>
  </si>
  <si>
    <t>https://l.instagram.com/?u=https%3A%2F%2Fdrive.google.com%2Ffile%2Fd%2F1-AnmFuqg5POv4jkjZZp7yrLC0RZsiwoJ&amp;e=AT1Bafe9UO7oc67nsLyO_8MOPzQNqMaPbSeDnjtHnJsrG0iStvwQ5CFDXpV9bVbMvLnkfUf5SS8hZRAT3_VCgjZZPsxtiiTTY-tTFVdniUiL3oGSPZSSAFKPBcjYSKEXq6nw0nenn-HQ</t>
  </si>
  <si>
    <t>2025-08-19T15:00:30.828Z</t>
  </si>
  <si>
    <t>20/8/2025, 0:09:50</t>
  </si>
  <si>
    <t>2.78</t>
  </si>
  <si>
    <t>3.33</t>
  </si>
  <si>
    <t>หนูอยากทำงานฝ่ายนี้เพราะเป็นงานที่ตรงกับความสนใตของหนูและหนูรู้สึกว่าการได้จัดกิจกรรมสนุกๆให้เพื่อนๆมันน่าสนใจแลัหนูอยากมีส้วนช่วยให้เพื่อนๆได้สนุกและได้มีส่วนร่วม</t>
  </si>
  <si>
    <t>https://drive.google.com/drive/folders/1SmfPfY428vtW5POjCO_LG8A3pOz3Ft1U</t>
  </si>
  <si>
    <t>https://drive.google.com/file/d/1SqiKshQgAkuvk3FcxUHVlTGUl79iRZ9I/view?usp=drivesdk</t>
  </si>
  <si>
    <t>2025-08-19T17:09:50.494Z</t>
  </si>
  <si>
    <t>20/8/2025, 20:09:25</t>
  </si>
  <si>
    <t>3.87</t>
  </si>
  <si>
    <t>เหตุผลคือ ดิฉันชอบเข้าร่วมกิจกรรม ชอบความบันเทิง ความสนุกเฮฮาเเละเสียงหัวเราะพร้อมกับ
อยากให้โรงเรียนให้ความสำคัญกับกิจกรรมมากยิ่งขึ้น อยากให้ทุกคนที่เข้าร่วมกิจกรรมมาผ่อนคลายความเครียดกับการเรียนมากค่ะ ดังนั้นดิฉันคิดว่า ดิฉันมีความสามารถที่จะเป็นสภาหญิงฝ่ายนันทนาการได้ค่ะ</t>
  </si>
  <si>
    <t>https://l.instagram.com/?u=https%3A%2F%2Fdrive.google.com%2Fdrive%2Ffolders%2F1-K8f_8OZUGkr1nWUU_2KOXHCgmMcE8jO&amp;e=AT3sdmOvTAc2TXvuZdNPR4nWgIc25Kht6UxoYtV1om0hrF7i7InrdD2zTn7zN3-aiU8UCPUUB2MQsW-fMMMHDFQ2Tvf0_IsrScqMRt0xclmrkSDjLS9eDq5LLpHs-Q3WFZ9gofWA4VW1</t>
  </si>
  <si>
    <t>https://l.instagram.com/?u=https%3A%2F%2Fdrive.google.com%2Fdrive%2Ffolders%2F1-IbX4Znpg4Ddvw7GzjfjLf3miYaVuar_&amp;e=AT2r-wGEK4H-UURMatadBehMQJPCLEgpiCj9s__6apbx5mKA9eOWlOLzWUfcnBxQMjxx9S7NCAheXskB-UaXiXlfzXH3WVZDQXyOKB4j4A4QaF4WHSzPbVGgv4s3</t>
  </si>
  <si>
    <t>2025-08-20T13:09:25.445Z</t>
  </si>
  <si>
    <t>19/8/2025, 22:12:56</t>
  </si>
  <si>
    <t>2.99</t>
  </si>
  <si>
    <t>3.69</t>
  </si>
  <si>
    <t>หนูชอบพูดชอบสื่อสาร เเละมีความมั่นใจในการประกาศเเละบอกข้อมูลข่าวสารให้ทุกคนได้รับรู้ เเละเยากทำให้การสื่อสารภายในโรงเรียนราบรื่นมากขึ้นค่ะ</t>
  </si>
  <si>
    <t>https://drive.google.com/drive/folders/10e5M6YE_BsG8Kbw1HC_rtvFLtQdUUw2K</t>
  </si>
  <si>
    <t>2025-08-19T15:12:55.957Z</t>
  </si>
  <si>
    <t>24/8/2025, 19:41:24</t>
  </si>
  <si>
    <t>2.94</t>
  </si>
  <si>
    <t>3.18</t>
  </si>
  <si>
    <t>ดิฉันสนใจทำงานฝ่ายอีบาดัตเพราะอยากพัฒนาความรับผิดชอบและตรงต่อเวลา มีวินัยในการปฏิบัตรทางด้านศาสนาและอยากเชิญชวนเพื่อนนักเรียนให้ละหมาดตรงต่อเวลาและปฏิบัติศาสนาได้อย่างถูกต้องค่ะ
ดิฉันเชื่อว่าการทำงานฝ่ายนี้จะช่วยให้ตัวเองเติบโตทั้งด้านความรู้และนิสัยที่ดีค่ะ</t>
  </si>
  <si>
    <t>https://drive.google.com/drive/folders/1OJaZom5EPXxD5twX-7oQ1PAk1zZtd_m_</t>
  </si>
  <si>
    <t>https://drive.google.com/file/d/1n9V6IQpPvSz-5FBsu7q7batUZL8gO4rA/view?usp=drivesdk</t>
  </si>
  <si>
    <t>2025-08-24T12:41:23.502Z</t>
  </si>
  <si>
    <t>20/8/2025, 22:30:38</t>
  </si>
  <si>
    <t>3.78</t>
  </si>
  <si>
    <t>ฉันอยากเป็นสภาฝ่ายปกครอง เพราะฉันมองว่าการปกครองไม่ใช่แค่การบังคับหรือการลงโทษ แต่คือการสร้าง “วินัยเชิงบวก” ให้กับเพื่อน ๆ ในโรงเรียน หลายครั้งที่คำว่า “ปกครอง” ถูกมองว่าเข้มงวด ดุ หรือทำให้ใครบางคนรู้สึกอึดอัด แต่ฉันอยากทำให้เพื่อน ๆ เห็นว่าความมีระเบียบวินัยจริง ๆ แล้วคือพื้นฐานของอิสระ ถ้าเราเรียนรู้ที่จะเคารพกฎ เราก็จะมีเสรีภาพในการใช้ชีวิตร่วมกับคนอื่นได้อย่างสงบสุข</t>
  </si>
  <si>
    <t>https://drive.google.com/drive/folders/1dpACQeJxABSAIrUK_rXXLnx3QNZNmCwk</t>
  </si>
  <si>
    <t>https://drive.google.com/file/d/1K741SclJdiXjZFwUI4ymintLCKGqYM0O/view?usp=drivesdk</t>
  </si>
  <si>
    <t>2025-08-20T15:30:37.782Z</t>
  </si>
  <si>
    <t>18/8/2025, 17:11:37</t>
  </si>
  <si>
    <t>3.95</t>
  </si>
  <si>
    <t>3.99</t>
  </si>
  <si>
    <t>มีความสนใจในด้านนี้และคิดว่าตัวเองสามารถพัฒนาให้ดีขึ้น</t>
  </si>
  <si>
    <t>https://drive.google.com/file/d/1LdTnrRsK3eRfzaApYbtpn8FTJ4zJAy1Q/view?usp=drivesdk</t>
  </si>
  <si>
    <t>https://drive.google.com/file/d/1P8EqqnEC-ecm0LPmEr-Vn-FI9q1GKd7k/view?usp=drivesdk</t>
  </si>
  <si>
    <t>2025-08-18T10:11:36.614Z</t>
  </si>
  <si>
    <t>11/8/2025, 12:01:54</t>
  </si>
  <si>
    <t>3.16</t>
  </si>
  <si>
    <t>3.6</t>
  </si>
  <si>
    <t>อยากให้ตัวเองกล้าแสดงออก อยากพัฒนาโรงเรียนค่ะ
อยากให้ตัวเองเผชิญความกล้าและอยากหาประสบการณ์การเป็นผู้นําอีกค่ะ</t>
  </si>
  <si>
    <t>https://drive.google.com/drive/folders/1DXdNC6e05q-YadvM4nq55DsWvHwu78-g</t>
  </si>
  <si>
    <t>https://drive.google.com/drive/folders/1-3K-Pqqn40n95dFaDWRfR_pbY1sC6KWB</t>
  </si>
  <si>
    <t>2025-08-11T05:01:53.839Z</t>
  </si>
  <si>
    <t>18/8/2025, 8:45:14</t>
  </si>
  <si>
    <t>3.43</t>
  </si>
  <si>
    <t>3.75</t>
  </si>
  <si>
    <t>อยากเป็นผู้นำและผู้ตามที่ดี อยากมีความ
รับผิดชอบมากขึ้น และเป็นแบบอย่างที่ดี
ให้กับน้องๆ จึงอยากคว้าโอกาสนี้ เพื่อพัฒนา
ตัวเองและโรงเรียน</t>
  </si>
  <si>
    <t>https://drive.google.com/drive/folders/1LYWM8L5zLDfwj99_246rOeiScGBX51AT</t>
  </si>
  <si>
    <t>https://drive.google.com/drive/folders/1CIKaY0-nfvchcVeSggbphcBLAVAK1Vmy</t>
  </si>
  <si>
    <t>2025-08-18T01:45:14.025Z</t>
  </si>
  <si>
    <t>19/8/2025, 21:05:57</t>
  </si>
  <si>
    <t>2.84</t>
  </si>
  <si>
    <t>3.45</t>
  </si>
  <si>
    <t>เพราะอยากดูแลความเป็นระเบียบของพี่ๆและน้องๆอยากให้โรงเรียนมีความเป็นระเบียบเรียบร้อยมากขึ้น และพร้อมเป็นแบบอย่างที่ดี</t>
  </si>
  <si>
    <t>https://drive.google.com/file/d/1_YO0gCAhZNbk2x0dZ5zr-uFLiBuq9qKz/view?usp=drivesdk</t>
  </si>
  <si>
    <t>https://youtube.com/shorts/LB2atgIIGEQ?si=ABrkE6UJ8dRxTEB3</t>
  </si>
  <si>
    <t>2025-08-19T14:05:56.762Z</t>
  </si>
  <si>
    <t>19/8/2025, 21:49:26</t>
  </si>
  <si>
    <t>3.42</t>
  </si>
  <si>
    <t>เป็นโอกาสที่ดีในการพัฒนาตัวเองเเละยังเป็นโอกาสที่ดีในการมีส่วนร่วมในโรงเรียน การเป็นสภามีทั้งข้อดีเเละข้อเสียขึ้นอยู่กับการจัดเวลาของเรา ฝึกให้เราเป็นผู้ใหญ่มากขึ้น เเละมีความเป็นผู้นำเเละกล้าเเสดงออกมากขึ้น เป็นประสบการณ์ที่ดี เเละสามารถนำไปใช้ในอนาคตได้ อยากคว้าโอกาสนี้เพื่อที่จะพัฒนาตัวเอง เเละพัฒนาโรงเรียนให้ดีขึ้นค่ะ</t>
  </si>
  <si>
    <t>https://drive.google.com/drive/folders/1cJ__XSv0UTJ4itbaJXamg5g5Gw-cDSmm</t>
  </si>
  <si>
    <t>https://drive.google.com/drive/folders/1Hk5M4S9VjcXnE_a25RE8GKFJW-pgF0PT</t>
  </si>
  <si>
    <t>2025-08-19T14:49:26.372Z</t>
  </si>
  <si>
    <t>20/8/2025, 21:06:42</t>
  </si>
  <si>
    <t>3.11</t>
  </si>
  <si>
    <t>อยากให้โรงเรียนของเรามีระเบียนบวินัยที่ดีขึ้น พร้อมที่จะปรับปรุงให้โรงเรียนของเราดีขึ้นกว่าเดิม</t>
  </si>
  <si>
    <t>https://drive.google.com/drive/folders/14eDUPhwvK5DuRXYI6SHp3e5JMxxWX7iW</t>
  </si>
  <si>
    <t>https://drive.google.com/file/d/18MDQCBPQXE6ZlHdUpw0opALTR-Fc2bpH/view?usp=drivesdk</t>
  </si>
  <si>
    <t>2025-08-20T14:06:42.482Z</t>
  </si>
  <si>
    <t>20/8/2025, 23:05:32</t>
  </si>
  <si>
    <t>3.64</t>
  </si>
  <si>
    <t>3.94</t>
  </si>
  <si>
    <t>ฝ่ายอาคารสถานที่เป็นฝ่ายที่ตอบโจทย์สำหรับหนูที่สุดค่ะ เพราะได้พัฒนาตัวเองในหลายด้านเลย ไม่ว่าจะเป็นเรื่องความรับผิดชอบ ความอดทน ได้เรียนรู้การเป็นผู้นำ และการแก้ปัญหา หนูจึงอยากคว้าโอกาสนี้ไว้เพื่อพัฒนาตัวเองและโรงเรียนให้ดีค่ะ</t>
  </si>
  <si>
    <t>https://l.facebook.com/l.php?u=https%3A%2F%2Fdrive.google.com%2Fdrive%2Ffolders%2F1sERhR6gZ2i0HWFTx7ZLgAj8DtsZil_hu%3Ffbclid%3DIwZXh0bgNhZW0CMTEAAR4SGfmThqNXlQMIGx-Bs0sTqNSLrqlERMBhcbJDGRNpMH0D9LoiEvclsYEGzA_aem_F7hkVG3D7TW4_xqvSQ7l3Q&amp;h=AT0NxCkd7q6gLOTrjc7ldHPPekcqcMDrC-5aVLRYyFDr-u9efR-4llieqxe2RD9CMkdfUWMB2l4ivBpokl13Rz2smt2M_LC-vyeN4AP590zQipQq79Ini1OIhkTntB6H3WmOq0L3YzukzZc&amp;s=1</t>
  </si>
  <si>
    <t>https://drive.google.com/drive/folders/1V1-3TvteheNK2f9aUUSTHCp0YcmMbYYt</t>
  </si>
  <si>
    <t>2025-08-20T16:05:32.217Z</t>
  </si>
  <si>
    <t>28/8/2025, 9:39:21</t>
  </si>
  <si>
    <t>อยากช่วยให้กิจกรรมออกมาดีที่สุด ถึงจะเป็นงานเบื้องหลังแต่ก็ภูมิใจที่ได้มีส่วนร่วมและอยากฝึกความรับผิดชอบ ความละเอียดและการทำงานเป็นทีม ซึ่งมันจะเป็นประสบการณ์ที่มีคุณค่า</t>
  </si>
  <si>
    <t>https://drive.google.com/drive/folders/1B2jDP9GsLvyPNUVTZyPvuLGbt_dMMVG6</t>
  </si>
  <si>
    <t>https://drive.google.com/drive/folders/1QXA_yGG3btO4iGCjYb4tmEOGzlSnWa2z</t>
  </si>
  <si>
    <t>2025-08-28T02:39:20.587Z</t>
  </si>
  <si>
    <t>24/8/2025, 21:34:38</t>
  </si>
  <si>
    <t>3.46</t>
  </si>
  <si>
    <t>กิจกรรมเป็นส่วนสำคัญที่ช่วยสร้างบรรยากาศน่าอยู่มาก</t>
  </si>
  <si>
    <t>https://drive.google.com/drive/folders/1MTPjBJ9QaH7KdlvYW8cewg9IGoOUAaUP</t>
  </si>
  <si>
    <t>https://drive.google.com/drive/folders/14x_KUePPIY3uL39UubJMCxKgfj9JibaN</t>
  </si>
  <si>
    <t>2025-08-24T14:34:37.723Z</t>
  </si>
  <si>
    <t>20/8/2025, 15:02:46</t>
  </si>
  <si>
    <t>male</t>
  </si>
  <si>
    <t>3.66</t>
  </si>
  <si>
    <t>เพราะมีความถนัดทางด้านวิชาการ และมีความชอบและสนใจในวิชาการ สามารถให้คำปรึกษา และอยากพัฒนาให้สามารถของตัวให้ดียิ่งขึ้น</t>
  </si>
  <si>
    <t>https://drive.google.com/drive/folders/1R1cr9OB_vtiaZtBCSPOBgHcKscxcULBL</t>
  </si>
  <si>
    <t>https://drive.google.com/file/d/1Pmg2L_GO9sr65TjHanB02oJy0m3yCA99/view?usp=drivesdk</t>
  </si>
  <si>
    <t>2025-08-20T08:02:45.782Z</t>
  </si>
  <si>
    <t>25/8/2025, 12:18:51</t>
  </si>
  <si>
    <t>3.02</t>
  </si>
  <si>
    <t>3.56</t>
  </si>
  <si>
    <t>อยากพัฒนาโรงเรียนในด้านกิจกรรมอยากให้มีกิจกรรมมากขึ้นเพื่อสร้างบรรยากาศที่ดีในโรงเรียนค่ะ</t>
  </si>
  <si>
    <t>https://drive.google.com/drive/folders/1OGYBmk3iS0Hrwu5aUIubihFjljipqhwp</t>
  </si>
  <si>
    <t>https://drive.google.com/drive/folders/13i8ow-Nd18xxLHJKnkIaok_qS_Gtg4B7</t>
  </si>
  <si>
    <t>2025-08-25T05:18:51.392Z</t>
  </si>
  <si>
    <t>19/8/2025, 11:34:33</t>
  </si>
  <si>
    <t>3.98</t>
  </si>
  <si>
    <t>เพราะว่าหนูชอบในการทำกิจกรรมค่ะ รู้สึกอยากส่งต่อความสนุกให้คนอื่นๆด้วย อยากให้โรงเรียนมีแต่รอยยิัมของเด็กนักเรียนและครูในการเข้าร่วมกิจกรรมของโรงเรียน หนูอยากใช้ความคิดสร้างสรรค์และพลังของหนูทำกิจกรรมที่ทุกคนได้มีส่วนร่วม ได้ผ่อนคลายบ้าง และได้เก็บโมเมนต์ดีๆภายในโรงเรียนเราค่ะ</t>
  </si>
  <si>
    <t>https://www.canva.com/design/DAGwDVdWWgQ/lMCEDBKL0b2K7zOy6Zh7fA/edit?utm_content=DAGwDVdWWgQ&amp;utm_campaign=designshare&amp;utm_medium=link2&amp;utm_source=sharebutton</t>
  </si>
  <si>
    <t>https://drive.google.com/file/d/1cUfwKykIxEsp_xtBPUTBlKO-bDS8DckW/view?usp=drivesdk</t>
  </si>
  <si>
    <t>2025-08-19T04:34:32.706Z</t>
  </si>
  <si>
    <t>20/8/2025, 19:13:08</t>
  </si>
  <si>
    <t>2.44</t>
  </si>
  <si>
    <t>2.02</t>
  </si>
  <si>
    <t>ผมสนใจทำงานฝ่ายปกครองเพราะเห็นว่าหน้าที่นี้มีความสำคัญต่อความเป็นระเบียบเรียบร้อยของโรงเรียน นักเรียนทุกคนจะสามารถเรียนและทำกิจกรรมได้อย่างมีความสุขก็ต่อเมื่อโรงเรียนมีวินัยที่ดี การได้ช่วยดูแลกฎระเบียบและเป็นส่วนหนึ่งในการแก้ปัญหาที่เกิดขึ้น จึงเป็นสิ่งที่ผมอยากทำเพื่อพัฒนาโรงเรียน นอกจากนี้ งานฝ่ายปกครองยังช่วยให้ผมได้พัฒนาตัวเองในด้านความรับผิดชอบ ความกล้าตัดสินใจ และการสื่อสารกับเพื่อน ๆครับ</t>
  </si>
  <si>
    <t>https://drive.google.com/drive/folders/1rxv48dTvxupqqYSYzJT8UjdBqly663y1</t>
  </si>
  <si>
    <t>https://drive.google.com/drive/folders/1I27P5v_8q07Lo6JzluCplRP7jopXHUNI</t>
  </si>
  <si>
    <t>2025-08-20T12:13:07.919Z</t>
  </si>
  <si>
    <t>20/8/2025, 19:16:49</t>
  </si>
  <si>
    <t>2.19</t>
  </si>
  <si>
    <t>2.86</t>
  </si>
  <si>
    <t>ผมอยากจะเป็นฝ่ายปกครองก็เพราะว่า อยากจะเป็นบุคคลต้นเเบบนักเรียนตัวอย่าง สร้างจุดประกายความศรัทธาในฝ่ายปกครองขึ้นมาอีกครั้งในเวอร์ชั่นที่ดีที่สุดเท่าที่อาซิซสถานเคยมีมา เพราะว่าผลงานฝ่ายปกครองในปีที่ผ่านๆมานั้น ไม่ใช่ผลงานไม่เข้าเป้าเเต่ไม่มีคุณสมบัติของฝ่ายปกครองซักข้อ ผมอยากจะสร้างความเชื่อมั่นเเก่ฝ่ายปกครองขึ้นมาอีกครั้งเพื่อเป็นการปูทางเเก่น้องๆให้มีอนาคตที่ดีที่สุดต่อไปเท่าที่ผมจะทำได้ หากอัลลอฮทรงประสงฆ์ อินชาอัลลอฮฺ</t>
  </si>
  <si>
    <t>https://drive.google.com/drive/folders/1pjulch-wLwUWxLUWnKu5yGnW6mrxH-w9</t>
  </si>
  <si>
    <t>https://drive.google.com/drive/folders/18A5RuERzGFqTgr3QkDsYEgL0VjxVuD4H</t>
  </si>
  <si>
    <t>2025-08-20T12:16:48.966Z</t>
  </si>
  <si>
    <t>20/8/2025, 19:30:49</t>
  </si>
  <si>
    <t>3.84</t>
  </si>
  <si>
    <t>หนูอยากสมัครฝ่ายนี้เพราะอยากสร้างกิจกรรมสนุกๆที่ทุกคนมีส่วนร่วมทำให้โรงเรียนเต็มไปด้วยรอยยิ้มและบรรยากาศที่ร่าเริ่มอีกทั้งยังเป็นโอกาสให้หนูได้ฝึกคิดสร้างสรรค์ วางแผน และทำงาน ร่วมกับเพื่อนๆ เพื่อให้ทุกกิจกรรมมีความหมายและน่าจดจำ</t>
  </si>
  <si>
    <t>https://drive.google.com/file/d/1xsHT47V7zxvbtkzD6VMAcdJql3TrCERU/view?usp=sharing</t>
  </si>
  <si>
    <t>https://drive.google.com/file/d/1fMZmcJaOM19kpsDhugfu5U8jEr9T2VtD/view?usp=sharing</t>
  </si>
  <si>
    <t>2025-08-20T12:30:48.824Z</t>
  </si>
  <si>
    <t>22/8/2025, 0:33:39</t>
  </si>
  <si>
    <t>3.97</t>
  </si>
  <si>
    <t>เนื่องจากหนูมีความถนัด ในการทำโปสเตอร์ ตัดต่อวิดีโอ จึงอยากนำความรู้เหล่านี้มาใช้ให้เกิดประโยชน์และคอยช่วยเหลืองานต่างๆของโรงเรียน อีกทั้งในการทำงานฝ่ายนี้ทำให้หนูได้ฝึกความรับผิดชอบต่อหน้าที่ของตนเอง</t>
  </si>
  <si>
    <t>https://drive.google.com/drive/folders/1AYWu71rXdLYeK0QJXi719UCrKd5nny2N</t>
  </si>
  <si>
    <t>https://drive.google.com/drive/folders/1-IPhpBH8sXsaQnC73OvKHLkTL8O5vkM3</t>
  </si>
  <si>
    <t>2025-08-21T17:33:39.482Z</t>
  </si>
  <si>
    <t>20/8/2025, 17:01:37</t>
  </si>
  <si>
    <t>3.93</t>
  </si>
  <si>
    <t>ดิฉันเห็นว่าฝ่ายประชาสัมพันธ์เป็นงานที่สอดคล้องกับทักษะด้านภาษาและการสื่อสารของฉัน การใช้ถ้อยคำที่ถูกต้องและน่าสนใจสามารถช่วยถ่ายทอดข้อมูลและข่าวสารให้เข้าถึงผู้คนได้อย่างมีประสิทธิภาพ นอกจากนี้ฉันยังมุ่งหวังที่จะทำงานด้วยความเสียสละ พร้อมช่วยเหลือทีมงานและเพื่อน ๆ เพื่อให้งานสำเร็จอย่างดีที่สุด การเข้ามาทำหน้าที่นี้ไม่เพียงแต่เป็นการใช้ความสามารถที่มีอยู่ แต่ยังเป็นโอกาสในการเรียนรู้สิ่งใหม่ ๆ และต่อยอดทักษะไปใช้ในอนาคตได้</t>
  </si>
  <si>
    <t>https://drive.google.com/drive/folders/1-77vgtuAsaxinQKai8kRwVlMq6W9crdT</t>
  </si>
  <si>
    <t>https://drive.google.com/drive/folders/1wXb9NDA0hli4AUTgkBckXUmwJ4USOanr</t>
  </si>
  <si>
    <t>2025-08-20T10:01:37.221Z</t>
  </si>
  <si>
    <t>20/8/2025, 20:48:08</t>
  </si>
  <si>
    <t>3.49</t>
  </si>
  <si>
    <t>อยากเปิดโอกาสให้ตัวเองได้ฝึกความเป็นผู้นำ ได้ทำงานเป็นทีม และได้พัฒนาตนเองมากขึ้น 
ได้รับรู้ถึงความรับผิดชอบ อยากให้ตัวเองได้ลองเข้าสังคมที่เป็นผู้นำ ได้ลองทำอะไรใหม่ๆมีความกล้ามากขึ้น</t>
  </si>
  <si>
    <t>https://drive.google.com/drive/folders/1YPRV9N2LidPv5pOx9MIpKLZS-4wflPK8</t>
  </si>
  <si>
    <t>https://drive.google.com/drive/folders/1nlYZfAJ2KybfOiBalvxQ9HGBpZp1_L73</t>
  </si>
  <si>
    <t>2025-08-20T13:48:07.591Z</t>
  </si>
  <si>
    <t>20/8/2025, 20:48:44</t>
  </si>
  <si>
    <t>2.97</t>
  </si>
  <si>
    <t>3.01</t>
  </si>
  <si>
    <t>เพราะผมสนใจในด้านไอทีและความสามารถในด้านคอมพิวเตอร์และเทคโนโลยีทำให้มีความถนในด้านนี้จึงอยากจะพัฒนาทักษะและความสามารถทางด้านไอทีและนำไปต่อยอดได้</t>
  </si>
  <si>
    <t>https://drive.google.com/drive/folders/1TXYXc4-ErHkML_ueZvRMA4epydiHtOqx</t>
  </si>
  <si>
    <t>https://drive.google.com/drive/folders/1IBYLQoWyaCeZUPQ37NcU0uaAhenqW59E</t>
  </si>
  <si>
    <t>2025-08-20T13:48:44.020Z</t>
  </si>
  <si>
    <t>20/8/2025, 22:32:52</t>
  </si>
  <si>
    <t>2.62</t>
  </si>
  <si>
    <t>3.36</t>
  </si>
  <si>
    <t>เหตุผลที่อยากเข้าฝ่ายอีบาดัตเพราะต้องการฝึกเป็นผู้นำละหมาดและเป็นแบบอย่างที่ดีให้น้องๆอีกทั้งยังเป็นโอกาสที่ดีที่ใช้ความสามารถของตัวเองให้เกิดประโยชน์ต่อโรงเรียนและสังคม.</t>
  </si>
  <si>
    <t>https://drive.google.com/file/d/1KhPAtIAoXy7SuY0O6lqTdNt2egEZe1tQ/view?usp=drivesdk</t>
  </si>
  <si>
    <t>https://drive.google.com/file/d/1-hgXVJSrga766CET3NoiOCVwOKsElYVw/view?usp=drivesdk</t>
  </si>
  <si>
    <t>2025-08-20T15:32:52.278Z</t>
  </si>
  <si>
    <t>20/8/2025, 22:53:59</t>
  </si>
  <si>
    <t>3.28</t>
  </si>
  <si>
    <t>3.82</t>
  </si>
  <si>
    <t>เพราะอยากช่วยส่งเสริมกิจกรรมศาสนาในโรงเรียน หนูอยากเป็นส่วนหนึ่งของการกระตุ้นให้เพื่อน ๆ ปฏิบัติศาสนกิจในกิจวัตรประจำวันตามหลักอิสลาม    เป็นกิจกรรมช่วยส่งเสริมคุณธรรม จริยธรรม และความเมตตาต่อกัน     และเป็นโอกาสให้ดิฉันได้ฝึกฝนทักษะสำคัญ เช่น ความรับผิดชอบ การทำงานเป็นทีม และภาวะผู้นำ ดิฉันจึงมีความมุ่งมั่นอย่างยิ่งที่จะมีบทบาทในการจัดกิจกรรมดี ๆ เพื่อเสริมสร้างคุณค่าทางจิตใจและสังคมในโรงเรียน</t>
  </si>
  <si>
    <t>https://drive.google.com/drive/folders/1OfQQdE32MvATSP6CuN1SXkVXRxj4muf8</t>
  </si>
  <si>
    <t>https://drive.google.com/drive/folders/1NcqRR4p1NpwNq6lQ1sBunhC64yiPfn4c</t>
  </si>
  <si>
    <t>2025-08-20T15:53:59.419Z</t>
  </si>
  <si>
    <t>20/8/2025, 22:23:21</t>
  </si>
  <si>
    <t>3.88</t>
  </si>
  <si>
    <t>ผมอยากเข้าฝ่ายอาคารสถานที่เพราะเห็นสภาพแวดล้อมที่ดีจะช่วยเพื่อนๆให้มีความสุขในการเรียนและทำกิจกรรมต่างๆผมอยากมีส่วนรวมในการดูแลปรับปรุงและพัฒนาอาคารสถานที่ให้สะอาด,ปลอดภัย และเหมาสมต่อการใช้งานของทุกคน</t>
  </si>
  <si>
    <t>https://drive.google.com/drive/folders/1iKmPLjVkgpL6i3h9usZnDwxvhpaMtBRX</t>
  </si>
  <si>
    <t>https://drive.google.com/drive/folders/1-23JiCPzkcQ9fOpaA1WLT3AUsUzN2u5G</t>
  </si>
  <si>
    <t>2025-08-20T15:23:21.453Z</t>
  </si>
  <si>
    <t>24/8/2025, 22:22:15</t>
  </si>
  <si>
    <t>3.29</t>
  </si>
  <si>
    <t>3.53</t>
  </si>
  <si>
    <t>ดิฉันสมัครเข้าฝ่ายอีบาดัต เพราะอยากมีส่วนร่วมในการส่งเสริมกิจกรรมทางศาสนาในโรงเรียน ทั้งการละหมาดญะมาอะฮ์ การจัดงานวันสำคัญทางศาสนา และการปลูกฝังคุณธรรมให้ทุกๆคน ดิฉันเชื่อว่าการทำงานฝ่ายนี้จะช่วยให้ได้พัฒนาตัวเองด้านศาสนาไปพร้อมกับการทำประโยชน์ต่อโรงเรียนและส่วนรวมค่ะ</t>
  </si>
  <si>
    <t>https://drive.google.com/drive/folders/1kQDyNVl0qGHNrXKTibYwlb-yY4Du8GJc</t>
  </si>
  <si>
    <t>https://drive.google.com/file/d/1ik_wvYl5PwFiUThRDmRdDwG2FTPgRnH-/view?usp=drivesdk</t>
  </si>
  <si>
    <t>2025-08-24T15:22:15.109Z</t>
  </si>
  <si>
    <t>23/8/2025, 18:43:42</t>
  </si>
  <si>
    <t>3.44</t>
  </si>
  <si>
    <t>สำหรับฝ่าย ไอที หนูสนใจเพราะมีประสบการณ์จริงด้านการถ่ายภาพและตัดต่อวิดีโอ เนื่องจากเคยทำงานเป็นนายหน้าในช่วงหนึ่ง ทำให้ต้องใช้กล้องและโปรแกรมตัดต่ออยู่บ่อย ๆ จนมีทักษะด้านนี้ และหนูอยากนำความสามารถนี้มาใช้ประโยชน์ เช่น การบันทึกภาพกิจกรรม การทำวิดีโอประชาสัมพันธ์ หรือการสร้างสื่อที่ช่วยให้โรงเรียนดูมีคุณภาพและน่าสนใจมากขึ้น</t>
  </si>
  <si>
    <t>https://drive.google.com/drive/folders/17OXeWwXajiLPh0oLsm0vgYrdoa0BkoFh</t>
  </si>
  <si>
    <t>https://drive.google.com/file/d/195YdIbFeVKWMxoXi9nZz80IfOO2XNe2U/view?usp=drivesdk</t>
  </si>
  <si>
    <t>2025-08-23T11:43:42.420Z</t>
  </si>
  <si>
    <t>24/8/2025, 17:58:48</t>
  </si>
  <si>
    <t>3.61</t>
  </si>
  <si>
    <t>หนูคิดว่า การที่ได้ทำให้ผู้อื่นมีความสุขมันทำให้หนูมีความสุขไปด้วย การที่คนๆเครียดมาจากหลายๆอย่างแล้ววเขาได้มาร่วมกิจกรรมกับหนู แล้ววเขาหายเครียด ไม่มากก็น้อย ถือเป็นผลดีในหลายๆอย่างค่ะ</t>
  </si>
  <si>
    <t>https://drive.google.com/drive/folders/1F_sV2VTWbI5sudQTS02gmpTKV5Cbx9Z1</t>
  </si>
  <si>
    <t>https://drive.google.com/file/d/1K0NeTLMIRfPzd99NZhmV4RSFwxsvW1NS/view?usp=drivesdk</t>
  </si>
  <si>
    <t>2025-08-24T10:58:47.824Z</t>
  </si>
  <si>
    <t>24/8/2025, 20:29:32</t>
  </si>
  <si>
    <t>3.13</t>
  </si>
  <si>
    <t>3.9</t>
  </si>
  <si>
    <t>อยากมีส่วนร่วมในฝ่ายวิชา อยากจะพัฒนาตัวเองและอยากผลักดันกิจกรรมทางวิชาการเพื่อนที่จะให้ทุกคนแสดงความสามารถอย่างเต็มที่ อยากเรียนรู้ไม่ว่าจะเป็นการวางแผน ทำการร่วมกับผู้อื่น</t>
  </si>
  <si>
    <t>https://drive.google.com/drive/folders/1dDFGc9BNI-d9pYFvuf7glI-6l6_n4_Ig</t>
  </si>
  <si>
    <t>https://drive.google.com/drive/folders/1EwuiSKexN0cwD6wnw1oKknThhwES9e6j</t>
  </si>
  <si>
    <t>2025-08-24T13:29:31.614Z</t>
  </si>
  <si>
    <t>24/8/2025, 21:21:55</t>
  </si>
  <si>
    <t>3.74</t>
  </si>
  <si>
    <t>3.8</t>
  </si>
  <si>
    <t>หนูอยากเข้าสภานักเรียนเพราะอยากมีโอกาสพัฒนาตัวเองในด้านความเป็นผู้นำ ความรับผิดชอบ และการทำงานร่วมกับผู้อื่น อีกทั้งอยากเป็นตัวแทนของเพื่อนๆ ในการสะท้อนความคิดเห็นและช่วยแก้ปัญหาต่างๆ รวมถึงอยากมีส่วนร่วมในการจัดกิจกรรมที่สร้างสรรค์และเป็นประโยชน์ต่อโรงเรียนและนักเรียนทุกคนค่ะ</t>
  </si>
  <si>
    <t>https://drive.google.com/file/d/1minFLKLeb9xL1_HDC9I8sjNmXlFSlNqH/view?usp=drivesdk</t>
  </si>
  <si>
    <t>https://drive.google.com/file/d/1pMHd1Jqnptlurt_hSmdj-CjKulZEt8Nt/view?usp=drivesdk</t>
  </si>
  <si>
    <t>2025-08-24T14:21:54.523Z</t>
  </si>
  <si>
    <t>24/8/2025, 23:31:58</t>
  </si>
  <si>
    <t>3.32</t>
  </si>
  <si>
    <t>เพราะอยากเป็นส่วนหนึ่งในการทำกิจกรรมต่างๆ ที่สนุกๆ ให้กับเพื่อนๆและน้องๆได้ทำแล้วก็ อยากพัฒนาตนเองให้เข้ากับคนอื่นได้ง่ายมากยิ่งขึ้น นี่เป็นเหตุผลที่ทำให้ดิฉันอยากทำงานฝ่ายนี้ค่ะ</t>
  </si>
  <si>
    <t>https://drive.google.com/drive/folders/1HLxrgbbbfd7pJfPpa1wwAV1wbwIwrJzN</t>
  </si>
  <si>
    <t>https://drive.google.com/drive/folders/1r3zsXmYPrQQJ7XJEvZlu4S1Bu9yc-mQs</t>
  </si>
  <si>
    <t>2025-08-24T16:31:58.233Z</t>
  </si>
  <si>
    <t>25/8/2025, 11:22:03</t>
  </si>
  <si>
    <t>3.37</t>
  </si>
  <si>
    <t>3.73</t>
  </si>
  <si>
    <t>อยากให้โรงเรียนมีกิกรรมมากขึ้นเพื่อให้โรงเรียนหน้าอยู่มากขี้นอย</t>
  </si>
  <si>
    <t>https://drive.google.com/drive/folders/13aWrUHzdO2zzOUkxwm-yZ730XD-_2ExW</t>
  </si>
  <si>
    <t>https://drive.google.com/drive/folders/1lD6elVX-bPXJ7pHV9L2H5X73oM17Bin_</t>
  </si>
  <si>
    <t>2025-08-25T04:22:02.670Z</t>
  </si>
  <si>
    <t>22/8/2025, 15:06:20</t>
  </si>
  <si>
    <t>2.08</t>
  </si>
  <si>
    <t>การเป็นสภานักเรียน สำหรับผมมองว่าเป็นโอกาสดีมาก เพราะเราได้ฝึกหลายอย่าง ทั้งการเป็นผู้นำ การทำงานกับเพื่อน ๆ และการช่วยเหลือโรงเรียน มันทำให้เราได้ลองทำอะไรใหม่ ๆ การเป็นสภานักเรียนอาจเหนื่อย แต่คุ้มค่า เพราะได้ฝึกความรับผิดชอบและการเสียสละ</t>
  </si>
  <si>
    <t>https://drive.google.com/drive/folders/1Oqvo4XBq-iUXhg6VmfVUCYydEIRAc031</t>
  </si>
  <si>
    <t>https://drive.google.com/file/d/1cO66-CNB8hzG-iiLoDLDq49IcHInZQjE/view?usp=drivesdk</t>
  </si>
  <si>
    <t>2025-08-22T08:06:19.967Z</t>
  </si>
  <si>
    <t>23/8/2025, 0:49:02</t>
  </si>
  <si>
    <t>เหตุผลที่ผมอยากสมัครเป็นฝ่ายปกครองเพราะต้องการมีส่วนร่วมในการพัฒนาโรงเรียนให้ดียิ่งขึ้น พร้อมทั้งส่งเสริมให้นักเรียนทุกคนปฏิบัติตามกฎระเบียบของโรงเรียนและหลักศาสนาอย่างถูกต้อง ตัวผมเคยเป็นสภานักเรียนมาก่อนหน้านี้ จึงเข้าใจหน้าที่และการทำงานของสภา อีกทั้งยังสังเกตเห็นจุดบกพร่องบางจุดในระเบียบของโรงเรียนทำให้ผมอยากเข้ามาทำงานในฝ่ายนี้เพื่อช่วยแก้ไขปัญหา พัฒนาระเบียบวินัยและความเรียบร้อยให้มีประสิทธิภาพมากยิ่งขึ้น ผมตั้งใจที่จะปฏิบัติหน้าที่อย่างเต็มที่เเละดีที่สุด เพื่อสร้างบรรยากาศการเรียนและโรงเรียนที่ดีขึ้น</t>
  </si>
  <si>
    <t>https://drive.google.com/drive/folders/1HnxR3xKvNx1cKC4goirW4xN2TeE_i2F5</t>
  </si>
  <si>
    <t>https://drive.google.com/file/d/1j7e0NrmHSkyKnrpjon3JAEA-8rVX8jGJ/view?usp=drivesdk</t>
  </si>
  <si>
    <t>2025-08-22T17:49:01.971Z</t>
  </si>
  <si>
    <t>23/8/2025, 15:28:06</t>
  </si>
  <si>
    <t>2.25</t>
  </si>
  <si>
    <t>2.35</t>
  </si>
  <si>
    <t>ผมอจายทำงานฝ่ายปกครองเพราะผม
เล็งเห็นถึงปัญหาต่างๆเกี่ยวกับกฎของ
โรงเรียนผมอยากเป็นส่วนหนึ่งในการแก้
ปัญหานั่นครับ</t>
  </si>
  <si>
    <t>https://drive.google.com/file/d/1GBNC8uFSl8EzmFgvZrUMCK644w1HQsEW/view?usp=drivesdk</t>
  </si>
  <si>
    <t>https://drive.google.com/file/d/14nuofHEdC8ucgKfk00zYGbTkakNNDUGt/view?usp=drivesdk</t>
  </si>
  <si>
    <t>2025-08-23T08:28:05.729Z</t>
  </si>
  <si>
    <t>15/8/2025, 20:07:38</t>
  </si>
  <si>
    <t>2.87</t>
  </si>
  <si>
    <t>3.85</t>
  </si>
  <si>
    <t>พอมีประสบการณ์ด้านนี้แล้วและอยากพัฒนาตัวเองให้ดีขึ้นค่ะ</t>
  </si>
  <si>
    <t>https://drive.google.com/drive/folders/1Ox4aLDFOgJX3jwBX5ckpOVXOsYEqpzXb</t>
  </si>
  <si>
    <t>https://drive.google.com/file/d/1YaCKM7JGUSJwS5dfWViMXkV-eg2Ntjf2/view?usp=drivesdk</t>
  </si>
  <si>
    <t>2025-08-15T13:07:38.054Z</t>
  </si>
  <si>
    <t>17/8/2025, 15:12:02</t>
  </si>
  <si>
    <t>3.38</t>
  </si>
  <si>
    <t>อยากเปลี่ยนฝ่ายการทำงานเพราะตลอดระยะเวลา1ปีที่ผ่านมาในการทำงานได้สังเกตว่าฝ่ายประชาสัมพันธ์เป็นฝ่ายที่ได้สัมผัสกับไมค์โครโฟนมากที่สุดแล้วบวกกับอยากพัฒนาตัวเองในทักษะการพูดให้ดีกว่านี้เลยคิดว่าฝ่ายประชาสัมพันธ์คือทางเลือกที่ดีที่สุดด</t>
  </si>
  <si>
    <t>https://drive.google.com/drive/folders/1-1JmzOiPac9LCgi4qsOYSM7rWXEZ2L33</t>
  </si>
  <si>
    <t>https://drive.google.com/file/d/1h2jFLzQktdawYJqaGZhqp463UxJHDSy9/view?usp=drivesdk</t>
  </si>
  <si>
    <t>2025-08-17T08:12:02.101Z</t>
  </si>
  <si>
    <t>24/8/2025, 17:27:02</t>
  </si>
  <si>
    <t>การที่ได้เป็นสภานักเรียนฝ่ายอาคารสถานที่ ต้องมีความรับผิดชอบสูง การดูแลความเป็นระเบียบและตรงต่อเวลา โดยเฉพาะการเตือนให้พี่ๆน้องๆได้ไปละหมาดร่วมกัน ซึ่งจะทำให้นักเรียนทุกคนอยู่ในกฎระเบียบตามที่โรงเรียนได้กำหนดไว้ อีกอย่างผมอยากจะฝึกตัวเองให้มีความรับผิดชอบ การดูแลความเป็นระเบียบ ตรงต่อเวลา เพื่อที่จะเก็บประสบการณ์เหล่านี้ไปต่อยอดในอนาคต</t>
  </si>
  <si>
    <t>https://drive.google.com/drive/folders/1ZiRlt9-UYdFWEKgZ-0esq1oUhjP_ZiBZ</t>
  </si>
  <si>
    <t>https://drive.google.com/file/d/1o6ZE9OqsRPzRUPxPhyFaBxqppirxYoTO/view?usp=drivesdk</t>
  </si>
  <si>
    <t>2025-08-24T10:27:01.653Z</t>
  </si>
  <si>
    <t>18/8/2025, 15:47:29</t>
  </si>
  <si>
    <t>2.68</t>
  </si>
  <si>
    <t>เพราะคิดว่าตัวเองเหมาะสมกับฝ่ายปกครองมากที่สุด ด้วยความที่น้องๆก็กลัวอยู่แล้ว ที่อยากมาอยู่ฝ่ายนี้ก็เพราะชอบในการจับสายมากๆ เลยลงสมัครสภา และะอยากพัฒนาตัวเองให้ดีกว่านี้ค่ะ</t>
  </si>
  <si>
    <t>https://drive.google.com/drive/folders/1lICuME7cONPmpIU4CAn1Xz7V4hzF3QsI</t>
  </si>
  <si>
    <t>https://drive.google.com/file/d/1BOCXUTncupkZc-qBUC2hU44w5ZxxmF8c/view?usp=drivesdk</t>
  </si>
  <si>
    <t>2025-08-18T08:47:29.151Z</t>
  </si>
  <si>
    <t>18/8/2025, 15:57:18</t>
  </si>
  <si>
    <t>3.57</t>
  </si>
  <si>
    <t>มีประสบการณ์ทำงานฝ่ายปกครองมาแล้ว เริ่มรู้จักน้องๆรู้วิธีการคุมพูดยังไงให้น้องเชื่อฟัง คิดว่าตัวเองเหมาะสมกับฝ่ายนี้ อยากเป็นต่อเพราะอยากฝึกความกล้าและความเป็นผู้นำเพิ่มมากขึ้น</t>
  </si>
  <si>
    <t>https://drive.google.com/drive/folders/1zSn_SUVQCUs1v_pu3LWHUk3GabCcOa-m</t>
  </si>
  <si>
    <t>https://drive.google.com/file/d/1TQql-sc_-hduE_OhdMalG3_DE_tfgGbq/view?usp=drivesdk</t>
  </si>
  <si>
    <t>2025-08-18T08:57:17.810Z</t>
  </si>
  <si>
    <t>18/8/2025, 20:29:43</t>
  </si>
  <si>
    <t>ศาสนสัมพันธ์(อีบาดัต)</t>
  </si>
  <si>
    <t>อยากส่งเสริมให้เพื่อนๆทุกคนรักษาละหมาด ตรงต่อเวลา และมีระเบียบวินัยในการละหมาดและอยากเข้าไปมีส่วนร่วมในการพัฒนาฝ่ายนี้ให้ดียิ่งขึ้น</t>
  </si>
  <si>
    <t>https://drive.google.com/drive/folders/1efqBeLENZH8ilVdMaNxlJH48-Lg_xapC</t>
  </si>
  <si>
    <t>https://drive.google.com/drive/folders/19Nw3oo2RIRY83ipDObUu4joA65j4gR6D</t>
  </si>
  <si>
    <t>2025-08-18T13:29:43.257Z</t>
  </si>
  <si>
    <t>20/8/2025, 15:10:24</t>
  </si>
  <si>
    <t>อยากพัฒนาความเป็นผู้นำ ฝึกแก้ปัญหาต่างๆและรับผิดชอบกับหน้าที่ที่ได้รับ</t>
  </si>
  <si>
    <t>https://drive.google.com/file/d/1Gz6ZBi-D-NNlmRAZKKXyIIabS3uMSYEY/view?usp=drivesdk</t>
  </si>
  <si>
    <t>https://drive.google.com/file/d/1egTVnv_4SDXMk1Xm4M2rLcwJgy5luA6B/view?usp=drivesdk</t>
  </si>
  <si>
    <t>2025-08-20T08:10:24.229Z</t>
  </si>
  <si>
    <t>23/8/2025, 22:06:28</t>
  </si>
  <si>
    <t>ม.5/3|อป.2/1</t>
  </si>
  <si>
    <t>2.67</t>
  </si>
  <si>
    <t>เหตุผลที่สมัครฝ่ายปกครองเพราะว่าหนูอยากเปิดโอกาสให้ตัวเองได้ออกไปเผชิญกับสังคมภายนอกจะได้เจอผู้คนมากขึ้นแล้วก็หนูเชื่อว่าสภาทุกๆฝ่าย ก็ต้องมีความรับผิดชอบแต่ในส่วนของสภาฝ่ายปกครองหนูคิดว่าต้องเป็นแบบอย่างที่ดีและมีระเบียบวินัยซึ่งถ้าหากว่าหนูได้ไปสภาหนูก็จะแบ่งเบาภาระของโรงเรียนช่วยเหลือเพื่อนๆ และจะพัฒนาโรงเรียนให้มีความมั่นคงต่อไป</t>
  </si>
  <si>
    <t>https://drive.google.com/drive/folders/18RiyzLjsNVtRR7tgiEQWzV9YCemz_eY1</t>
  </si>
  <si>
    <t>https://drive.google.com/file/d/1iQuJzGX1mbBF-tSfLUGQFN5EEFqjgDKi/view?usp=drivesdk</t>
  </si>
  <si>
    <t>2025-08-23T15:06:27.944Z</t>
  </si>
  <si>
    <t>20/8/2025, 22:07:01</t>
  </si>
  <si>
    <t>3.5</t>
  </si>
  <si>
    <t>เพราะต้องการพัฒนาทักษะการทำงาเป็นทีมและะมีความผิดต่อหน้าที่มากขึ้น รวมทั้งส่งเสริมกิจกรรมทางศาสนาที่ฃน่าสนใจและะเข้าถึงเพื่อนๆ พี่ๆน้องๆมากขึ้น เพื่อที่จะเป็นตัวอย่างที่ดีและะเราอาจจะเป็นแรงงบันดานใจให้กับเพื่อนๆ ดิฉันพร้อมที่จะเรียนรู้และพัฒนาตัวเองอย่างต่อเนื่องค่ะ</t>
  </si>
  <si>
    <t>https://drive.google.com/drive/folders/1PTrd1VyfdvENO9WiOwUHrafsttaI9ua7</t>
  </si>
  <si>
    <t>https://drive.google.com/drive/folders/1QL0k2NPwiB8SRQdip3LTRP6c7VCygwPz</t>
  </si>
  <si>
    <t>2025-08-20T15:07:01.431Z</t>
  </si>
  <si>
    <t>20/8/2025, 23:33:04</t>
  </si>
  <si>
    <t>3.03</t>
  </si>
  <si>
    <t>3.17</t>
  </si>
  <si>
    <t>อยากเป็นสภาฝ่ายวิชาการ เพราะมองว่าวิชาการไม่ใช่แค่การเรียนในห้อง แต่เป็นการทำให้เพื่อนๆสนุกกับการเรียนและกล้าลองผิดลองถูกมากขึ้น เลยอยากช่วยสร้างบรรยากาศแบบนั้นค่ะ เพราะเชื่อว่าการเรียนรู้ที่ดีควรทำให้เราอยากตื่นมาเรียนทุกวัน ไม่ใช่แค่เรียนเพื่อสอบอย่างเดียว เลยอยากเป็นส่วนหนึ่งในการผลักดันตรงนี้ค่ะ</t>
  </si>
  <si>
    <t>https://drive.google.com/file/d/1XnlxCwbp8nIfJlgtTphgdRT9ouZ0ebnl/view?usp=drivesdk</t>
  </si>
  <si>
    <t>https://drive.google.com/file/d/1R5Ze5cwOYVyMtkKBEDh9h-M2kQ_mHiQw/view?usp=drivesdk</t>
  </si>
  <si>
    <t>2025-08-20T16:33:04.441Z</t>
  </si>
  <si>
    <t>21/8/2025, 0:02:05</t>
  </si>
  <si>
    <t>เพราะว่าอยากพัฒนาโรงเรียนให้กล้าไกลมากขึ้นให้ดีกว่าเดิมมากยิ่งขึ้น</t>
  </si>
  <si>
    <t>https://l.instagram.com/?u=https%3A%2F%2Fdrive.google.com%2Ffile%2Fd%2F1PuGVF7FhlrFwSkUvQsh2552vtqiIezx4%2Fview%3Fusp%3Ddrivesdk&amp;e=AT0lW5qca5DeddLPItpNR9O42A4RruKFweScdgFU93a4UqiUFfH44J9j0frszBCHDBRvDOEb_l_KVJYnIz4-RzUMsgl2R5brSEgVrwXX_imWx-CDu7BqqEWr1cUAU5vf4tp41V73gN0j</t>
  </si>
  <si>
    <t>https://drive.google.com/file/d/1myKCkbefWgwzq4Uv62MPUAm7Q9af4QU8/view?usp=drivesdk</t>
  </si>
  <si>
    <t>2025-08-20T17:02:04.574Z</t>
  </si>
  <si>
    <t>24/8/2025, 18:08:35</t>
  </si>
  <si>
    <t>3.15</t>
  </si>
  <si>
    <t>3.4</t>
  </si>
  <si>
    <t>อยากทำงานฝ่ายอาคารสถานที่ เพราะชอบดูแลความสะอาด ความเรียบร้อยและช่วยให้เพื่อนๆใช้สถานที่สะดวกสบายและปลอดภัย</t>
  </si>
  <si>
    <t>https://drive.google.com/drive/folders/1HG0uXU3nQoXJTfAC5UPXYG1hs3Hatwi4</t>
  </si>
  <si>
    <t>https://drive.google.com/file/d/1D1AzSFgCEB7Gyi9mJyn5I-s20mtz39ne/view?usp=drivesdk</t>
  </si>
  <si>
    <t>2025-08-24T11:08:34.964Z</t>
  </si>
  <si>
    <t>24/8/2025, 21:05:50</t>
  </si>
  <si>
    <t>3.26</t>
  </si>
  <si>
    <t>เพราะอยากมีส่วนร่วมในการช่วยดูแลรักษาสภาพแวดล้อมของโรงเรียนให้สะอาดและเหมาะสมกับการเรียนรู้ อยากฝึกทักษะการทำงานเป็นทีม และพัฒนาให้มีความรับผิดชอบมากกว่าเดิม</t>
  </si>
  <si>
    <t>https://drive.google.com/drive/folders/1L09wXW7I4EUuPZiQs6OWeBzZ3xyU3pIf</t>
  </si>
  <si>
    <t>https://drive.google.com/file/d/13whY3MJ-tx71M28jsI0Y2RU01RXOKblS/view?usp=drivesdk</t>
  </si>
  <si>
    <t>2025-08-24T14:05:50.257Z</t>
  </si>
  <si>
    <t>24/8/2025, 21:34:01</t>
  </si>
  <si>
    <t>2.75</t>
  </si>
  <si>
    <t>3.09</t>
  </si>
  <si>
    <t>อยากเป็นฝ่ายอาคารสถานที่เพราะต้องการช่วยเหลือดูแลและปรับปรุงสภาพแวดล้อมในโรงเรียนให้สะอาดปลอดภัยและเอื้อต่อการเรียนรู้พร้อมทั้งใช้โอกาสนี้ฝึกความรับผิดชอบ</t>
  </si>
  <si>
    <t>https://l.instagram.com/?u=https%3A%2F%2Fdrive.google.com%2Fdrive%2Ffolders%2F1n1L56PxJqyaMQgWKl23AoGfgh1Fu_-2k&amp;e=AT2e_HG7RaCqm_1Evg5YKazaMOobMpOmgMiAQSLGQ8ueCRs_7X0j_cfkBdnZ2bJdgUo8Az7vkXQxUtj3g-CX4Btyj4dPvar81B7AGih9I9Hm3eevJDYwTREV_XQHg1AZnBuoQmGKZaNg</t>
  </si>
  <si>
    <t>https://drive.google.com/file/d/1URIgTtv4JMC9smT8Cf5B_6FVx1cBDS9c/view?usp=sharing</t>
  </si>
  <si>
    <t>2025-08-24T14:34:00.926Z</t>
  </si>
  <si>
    <t>24/8/2025, 21:50:57</t>
  </si>
  <si>
    <t>3.27</t>
  </si>
  <si>
    <t>เหตุผลที่อยากลงฝ่ายอีบาดัต เพราะหนูเห็นปัญหาหลายจุด เช่น ความสะอาดและความพร้อมของสถานที่ละหมาด หนูจึงอยากมีส่วนช่วยพัฒนาและแก้ไข และยังมีบางจุดที่ยังบกพร่อง เพื่อให้ที่จะให้ๆทุกคนปฏิบัติศาสนกิจได้อย่างเหมาะสมค่ะ สุดท้าย หนูอยากเป็นส่วนหนึ่งในการพัฒนาโรงเรียนและพัฒนาตนเองไปพร้อมกัน ขอบคุณค่ะ.</t>
  </si>
  <si>
    <t>https://drive.google.com/drive/folders/1wqt1dllcuRy9ikpcF-ILNe7L6bzD2QUP?usp=share_link</t>
  </si>
  <si>
    <t>https://drive.google.com/drive/folders/1RJrqFINVQOYeFRC_K95puLS46QUhG-xl?usp=share_link</t>
  </si>
  <si>
    <t>2025-08-24T14:50:57.089Z</t>
  </si>
  <si>
    <t>24/8/2025, 22:00:28</t>
  </si>
  <si>
    <t>2.9</t>
  </si>
  <si>
    <t>2.79</t>
  </si>
  <si>
    <t>เพราะเชื่อว่าโรงเรียนไม่ใช่แค่สถานที่เรียน แต่เป็นพื้นที่ที่ทุกคนควรรู้สึกอยากอยู่และภูมิใจในการมาเรียนทุกวัน อยากใช้ความคิดสร้างสรรค์และความใส่ใจในรายละเอียดเล็ก ๆ น้อย ๆ เช่น มุมสีเขียว ห้องเรียนที่เป็นระเบียบ ป้ายคำคมให้กำลังใจ หรือพื้นที่อ่านหนังสือเงียบ ๆ มาช่วยปรับปรุงให้โรงเรียนดูสดใสและน่าอยู่ขึ้น</t>
  </si>
  <si>
    <t>https://drive.google.com/file/d/1fE4phtBg5u2LBk5IOhe4t79PhwgHYR3G/view?usp=drivesdk</t>
  </si>
  <si>
    <t>https://drive.google.com/file/d/1X5Cg37f3AGkFddrsNG7lwPbXKxFlWlWH/view?usp=drivesdk</t>
  </si>
  <si>
    <t>2025-08-24T15:00:28.263Z</t>
  </si>
  <si>
    <t>20/8/2025, 19:29:17</t>
  </si>
  <si>
    <t>3.68</t>
  </si>
  <si>
    <t>ดิฉันคิดว่าการเป็นรองประธานนักเรียนนั้นเป็นหน้าที่ที่สำสัญ ที่จะช่วยประสานงานต่างๆระหว่างประธานนักเรียนและคณะกรรมการสภานักเรียนหรืออาจจะช่วยแบ่งเบาหน้าที่ของประธานนักเรียน ซึ่งในหนึ่งปีที่ผ่านมาที่ดิฉันได้รับหน้าที่ในการเป็นสภานักเรียนและดิฉันได้มองเห็นถึงจุดบกพร่องเล็กๆที่สามารถปรับเปลี่ยนหรือแก้ไขได้ จึงอยากจะถือโอกาสนี้ขึ้นมาแก้ไขและช่วยทำให้
บรรกาศของโรงเรียนดูน่าอยู่ขึ้น</t>
  </si>
  <si>
    <t>https://drive.google.com/drive/folders/1I4bynECVBCGtS7SO0F05xc7kdW49vjYj</t>
  </si>
  <si>
    <t>https://drive.google.com/drive/folders/1HR20bn5GQT8NiY3omWRDJib1jEUnylds</t>
  </si>
  <si>
    <t>2025-08-20T12:29:16.945Z</t>
  </si>
  <si>
    <t>25/8/2025, 8:42:49</t>
  </si>
  <si>
    <t>3.63</t>
  </si>
  <si>
    <t>เพื่อที่จะได้เป็นกระบอกเสียงในการประชาสัมพันธ์ข้อมูลข่าวสารต่างๆให้แก่พี่ๆน้องๆในรั้งโรงเรียนแห่งนี้ เพื่อให้ได้รับข้อมูลที่ถูกต้อง ชัดเจน และทั่วถึง อีกทั้งยังได้ฝึกทักษะการพูดอย่างคล่องแคล่ว และเป็นมืออาชีพมากขึ้น</t>
  </si>
  <si>
    <t>https://drive.google.com/drive/folders/1QVu1raD00g5Ab91EDyC4J7-EMrZUfmUZ</t>
  </si>
  <si>
    <t>https://drive.google.com/drive/folders/1SnBmuqfUC7LuOL0w76DB32ntadiMcJX0</t>
  </si>
  <si>
    <t>2025-08-25T01:42:49.406Z</t>
  </si>
  <si>
    <t>24/8/2025, 18:53:01</t>
  </si>
  <si>
    <t>3.52</t>
  </si>
  <si>
    <t>เพราะดิฉันมองว่ากฎเป็นรากฐานที่สำคัญของโรงเรียน และสภาจะเป็นส่วนช่วยในการรักษากฏระเบียบของโรงเรียนให้คงเป็นไปตามที่วางไว้ค่ะ ส่วนตัวดิฉันเป็นคนที่ชอบระเบียบ อยากให้ทุกอย่างเป็นในแนวเดียวกันอย่างถูกต้อง เลยอยากที่จะเข้ามาทำงานในฝ่ายนี้เพื่อที่จะสามารถแสดงศักยภาพของตัวเอง ทั้งยังช่วยที่จะรักษาและปรับปรุงในด้านต่างๆให้ดีขึ้นค่ะ</t>
  </si>
  <si>
    <t>https://drive.google.com/drive/folders/1kbpMpkrYUrclGmzU8Km4jqL89j96Hhh2</t>
  </si>
  <si>
    <t>https://drive.google.com/file/d/1TO7CLSEolxfX-zMwQcFjJcPV76tkxTCt/view?usp=drivesdk</t>
  </si>
  <si>
    <t>2025-08-24T11:53:00.538Z</t>
  </si>
  <si>
    <t>25/8/2025, 11:45:51</t>
  </si>
  <si>
    <t>3.25</t>
  </si>
  <si>
    <t>เพราะในปีนี้อยู่ฝ่ายอาคารสถานที่เเต่เริ่มมาเเทรกเเซงหน้าที่นี้บ้างเเล้วเพราะคนที่อยู่ฝ่ายนี้ไม่ค่อยทำผมเองเลยอยากทำหน้าที่นี้ในปีหน้าเพราะมีความสามารถด้านนี้ด้วย</t>
  </si>
  <si>
    <t>https://drive.google.com/file/d/1efJsu078fybCSZhTkAeAtZwtZAkQ7oHd/view?usp=drivesdk</t>
  </si>
  <si>
    <t>https://drive.google.com/file/d/1fwOEdzFDSZtEhQzJpXa8dplB8bveFLmy/view?usp=drivesdk</t>
  </si>
  <si>
    <t>2025-08-25T04:45:51.181Z</t>
  </si>
  <si>
    <t>24/8/2025, 21:29:56</t>
  </si>
  <si>
    <t>อยากทำหน้าที่เป็นผู้ประสานงานเป็นตัวกลางระหว่างครูกับนักเรียน ฝึกความรับผิดชอบต่อหน้าที่ ที่ต้องรับผิดชอบในการดูแลระเบียบของนักเรียน ได้ฝึกควบคุมตัวเอง ควบคุมสถานการณ์ และตัดสินใจอย่างมีเหตุผล หากเกิดการทะเลาะวิวาท จะเป็นกลาง ไม่เข้าฝ่ายใดฝ่ายนึง แต่จะมองที่ปัญหาและรีบแก้ไขค่ะ</t>
  </si>
  <si>
    <t>https://drive.google.com/file/d/1IEltwBqyQrcKHMDIQS3N-7qYB1ye8QDd/view?usp=drivesdk</t>
  </si>
  <si>
    <t>https://drive.google.com/file/d/1jG_inLLR4563MVpngUpxl5ul0_CR7d-H/view?usp=drivesdk</t>
  </si>
  <si>
    <t>2025-08-24T14:29:55.853Z</t>
  </si>
  <si>
    <t>26/8/2025, 22:28:30</t>
  </si>
  <si>
    <t>ความมีระเบียบวินัยเป็นสิ่งสำคัญของโรงเรียน ผมอยากช่วยดูแลความเรียบร้อย กฎระเบียบ และบรรยากาศในโรงเรียนให้เป็นไปอย่างเรียบร้อย ช่วยแบ่งเบาภาระของบุคลากรในโรงเรียน</t>
  </si>
  <si>
    <t>https://drive.google.com/drive/folders/1iFHu2lcP8Y4y1c4IcRqeW97iDQRUPIB6?usp=sharing</t>
  </si>
  <si>
    <t>https://drive.google.com/file/d/1KW7sF17m_IFkjNlRQ_bQH4rz9OqWLKkB/view?usp=sharing</t>
  </si>
  <si>
    <t>2025-08-26T15:28:29.853Z</t>
  </si>
  <si>
    <t>19/8/2025, 17:20:36</t>
  </si>
  <si>
    <t>3.24</t>
  </si>
  <si>
    <t>ดิฉันอยากมีส่วนช่วยดูแลเรื่องนี้ เพื่อให้เพื่อนๆทุกคนปฏิบัติศาสนกิจได้อย่างถูกต้องและเป็นระเบียบ อีกทั้งอยากฝึกความเป็นผู้นำความรับผิดชอบและได้พัฒนาตัวเองและอยากสานฝันในวัยเด็กด้วยค่ะ</t>
  </si>
  <si>
    <t>https://drive.google.com/drive/folders/1M0yNBASGr9uvUU9VlP_qo6ySZhBNCQ3b</t>
  </si>
  <si>
    <t>https://drive.google.com/drive/folders/1Mh3QfHXDPypc76nUoG_zD9jCNpxmlE7B</t>
  </si>
  <si>
    <t>2025-08-19T10:20:36.365Z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</si>
</sst>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/d/yyyy h:mm:ss"/>
    <numFmt numFmtId="166" formatCode="d/M/yyyy"/>
  </numFmts>
  <fonts count="2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color rgb="FF434343"/>
      <name val="Roboto"/>
    </font>
    <font>
      <sz val="12.0"/>
      <color theme="1"/>
      <name val="Kanit"/>
    </font>
    <font>
      <sz val="12.0"/>
      <color rgb="FF000000"/>
      <name val="Kanit"/>
    </font>
    <font>
      <sz val="12.0"/>
      <color theme="7"/>
      <name val="Kanit"/>
    </font>
    <font>
      <sz val="12.0"/>
      <color rgb="FF3B82F6"/>
      <name val="Kanit"/>
    </font>
    <font>
      <sz val="12.0"/>
      <color rgb="FF34A853"/>
      <name val="Kanit"/>
    </font>
    <font>
      <b/>
      <sz val="16.0"/>
      <color theme="1"/>
      <name val="Sarabun"/>
    </font>
    <font/>
    <font>
      <sz val="15.0"/>
      <color theme="1"/>
      <name val="Sarabun"/>
    </font>
    <font>
      <sz val="15.0"/>
      <color theme="1"/>
      <name val="Courier New"/>
    </font>
    <font>
      <sz val="14.0"/>
      <color theme="1"/>
      <name val="Sarabun"/>
    </font>
    <font>
      <sz val="15.0"/>
      <color rgb="FF000000"/>
      <name val="&quot;Google Sans Mono&quot;"/>
    </font>
    <font>
      <u/>
      <sz val="15.0"/>
      <color rgb="FF0000FF"/>
      <name val="Sarabun"/>
    </font>
    <font>
      <sz val="15.0"/>
      <color rgb="FF000000"/>
      <name val="Sarabun"/>
    </font>
    <font>
      <sz val="15.0"/>
      <color theme="1"/>
      <name val="Arial"/>
      <scheme val="minor"/>
    </font>
    <font>
      <color theme="1"/>
      <name val="Kanit"/>
    </font>
    <font>
      <u/>
      <color rgb="FF0000FF"/>
      <name val="Kanit"/>
    </font>
    <font>
      <u/>
      <color rgb="FF0000FF"/>
      <name val="Kanit"/>
    </font>
  </fonts>
  <fills count="7">
    <fill>
      <patternFill patternType="none"/>
    </fill>
    <fill>
      <patternFill patternType="lightGray"/>
    </fill>
    <fill>
      <patternFill patternType="solid">
        <fgColor rgb="FF4ADE80"/>
        <bgColor rgb="FF4ADE80"/>
      </patternFill>
    </fill>
    <fill>
      <patternFill patternType="solid">
        <fgColor rgb="FFE6F7FF"/>
        <bgColor rgb="FFE6F7FF"/>
      </patternFill>
    </fill>
    <fill>
      <patternFill patternType="solid">
        <fgColor rgb="FFFFF0E6"/>
        <bgColor rgb="FFFFF0E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4" numFmtId="49" xfId="0" applyFont="1" applyNumberFormat="1"/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0" fontId="2" numFmtId="49" xfId="0" applyAlignment="1" applyFont="1" applyNumberFormat="1">
      <alignment readingOrder="0" shrinkToFit="0" wrapText="0"/>
    </xf>
    <xf borderId="0" fillId="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5" fontId="2" numFmtId="49" xfId="0" applyAlignment="1" applyFill="1" applyFont="1" applyNumberFormat="1">
      <alignment readingOrder="0" shrinkToFit="0" vertical="center" wrapText="0"/>
    </xf>
    <xf borderId="1" fillId="5" fontId="2" numFmtId="49" xfId="0" applyAlignment="1" applyBorder="1" applyFont="1" applyNumberFormat="1">
      <alignment readingOrder="0" shrinkToFit="0" vertical="center" wrapText="0"/>
    </xf>
    <xf borderId="0" fillId="5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5" fontId="2" numFmtId="49" xfId="0" applyAlignment="1" applyBorder="1" applyFont="1" applyNumberFormat="1">
      <alignment readingOrder="0" shrinkToFit="0" vertical="center" wrapText="0"/>
    </xf>
    <xf borderId="2" fillId="6" fontId="7" numFmtId="49" xfId="0" applyAlignment="1" applyBorder="1" applyFill="1" applyFont="1" applyNumberFormat="1">
      <alignment shrinkToFit="0" wrapText="0"/>
    </xf>
    <xf borderId="3" fillId="6" fontId="7" numFmtId="49" xfId="0" applyAlignment="1" applyBorder="1" applyFont="1" applyNumberFormat="1">
      <alignment shrinkToFit="0" wrapText="0"/>
    </xf>
    <xf borderId="0" fillId="0" fontId="8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4" fillId="0" fontId="13" numFmtId="0" xfId="0" applyAlignment="1" applyBorder="1" applyFont="1">
      <alignment horizontal="center" readingOrder="0" vertical="center"/>
    </xf>
    <xf borderId="5" fillId="0" fontId="14" numFmtId="0" xfId="0" applyBorder="1" applyFont="1"/>
    <xf borderId="6" fillId="0" fontId="14" numFmtId="0" xfId="0" applyBorder="1" applyFont="1"/>
    <xf borderId="0" fillId="0" fontId="13" numFmtId="0" xfId="0" applyAlignment="1" applyFont="1">
      <alignment horizontal="left" readingOrder="0" vertical="center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textRotation="180"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top"/>
    </xf>
    <xf borderId="7" fillId="0" fontId="15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vertical="center"/>
    </xf>
    <xf borderId="7" fillId="0" fontId="15" numFmtId="166" xfId="0" applyAlignment="1" applyBorder="1" applyFont="1" applyNumberFormat="1">
      <alignment horizontal="center" readingOrder="0" vertical="center"/>
    </xf>
    <xf borderId="8" fillId="0" fontId="15" numFmtId="0" xfId="0" applyAlignment="1" applyBorder="1" applyFont="1">
      <alignment horizontal="left" readingOrder="0" vertical="center"/>
    </xf>
    <xf borderId="9" fillId="0" fontId="15" numFmtId="0" xfId="0" applyAlignment="1" applyBorder="1" applyFont="1">
      <alignment horizontal="center" readingOrder="0" shrinkToFit="0" vertical="center" wrapText="0"/>
    </xf>
    <xf borderId="10" fillId="0" fontId="15" numFmtId="0" xfId="0" applyAlignment="1" applyBorder="1" applyFont="1">
      <alignment horizontal="center" readingOrder="0" shrinkToFit="0" vertical="center" wrapText="0"/>
    </xf>
    <xf borderId="10" fillId="0" fontId="15" numFmtId="0" xfId="0" applyAlignment="1" applyBorder="1" applyFont="1">
      <alignment horizontal="center" readingOrder="0" textRotation="180" vertical="center"/>
    </xf>
    <xf borderId="11" fillId="0" fontId="15" numFmtId="0" xfId="0" applyAlignment="1" applyBorder="1" applyFont="1">
      <alignment horizontal="center" readingOrder="0" textRotation="180" vertical="center"/>
    </xf>
    <xf borderId="12" fillId="0" fontId="15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readingOrder="0" vertical="center"/>
    </xf>
    <xf borderId="7" fillId="0" fontId="15" numFmtId="49" xfId="0" applyAlignment="1" applyBorder="1" applyFont="1" applyNumberFormat="1">
      <alignment horizontal="center" readingOrder="0" vertical="center"/>
    </xf>
    <xf borderId="7" fillId="0" fontId="15" numFmtId="0" xfId="0" applyAlignment="1" applyBorder="1" applyFont="1">
      <alignment horizontal="left" readingOrder="0" vertical="center"/>
    </xf>
    <xf borderId="7" fillId="0" fontId="15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readingOrder="0" vertical="center"/>
    </xf>
    <xf borderId="7" fillId="0" fontId="15" numFmtId="49" xfId="0" applyAlignment="1" applyBorder="1" applyFont="1" applyNumberFormat="1">
      <alignment horizontal="center" vertical="center"/>
    </xf>
    <xf borderId="8" fillId="0" fontId="15" numFmtId="0" xfId="0" applyAlignment="1" applyBorder="1" applyFont="1">
      <alignment horizontal="left" vertical="center"/>
    </xf>
    <xf borderId="9" fillId="0" fontId="15" numFmtId="0" xfId="0" applyAlignment="1" applyBorder="1" applyFont="1">
      <alignment horizontal="left" vertical="center"/>
    </xf>
    <xf borderId="10" fillId="0" fontId="15" numFmtId="0" xfId="0" applyAlignment="1" applyBorder="1" applyFont="1">
      <alignment horizontal="left" shrinkToFit="0" vertical="center" wrapText="0"/>
    </xf>
    <xf borderId="10" fillId="0" fontId="15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shrinkToFit="0" vertical="center" wrapText="0"/>
    </xf>
    <xf borderId="0" fillId="5" fontId="18" numFmtId="0" xfId="0" applyAlignment="1" applyFont="1">
      <alignment horizontal="center" readingOrder="0" vertical="top"/>
    </xf>
    <xf borderId="7" fillId="0" fontId="15" numFmtId="49" xfId="0" applyAlignment="1" applyBorder="1" applyFont="1" applyNumberFormat="1">
      <alignment horizontal="center" readingOrder="0"/>
    </xf>
    <xf borderId="7" fillId="0" fontId="15" numFmtId="49" xfId="0" applyAlignment="1" applyBorder="1" applyFont="1" applyNumberFormat="1">
      <alignment horizontal="center"/>
    </xf>
    <xf borderId="7" fillId="0" fontId="17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left" vertical="center"/>
    </xf>
    <xf borderId="15" fillId="0" fontId="15" numFmtId="0" xfId="0" applyAlignment="1" applyBorder="1" applyFont="1">
      <alignment horizontal="left" shrinkToFit="0" vertical="center" wrapText="0"/>
    </xf>
    <xf borderId="15" fillId="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readingOrder="0" vertical="center"/>
    </xf>
    <xf borderId="16" fillId="0" fontId="15" numFmtId="0" xfId="0" applyAlignment="1" applyBorder="1" applyFont="1">
      <alignment horizontal="center" vertical="center"/>
    </xf>
    <xf borderId="0" fillId="0" fontId="19" numFmtId="0" xfId="0" applyAlignment="1" applyFont="1">
      <alignment horizontal="center" shrinkToFit="0" vertical="center" wrapText="0"/>
    </xf>
    <xf borderId="13" fillId="0" fontId="15" numFmtId="0" xfId="0" applyAlignment="1" applyBorder="1" applyFont="1">
      <alignment horizontal="left" vertical="center"/>
    </xf>
    <xf borderId="7" fillId="0" fontId="15" numFmtId="0" xfId="0" applyAlignment="1" applyBorder="1" applyFont="1">
      <alignment horizontal="left" shrinkToFit="0" vertical="center" wrapText="0"/>
    </xf>
    <xf borderId="17" fillId="0" fontId="15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horizontal="center" vertical="top"/>
    </xf>
    <xf borderId="7" fillId="0" fontId="21" numFmtId="0" xfId="0" applyBorder="1" applyFont="1"/>
    <xf borderId="13" fillId="0" fontId="16" numFmtId="0" xfId="0" applyAlignment="1" applyBorder="1" applyFont="1">
      <alignment horizontal="left" vertical="center"/>
    </xf>
    <xf borderId="7" fillId="0" fontId="16" numFmtId="0" xfId="0" applyAlignment="1" applyBorder="1" applyFont="1">
      <alignment horizontal="left" shrinkToFit="0" vertical="center" wrapText="0"/>
    </xf>
    <xf borderId="7" fillId="0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readingOrder="0" vertical="center"/>
    </xf>
    <xf borderId="0" fillId="0" fontId="16" numFmtId="0" xfId="0" applyFont="1"/>
    <xf borderId="0" fillId="0" fontId="16" numFmtId="0" xfId="0" applyAlignment="1" applyFont="1">
      <alignment horizontal="center" vertical="center"/>
    </xf>
    <xf borderId="7" fillId="0" fontId="15" numFmtId="0" xfId="0" applyAlignment="1" applyBorder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center" vertical="center"/>
    </xf>
    <xf borderId="0" fillId="0" fontId="15" numFmtId="49" xfId="0" applyAlignment="1" applyFont="1" applyNumberFormat="1">
      <alignment horizontal="center" readingOrder="0"/>
    </xf>
    <xf borderId="0" fillId="0" fontId="15" numFmtId="0" xfId="0" applyAlignment="1" applyFont="1">
      <alignment horizontal="left" vertical="center"/>
    </xf>
    <xf borderId="18" fillId="0" fontId="17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22" numFmtId="49" xfId="0" applyAlignment="1" applyFont="1" applyNumberFormat="1">
      <alignment readingOrder="0" shrinkToFit="0" vertical="center" wrapText="0"/>
    </xf>
    <xf borderId="0" fillId="0" fontId="23" numFmtId="49" xfId="0" applyAlignment="1" applyFont="1" applyNumberFormat="1">
      <alignment readingOrder="0" shrinkToFit="0" vertical="center" wrapText="0"/>
    </xf>
    <xf borderId="0" fillId="0" fontId="24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ouncil_memb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tendance_lo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สำเนาของ council_memb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uncil_import-style">
      <tableStyleElement dxfId="3" type="firstRowStripe"/>
      <tableStyleElement dxfId="2" type="secondRowStripe"/>
    </tableStyle>
    <tableStyle count="4" pivot="0" name="ชีต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2" displayName="ตาราง1_3" name="ตาราง1_3" id="1">
  <autoFilter ref="$A$1:$K$102"/>
  <tableColumns count="11">
    <tableColumn name="id" id="1"/>
    <tableColumn name="student_code" id="2"/>
    <tableColumn name="fullname" id="3"/>
    <tableColumn name="class_name" id="4"/>
    <tableColumn name="department_id" id="5"/>
    <tableColumn name="created_at" id="6"/>
    <tableColumn name="updated_at" id="7"/>
    <tableColumn name="cert_links" id="8"/>
    <tableColumn name="cert_count" id="9"/>
    <tableColumn name="cert_latest_at" id="10"/>
    <tableColumn name="เพศ" id="11"/>
  </tableColumns>
  <tableStyleInfo name="council_members-style" showColumnStripes="0" showFirstColumn="1" showLastColumn="1" showRowStripes="1"/>
</table>
</file>

<file path=xl/tables/table2.xml><?xml version="1.0" encoding="utf-8"?>
<table xmlns="http://schemas.openxmlformats.org/spreadsheetml/2006/main" ref="A1:F2109" displayName="ตาราง3" name="ตาราง3" id="2">
  <autoFilter ref="$A$1:$F$2109">
    <filterColumn colId="2">
      <filters>
        <filter val="2026-02-10"/>
        <filter val="2025-12-23"/>
        <filter val="2026-05-20"/>
        <filter val="2025-12-03"/>
        <filter val="2025-12-25"/>
        <filter val="2026-02-09"/>
        <filter val="2026-01-15"/>
        <filter val="2026-02-04"/>
        <filter val="2026-02-05"/>
        <filter val="2026-02-02"/>
        <filter val="2026-01-12"/>
        <filter val="2026-02-01"/>
        <filter val="2026-01-08"/>
        <filter val="2026-01-07"/>
        <filter val="2026-02-19"/>
        <filter val="2026-01-25"/>
        <filter val="2026-02-18"/>
        <filter val="2026-01-06"/>
        <filter val="2026-02-15"/>
        <filter val="2026-01-05"/>
        <filter val="2026-02-16"/>
        <filter val="2026-03-06"/>
        <filter val="2026-01-22"/>
        <filter val="2026-01-21"/>
        <filter val="2026-02-14"/>
        <filter val="2026-02-11"/>
        <filter val="2026-05-04"/>
        <filter val="2026-02-12"/>
      </filters>
    </filterColumn>
  </autoFilter>
  <tableColumns count="6">
    <tableColumn name="id" id="1"/>
    <tableColumn name="member_id" id="2"/>
    <tableColumn name="date" id="3"/>
    <tableColumn name="activity" id="4"/>
    <tableColumn name="status" id="5"/>
    <tableColumn name="remark" id="6"/>
  </tableColumns>
  <tableStyleInfo name="attendance_logs-style" showColumnStripes="0" showFirstColumn="1" showLastColumn="1" showRowStripes="1"/>
</table>
</file>

<file path=xl/tables/table3.xml><?xml version="1.0" encoding="utf-8"?>
<table xmlns="http://schemas.openxmlformats.org/spreadsheetml/2006/main" ref="A1:H80" displayName="ตาราง2" name="ตาราง2" id="3">
  <tableColumns count="8">
    <tableColumn name="id" id="1"/>
    <tableColumn name="member_id" id="2"/>
    <tableColumn name="date" id="3"/>
    <tableColumn name="activity" id="4"/>
    <tableColumn name="criteria_json" id="5"/>
    <tableColumn name="level" id="6"/>
    <tableColumn name="remark" id="7"/>
    <tableColumn name="คะแนน" id="8"/>
  </tableColumns>
  <tableStyleInfo name="evaluations-style" showColumnStripes="0" showFirstColumn="1" showLastColumn="1" showRowStripes="1"/>
</table>
</file>

<file path=xl/tables/table4.xml><?xml version="1.0" encoding="utf-8"?>
<table xmlns="http://schemas.openxmlformats.org/spreadsheetml/2006/main" ref="A1:G115" displayName="ตาราง1_4" name="ตาราง1_4" id="4">
  <autoFilter ref="$A$1:$G$115">
    <filterColumn colId="4">
      <filters>
        <filter val="13"/>
      </filters>
    </filterColumn>
  </autoFilter>
  <tableColumns count="7">
    <tableColumn name="id" id="1"/>
    <tableColumn name="student_code" id="2"/>
    <tableColumn name="fullname" id="3"/>
    <tableColumn name="class_name" id="4"/>
    <tableColumn name="department_id" id="5"/>
    <tableColumn name="created_at" id="6"/>
    <tableColumn name="updated_at" id="7"/>
  </tableColumns>
  <tableStyleInfo name="สำเนาของ council_member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E1" displayName="Table_1" name="Table_1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council_import-style" showColumnStripes="0" showFirstColumn="1" showLastColumn="1" showRowStripes="1"/>
</table>
</file>

<file path=xl/tables/table6.xml><?xml version="1.0" encoding="utf-8"?>
<table xmlns="http://schemas.openxmlformats.org/spreadsheetml/2006/main" ref="A1:H103" displayName="ตาราง4" name="ตาราง4" id="6">
  <autoFilter ref="$A$1:$H$103">
    <filterColumn colId="7">
      <filters blank="1"/>
    </filterColumn>
  </autoFilter>
  <tableColumns count="8">
    <tableColumn name="คอลัมน์ 1" id="1"/>
    <tableColumn name="stCode" id="2"/>
    <tableColumn name="ชื่อ" id="3"/>
    <tableColumn name="สกุล" id="4"/>
    <tableColumn name="qr" id="5"/>
    <tableColumn name="ชั้น" id="6"/>
    <tableColumn name="dp" id="7"/>
    <tableColumn name="Column 8" id="8"/>
  </tableColumns>
  <tableStyleInfo name="ชีต10-style" showColumnStripes="0" showFirstColumn="1" showLastColumn="1" showRowStripes="1"/>
</table>
</file>

<file path=xl/tables/table7.xml><?xml version="1.0" encoding="utf-8"?>
<table xmlns="http://schemas.openxmlformats.org/spreadsheetml/2006/main" ref="A1:Q66" displayName="ตาราง1" name="ตาราง1" id="7">
  <autoFilter ref="$A$1:$Q$66">
    <filterColumn colId="6">
      <filters>
        <filter val="female"/>
        <filter val="male"/>
      </filters>
    </filterColumn>
  </autoFilter>
  <tableColumns count="17">
    <tableColumn name="#" id="1"/>
    <tableColumn name="ID" id="2"/>
    <tableColumn name="รหัสนักเรียน" id="3"/>
    <tableColumn name="ชื่อ - สกุล" id="4"/>
    <tableColumn name="ชั้น" id="5"/>
    <tableColumn name="รูป" id="6"/>
    <tableColumn name="เพศ" id="7"/>
    <tableColumn name="ฝ่าย" id="8"/>
    <tableColumn name="General Class" id="9"/>
    <tableColumn name="Religion Class" id="10"/>
    <tableColumn name="General Grade" id="11"/>
    <tableColumn name="Religion Grade" id="12"/>
    <tableColumn name="Video Link" id="13"/>
    <tableColumn name="Certificate Link" id="14"/>
    <tableColumn name="Video Link 2" id="15"/>
    <tableColumn name="Status" id="16"/>
    <tableColumn name="Timestamp" id="17"/>
  </tableColumns>
  <tableStyleInfo name="Appl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zizstan.net/student_image/26103.jpg" TargetMode="External"/><Relationship Id="rId391" Type="http://schemas.openxmlformats.org/officeDocument/2006/relationships/hyperlink" Target="https://azizstan.net/student_image/26094.jpg" TargetMode="External"/><Relationship Id="rId390" Type="http://schemas.openxmlformats.org/officeDocument/2006/relationships/hyperlink" Target="https://azizstan.net/student_image/26091.jpg" TargetMode="External"/><Relationship Id="rId1" Type="http://schemas.openxmlformats.org/officeDocument/2006/relationships/hyperlink" Target="https://via.placeholder.com/150x150/4F46E5/FFFFFF?text=%E0%B8%AA%E0%B8%A1%E0%B8%8A%E0%B8%B2%E0%B8%A2" TargetMode="External"/><Relationship Id="rId2" Type="http://schemas.openxmlformats.org/officeDocument/2006/relationships/hyperlink" Target="https://via.placeholder.com/150x150/EC4899/FFFFFF?text=%E0%B8%AA%E0%B8%A1%E0%B8%AB%E0%B8%8D%E0%B8%B4%E0%B8%87" TargetMode="External"/><Relationship Id="rId3" Type="http://schemas.openxmlformats.org/officeDocument/2006/relationships/hyperlink" Target="https://azizstan.net/student_image/23381.jpg" TargetMode="External"/><Relationship Id="rId4" Type="http://schemas.openxmlformats.org/officeDocument/2006/relationships/hyperlink" Target="https://via.placeholder.com/150x150/10B981/FFFFFF?text=%E0%B8%97%E0%B8%94%E0%B8%AA%E0%B8%AD%E0%B8%9A" TargetMode="External"/><Relationship Id="rId2180" Type="http://schemas.openxmlformats.org/officeDocument/2006/relationships/hyperlink" Target="https://azizstan.net/student_image/22770.jpg" TargetMode="External"/><Relationship Id="rId2181" Type="http://schemas.openxmlformats.org/officeDocument/2006/relationships/hyperlink" Target="https://azizstan.net/student_image/22826.jpg" TargetMode="External"/><Relationship Id="rId2182" Type="http://schemas.openxmlformats.org/officeDocument/2006/relationships/hyperlink" Target="https://azizstan.net/student_image/22837.jpg" TargetMode="External"/><Relationship Id="rId2183" Type="http://schemas.openxmlformats.org/officeDocument/2006/relationships/hyperlink" Target="https://azizstan.net/student_image/22886.jpg" TargetMode="External"/><Relationship Id="rId9" Type="http://schemas.openxmlformats.org/officeDocument/2006/relationships/hyperlink" Target="https://azizstan.net/student_image/23771.jpg" TargetMode="External"/><Relationship Id="rId385" Type="http://schemas.openxmlformats.org/officeDocument/2006/relationships/hyperlink" Target="https://azizstan.net/student_image/26681.jpg" TargetMode="External"/><Relationship Id="rId2184" Type="http://schemas.openxmlformats.org/officeDocument/2006/relationships/hyperlink" Target="https://azizstan.net/student_image/22896.jpg" TargetMode="External"/><Relationship Id="rId384" Type="http://schemas.openxmlformats.org/officeDocument/2006/relationships/hyperlink" Target="https://azizstan.net/student_image/26678.jpg" TargetMode="External"/><Relationship Id="rId2185" Type="http://schemas.openxmlformats.org/officeDocument/2006/relationships/hyperlink" Target="https://azizstan.net/student_image/22912.jpg" TargetMode="External"/><Relationship Id="rId383" Type="http://schemas.openxmlformats.org/officeDocument/2006/relationships/hyperlink" Target="https://azizstan.net/student_image/26673.jpg" TargetMode="External"/><Relationship Id="rId2186" Type="http://schemas.openxmlformats.org/officeDocument/2006/relationships/hyperlink" Target="https://azizstan.net/student_image/22915.jpg" TargetMode="External"/><Relationship Id="rId382" Type="http://schemas.openxmlformats.org/officeDocument/2006/relationships/hyperlink" Target="https://azizstan.net/student_image/26670.jpg" TargetMode="External"/><Relationship Id="rId2187" Type="http://schemas.openxmlformats.org/officeDocument/2006/relationships/hyperlink" Target="https://azizstan.net/student_image/22916.jpg" TargetMode="External"/><Relationship Id="rId5" Type="http://schemas.openxmlformats.org/officeDocument/2006/relationships/hyperlink" Target="https://azizstan.net/student_image/23629.jpg" TargetMode="External"/><Relationship Id="rId389" Type="http://schemas.openxmlformats.org/officeDocument/2006/relationships/hyperlink" Target="https://azizstan.net/student_image/26088.jpg" TargetMode="External"/><Relationship Id="rId2188" Type="http://schemas.openxmlformats.org/officeDocument/2006/relationships/hyperlink" Target="https://azizstan.net/student_image/22960.jpg" TargetMode="External"/><Relationship Id="rId6" Type="http://schemas.openxmlformats.org/officeDocument/2006/relationships/hyperlink" Target="https://via.placeholder.com/150x150/F59E0B/FFFFFF?text=%E0%B8%97%E0%B8%94%E0%B8%AA%E0%B8%AD%E0%B8%9A" TargetMode="External"/><Relationship Id="rId388" Type="http://schemas.openxmlformats.org/officeDocument/2006/relationships/hyperlink" Target="https://azizstan.net/student_image/26079.jpg" TargetMode="External"/><Relationship Id="rId2189" Type="http://schemas.openxmlformats.org/officeDocument/2006/relationships/hyperlink" Target="https://azizstan.net/student_image/22975.jpg" TargetMode="External"/><Relationship Id="rId7" Type="http://schemas.openxmlformats.org/officeDocument/2006/relationships/hyperlink" Target="https://azizstan.net/student_image/25925.jpg" TargetMode="External"/><Relationship Id="rId387" Type="http://schemas.openxmlformats.org/officeDocument/2006/relationships/hyperlink" Target="https://azizstan.net/student_image/26065.jpg" TargetMode="External"/><Relationship Id="rId8" Type="http://schemas.openxmlformats.org/officeDocument/2006/relationships/hyperlink" Target="https://azizstan.net/student_image/23358.jpg" TargetMode="External"/><Relationship Id="rId386" Type="http://schemas.openxmlformats.org/officeDocument/2006/relationships/hyperlink" Target="https://azizstan.net/student_image/26049.jpg" TargetMode="External"/><Relationship Id="rId381" Type="http://schemas.openxmlformats.org/officeDocument/2006/relationships/hyperlink" Target="https://azizstan.net/student_image/26642.jpg" TargetMode="External"/><Relationship Id="rId380" Type="http://schemas.openxmlformats.org/officeDocument/2006/relationships/hyperlink" Target="https://azizstan.net/student_image/26613.jpg" TargetMode="External"/><Relationship Id="rId379" Type="http://schemas.openxmlformats.org/officeDocument/2006/relationships/hyperlink" Target="https://azizstan.net/student_image/26612.jpg" TargetMode="External"/><Relationship Id="rId2170" Type="http://schemas.openxmlformats.org/officeDocument/2006/relationships/hyperlink" Target="https://azizstan.net/student_image/25230.jpg" TargetMode="External"/><Relationship Id="rId2171" Type="http://schemas.openxmlformats.org/officeDocument/2006/relationships/hyperlink" Target="https://azizstan.net/student_image/25254.jpg" TargetMode="External"/><Relationship Id="rId2172" Type="http://schemas.openxmlformats.org/officeDocument/2006/relationships/hyperlink" Target="https://azizstan.net/student_image/25273.jpg" TargetMode="External"/><Relationship Id="rId374" Type="http://schemas.openxmlformats.org/officeDocument/2006/relationships/hyperlink" Target="https://azizstan.net/student_image/26394.jpg" TargetMode="External"/><Relationship Id="rId2173" Type="http://schemas.openxmlformats.org/officeDocument/2006/relationships/hyperlink" Target="https://azizstan.net/student_image/25350.jpg" TargetMode="External"/><Relationship Id="rId373" Type="http://schemas.openxmlformats.org/officeDocument/2006/relationships/hyperlink" Target="https://azizstan.net/student_image/26393.jpg" TargetMode="External"/><Relationship Id="rId2174" Type="http://schemas.openxmlformats.org/officeDocument/2006/relationships/hyperlink" Target="https://azizstan.net/student_image/22666.jpg" TargetMode="External"/><Relationship Id="rId372" Type="http://schemas.openxmlformats.org/officeDocument/2006/relationships/hyperlink" Target="https://azizstan.net/student_image/26376.jpg" TargetMode="External"/><Relationship Id="rId2175" Type="http://schemas.openxmlformats.org/officeDocument/2006/relationships/hyperlink" Target="https://azizstan.net/student_image/22694.jpg" TargetMode="External"/><Relationship Id="rId371" Type="http://schemas.openxmlformats.org/officeDocument/2006/relationships/hyperlink" Target="https://azizstan.net/student_image/26309.jpg" TargetMode="External"/><Relationship Id="rId2176" Type="http://schemas.openxmlformats.org/officeDocument/2006/relationships/hyperlink" Target="https://azizstan.net/student_image/22714.jpg" TargetMode="External"/><Relationship Id="rId378" Type="http://schemas.openxmlformats.org/officeDocument/2006/relationships/hyperlink" Target="https://azizstan.net/student_image/26591.jpg" TargetMode="External"/><Relationship Id="rId2177" Type="http://schemas.openxmlformats.org/officeDocument/2006/relationships/hyperlink" Target="https://azizstan.net/student_image/22734.jpg" TargetMode="External"/><Relationship Id="rId377" Type="http://schemas.openxmlformats.org/officeDocument/2006/relationships/hyperlink" Target="https://azizstan.net/student_image/26560.jpg" TargetMode="External"/><Relationship Id="rId2178" Type="http://schemas.openxmlformats.org/officeDocument/2006/relationships/hyperlink" Target="https://azizstan.net/student_image/22745.jpg" TargetMode="External"/><Relationship Id="rId376" Type="http://schemas.openxmlformats.org/officeDocument/2006/relationships/hyperlink" Target="https://azizstan.net/student_image/26550.jpg" TargetMode="External"/><Relationship Id="rId2179" Type="http://schemas.openxmlformats.org/officeDocument/2006/relationships/hyperlink" Target="https://azizstan.net/student_image/22768.jpg" TargetMode="External"/><Relationship Id="rId375" Type="http://schemas.openxmlformats.org/officeDocument/2006/relationships/hyperlink" Target="https://azizstan.net/student_image/26457.jpg" TargetMode="External"/><Relationship Id="rId2190" Type="http://schemas.openxmlformats.org/officeDocument/2006/relationships/hyperlink" Target="https://azizstan.net/student_image/22989.jpg" TargetMode="External"/><Relationship Id="rId2191" Type="http://schemas.openxmlformats.org/officeDocument/2006/relationships/hyperlink" Target="https://azizstan.net/student_image/22997.jpg" TargetMode="External"/><Relationship Id="rId2192" Type="http://schemas.openxmlformats.org/officeDocument/2006/relationships/hyperlink" Target="https://azizstan.net/student_image/23007.jpg" TargetMode="External"/><Relationship Id="rId2193" Type="http://schemas.openxmlformats.org/officeDocument/2006/relationships/hyperlink" Target="https://azizstan.net/student_image/23043.jpg" TargetMode="External"/><Relationship Id="rId2194" Type="http://schemas.openxmlformats.org/officeDocument/2006/relationships/hyperlink" Target="https://azizstan.net/student_image/23084.jpg" TargetMode="External"/><Relationship Id="rId396" Type="http://schemas.openxmlformats.org/officeDocument/2006/relationships/hyperlink" Target="https://azizstan.net/student_image/26141.jpg" TargetMode="External"/><Relationship Id="rId2195" Type="http://schemas.openxmlformats.org/officeDocument/2006/relationships/hyperlink" Target="https://azizstan.net/student_image/23086.jpg" TargetMode="External"/><Relationship Id="rId395" Type="http://schemas.openxmlformats.org/officeDocument/2006/relationships/hyperlink" Target="https://azizstan.net/student_image/26128.jpg" TargetMode="External"/><Relationship Id="rId2196" Type="http://schemas.openxmlformats.org/officeDocument/2006/relationships/hyperlink" Target="https://azizstan.net/student_image/23092.jpg" TargetMode="External"/><Relationship Id="rId394" Type="http://schemas.openxmlformats.org/officeDocument/2006/relationships/hyperlink" Target="https://azizstan.net/student_image/26127.jpg" TargetMode="External"/><Relationship Id="rId2197" Type="http://schemas.openxmlformats.org/officeDocument/2006/relationships/hyperlink" Target="https://azizstan.net/student_image/23138.jpg" TargetMode="External"/><Relationship Id="rId393" Type="http://schemas.openxmlformats.org/officeDocument/2006/relationships/hyperlink" Target="https://azizstan.net/student_image/26105.jpg" TargetMode="External"/><Relationship Id="rId2198" Type="http://schemas.openxmlformats.org/officeDocument/2006/relationships/hyperlink" Target="https://azizstan.net/student_image/23160.jpg" TargetMode="External"/><Relationship Id="rId2199" Type="http://schemas.openxmlformats.org/officeDocument/2006/relationships/hyperlink" Target="https://azizstan.net/student_image/23213.jpg" TargetMode="External"/><Relationship Id="rId399" Type="http://schemas.openxmlformats.org/officeDocument/2006/relationships/hyperlink" Target="https://azizstan.net/student_image/26174.jpg" TargetMode="External"/><Relationship Id="rId398" Type="http://schemas.openxmlformats.org/officeDocument/2006/relationships/hyperlink" Target="https://azizstan.net/student_image/26144.jpg" TargetMode="External"/><Relationship Id="rId397" Type="http://schemas.openxmlformats.org/officeDocument/2006/relationships/hyperlink" Target="https://azizstan.net/student_image/26142.jpg" TargetMode="External"/><Relationship Id="rId1730" Type="http://schemas.openxmlformats.org/officeDocument/2006/relationships/hyperlink" Target="https://azizstan.net/student_image/23522.jpg" TargetMode="External"/><Relationship Id="rId1731" Type="http://schemas.openxmlformats.org/officeDocument/2006/relationships/hyperlink" Target="https://azizstan.net/student_image/23538.jpg" TargetMode="External"/><Relationship Id="rId1732" Type="http://schemas.openxmlformats.org/officeDocument/2006/relationships/hyperlink" Target="https://azizstan.net/student_image/23576.jpg" TargetMode="External"/><Relationship Id="rId1733" Type="http://schemas.openxmlformats.org/officeDocument/2006/relationships/hyperlink" Target="https://azizstan.net/student_image/23600.jpg" TargetMode="External"/><Relationship Id="rId1734" Type="http://schemas.openxmlformats.org/officeDocument/2006/relationships/hyperlink" Target="https://azizstan.net/student_image/23618.jpg" TargetMode="External"/><Relationship Id="rId1735" Type="http://schemas.openxmlformats.org/officeDocument/2006/relationships/hyperlink" Target="https://azizstan.net/student_image/23629.jpg" TargetMode="External"/><Relationship Id="rId1736" Type="http://schemas.openxmlformats.org/officeDocument/2006/relationships/hyperlink" Target="https://azizstan.net/student_image/23639.jpg" TargetMode="External"/><Relationship Id="rId1737" Type="http://schemas.openxmlformats.org/officeDocument/2006/relationships/hyperlink" Target="https://azizstan.net/student_image/23665.jpg" TargetMode="External"/><Relationship Id="rId1738" Type="http://schemas.openxmlformats.org/officeDocument/2006/relationships/hyperlink" Target="https://azizstan.net/student_image/23666.jpg" TargetMode="External"/><Relationship Id="rId1739" Type="http://schemas.openxmlformats.org/officeDocument/2006/relationships/hyperlink" Target="https://azizstan.net/student_image/23702.jpg" TargetMode="External"/><Relationship Id="rId1720" Type="http://schemas.openxmlformats.org/officeDocument/2006/relationships/hyperlink" Target="https://azizstan.net/student_image/26783.jpg" TargetMode="External"/><Relationship Id="rId1721" Type="http://schemas.openxmlformats.org/officeDocument/2006/relationships/hyperlink" Target="https://azizstan.net/student_image/26797.jpg" TargetMode="External"/><Relationship Id="rId1722" Type="http://schemas.openxmlformats.org/officeDocument/2006/relationships/hyperlink" Target="https://azizstan.net/student_image/26801.jpg" TargetMode="External"/><Relationship Id="rId1723" Type="http://schemas.openxmlformats.org/officeDocument/2006/relationships/hyperlink" Target="https://azizstan.net/student_image/23396.jpg" TargetMode="External"/><Relationship Id="rId1724" Type="http://schemas.openxmlformats.org/officeDocument/2006/relationships/hyperlink" Target="https://azizstan.net/student_image/23427.jpg" TargetMode="External"/><Relationship Id="rId1725" Type="http://schemas.openxmlformats.org/officeDocument/2006/relationships/hyperlink" Target="https://azizstan.net/student_image/23433.jpg" TargetMode="External"/><Relationship Id="rId1726" Type="http://schemas.openxmlformats.org/officeDocument/2006/relationships/hyperlink" Target="https://azizstan.net/student_image/23443.jpg" TargetMode="External"/><Relationship Id="rId1727" Type="http://schemas.openxmlformats.org/officeDocument/2006/relationships/hyperlink" Target="https://azizstan.net/student_image/23503.jpg" TargetMode="External"/><Relationship Id="rId1728" Type="http://schemas.openxmlformats.org/officeDocument/2006/relationships/hyperlink" Target="https://azizstan.net/student_image/23517.jpg" TargetMode="External"/><Relationship Id="rId1729" Type="http://schemas.openxmlformats.org/officeDocument/2006/relationships/hyperlink" Target="https://azizstan.net/student_image/23520.jpg" TargetMode="External"/><Relationship Id="rId1752" Type="http://schemas.openxmlformats.org/officeDocument/2006/relationships/hyperlink" Target="https://azizstan.net/student_image/25434.jpg" TargetMode="External"/><Relationship Id="rId1753" Type="http://schemas.openxmlformats.org/officeDocument/2006/relationships/hyperlink" Target="https://azizstan.net/student_image/25482.jpg" TargetMode="External"/><Relationship Id="rId2600" Type="http://schemas.openxmlformats.org/officeDocument/2006/relationships/hyperlink" Target="https://azizstan.net/student_image_voc/6620204073.jpg" TargetMode="External"/><Relationship Id="rId1754" Type="http://schemas.openxmlformats.org/officeDocument/2006/relationships/hyperlink" Target="https://azizstan.net/student_image/25591.jpg" TargetMode="External"/><Relationship Id="rId2601" Type="http://schemas.openxmlformats.org/officeDocument/2006/relationships/hyperlink" Target="https://azizstan.net/student_image_voc/6620204076.jpg" TargetMode="External"/><Relationship Id="rId1755" Type="http://schemas.openxmlformats.org/officeDocument/2006/relationships/hyperlink" Target="https://azizstan.net/student_image/25690.jpg" TargetMode="External"/><Relationship Id="rId2602" Type="http://schemas.openxmlformats.org/officeDocument/2006/relationships/hyperlink" Target="https://azizstan.net/student_image_voc/6620204079.jpg" TargetMode="External"/><Relationship Id="rId1756" Type="http://schemas.openxmlformats.org/officeDocument/2006/relationships/hyperlink" Target="https://azizstan.net/student_image/25912.jpg" TargetMode="External"/><Relationship Id="rId2603" Type="http://schemas.openxmlformats.org/officeDocument/2006/relationships/hyperlink" Target="https://azizstan.net/student_image_voc/6620204081.jpg" TargetMode="External"/><Relationship Id="rId1757" Type="http://schemas.openxmlformats.org/officeDocument/2006/relationships/hyperlink" Target="https://azizstan.net/student_image/25958.jpg" TargetMode="External"/><Relationship Id="rId2604" Type="http://schemas.openxmlformats.org/officeDocument/2006/relationships/hyperlink" Target="https://azizstan.net/student_image_voc/6620204082.jpg" TargetMode="External"/><Relationship Id="rId1758" Type="http://schemas.openxmlformats.org/officeDocument/2006/relationships/hyperlink" Target="https://azizstan.net/student_image/25999.jpg" TargetMode="External"/><Relationship Id="rId2605" Type="http://schemas.openxmlformats.org/officeDocument/2006/relationships/hyperlink" Target="https://azizstan.net/student_image_voc/6620204084.jpg" TargetMode="External"/><Relationship Id="rId1759" Type="http://schemas.openxmlformats.org/officeDocument/2006/relationships/hyperlink" Target="https://azizstan.net/student_image/26051.jpg" TargetMode="External"/><Relationship Id="rId2606" Type="http://schemas.openxmlformats.org/officeDocument/2006/relationships/hyperlink" Target="https://azizstan.net/student_image_voc/6620204088.jpg" TargetMode="External"/><Relationship Id="rId808" Type="http://schemas.openxmlformats.org/officeDocument/2006/relationships/hyperlink" Target="https://azizstan.net/student_image/25585.jpg" TargetMode="External"/><Relationship Id="rId2607" Type="http://schemas.openxmlformats.org/officeDocument/2006/relationships/hyperlink" Target="https://azizstan.net/student_image_voc/6620204089.jpg" TargetMode="External"/><Relationship Id="rId807" Type="http://schemas.openxmlformats.org/officeDocument/2006/relationships/hyperlink" Target="https://azizstan.net/student_image/25579.jpg" TargetMode="External"/><Relationship Id="rId2608" Type="http://schemas.openxmlformats.org/officeDocument/2006/relationships/hyperlink" Target="https://azizstan.net/student_image_voc/6620204091.jpg" TargetMode="External"/><Relationship Id="rId806" Type="http://schemas.openxmlformats.org/officeDocument/2006/relationships/hyperlink" Target="https://azizstan.net/student_image/25570.jpg" TargetMode="External"/><Relationship Id="rId2609" Type="http://schemas.openxmlformats.org/officeDocument/2006/relationships/hyperlink" Target="https://azizstan.net/student_image_voc/6620204092.jpg" TargetMode="External"/><Relationship Id="rId805" Type="http://schemas.openxmlformats.org/officeDocument/2006/relationships/hyperlink" Target="https://azizstan.net/student_image/25557.jpg" TargetMode="External"/><Relationship Id="rId809" Type="http://schemas.openxmlformats.org/officeDocument/2006/relationships/hyperlink" Target="https://azizstan.net/student_image/25601.jpg" TargetMode="External"/><Relationship Id="rId800" Type="http://schemas.openxmlformats.org/officeDocument/2006/relationships/hyperlink" Target="https://azizstan.net/student_image/25498.jpg" TargetMode="External"/><Relationship Id="rId804" Type="http://schemas.openxmlformats.org/officeDocument/2006/relationships/hyperlink" Target="https://azizstan.net/student_image/25550.jpg" TargetMode="External"/><Relationship Id="rId803" Type="http://schemas.openxmlformats.org/officeDocument/2006/relationships/hyperlink" Target="https://azizstan.net/student_image/25520.jpg" TargetMode="External"/><Relationship Id="rId802" Type="http://schemas.openxmlformats.org/officeDocument/2006/relationships/hyperlink" Target="https://azizstan.net/student_image/25511.jpg" TargetMode="External"/><Relationship Id="rId801" Type="http://schemas.openxmlformats.org/officeDocument/2006/relationships/hyperlink" Target="https://azizstan.net/student_image/25509.jpg" TargetMode="External"/><Relationship Id="rId1750" Type="http://schemas.openxmlformats.org/officeDocument/2006/relationships/hyperlink" Target="https://azizstan.net/student_image/25391.jpg" TargetMode="External"/><Relationship Id="rId1751" Type="http://schemas.openxmlformats.org/officeDocument/2006/relationships/hyperlink" Target="https://azizstan.net/student_image/25433.jpg" TargetMode="External"/><Relationship Id="rId1741" Type="http://schemas.openxmlformats.org/officeDocument/2006/relationships/hyperlink" Target="https://azizstan.net/student_image/23873.jpg" TargetMode="External"/><Relationship Id="rId1742" Type="http://schemas.openxmlformats.org/officeDocument/2006/relationships/hyperlink" Target="https://azizstan.net/student_image/23887.jpg" TargetMode="External"/><Relationship Id="rId1743" Type="http://schemas.openxmlformats.org/officeDocument/2006/relationships/hyperlink" Target="https://azizstan.net/student_image/23891.jpg" TargetMode="External"/><Relationship Id="rId1744" Type="http://schemas.openxmlformats.org/officeDocument/2006/relationships/hyperlink" Target="https://azizstan.net/student_image/23916.jpg" TargetMode="External"/><Relationship Id="rId1745" Type="http://schemas.openxmlformats.org/officeDocument/2006/relationships/hyperlink" Target="https://azizstan.net/student_image/24072.jpg" TargetMode="External"/><Relationship Id="rId1746" Type="http://schemas.openxmlformats.org/officeDocument/2006/relationships/hyperlink" Target="https://azizstan.net/student_image/24531.jpg" TargetMode="External"/><Relationship Id="rId1747" Type="http://schemas.openxmlformats.org/officeDocument/2006/relationships/hyperlink" Target="https://azizstan.net/student_image/25272.jpg" TargetMode="External"/><Relationship Id="rId1748" Type="http://schemas.openxmlformats.org/officeDocument/2006/relationships/hyperlink" Target="https://azizstan.net/student_image/25346.jpg" TargetMode="External"/><Relationship Id="rId1749" Type="http://schemas.openxmlformats.org/officeDocument/2006/relationships/hyperlink" Target="https://azizstan.net/student_image/25357.jpg" TargetMode="External"/><Relationship Id="rId1740" Type="http://schemas.openxmlformats.org/officeDocument/2006/relationships/hyperlink" Target="https://azizstan.net/student_image/23871.jpg" TargetMode="External"/><Relationship Id="rId1710" Type="http://schemas.openxmlformats.org/officeDocument/2006/relationships/hyperlink" Target="https://azizstan.net/student_image/26582.jpg" TargetMode="External"/><Relationship Id="rId1711" Type="http://schemas.openxmlformats.org/officeDocument/2006/relationships/hyperlink" Target="https://azizstan.net/student_image/26606.jpg" TargetMode="External"/><Relationship Id="rId1712" Type="http://schemas.openxmlformats.org/officeDocument/2006/relationships/hyperlink" Target="https://azizstan.net/student_image/26626.jpg" TargetMode="External"/><Relationship Id="rId1713" Type="http://schemas.openxmlformats.org/officeDocument/2006/relationships/hyperlink" Target="https://azizstan.net/student_image/26649.jpg" TargetMode="External"/><Relationship Id="rId1714" Type="http://schemas.openxmlformats.org/officeDocument/2006/relationships/hyperlink" Target="https://azizstan.net/student_image/26668.jpg" TargetMode="External"/><Relationship Id="rId1715" Type="http://schemas.openxmlformats.org/officeDocument/2006/relationships/hyperlink" Target="https://azizstan.net/student_image/26674.jpg" TargetMode="External"/><Relationship Id="rId1716" Type="http://schemas.openxmlformats.org/officeDocument/2006/relationships/hyperlink" Target="https://azizstan.net/student_image/26677.jpg" TargetMode="External"/><Relationship Id="rId1717" Type="http://schemas.openxmlformats.org/officeDocument/2006/relationships/hyperlink" Target="https://azizstan.net/student_image/26737.jpg" TargetMode="External"/><Relationship Id="rId1718" Type="http://schemas.openxmlformats.org/officeDocument/2006/relationships/hyperlink" Target="https://azizstan.net/student_image/26757.jpg" TargetMode="External"/><Relationship Id="rId1719" Type="http://schemas.openxmlformats.org/officeDocument/2006/relationships/hyperlink" Target="https://azizstan.net/student_image/26758.jpg" TargetMode="External"/><Relationship Id="rId1700" Type="http://schemas.openxmlformats.org/officeDocument/2006/relationships/hyperlink" Target="https://azizstan.net/student_image/26078.jpg" TargetMode="External"/><Relationship Id="rId1701" Type="http://schemas.openxmlformats.org/officeDocument/2006/relationships/hyperlink" Target="https://azizstan.net/student_image/26287.jpg" TargetMode="External"/><Relationship Id="rId1702" Type="http://schemas.openxmlformats.org/officeDocument/2006/relationships/hyperlink" Target="https://azizstan.net/student_image/26424.jpg" TargetMode="External"/><Relationship Id="rId1703" Type="http://schemas.openxmlformats.org/officeDocument/2006/relationships/hyperlink" Target="https://azizstan.net/student_image/26464.jpg" TargetMode="External"/><Relationship Id="rId1704" Type="http://schemas.openxmlformats.org/officeDocument/2006/relationships/hyperlink" Target="https://azizstan.net/student_image/26502.jpg" TargetMode="External"/><Relationship Id="rId1705" Type="http://schemas.openxmlformats.org/officeDocument/2006/relationships/hyperlink" Target="https://azizstan.net/student_image/26525.jpg" TargetMode="External"/><Relationship Id="rId1706" Type="http://schemas.openxmlformats.org/officeDocument/2006/relationships/hyperlink" Target="https://azizstan.net/student_image/26544.jpg" TargetMode="External"/><Relationship Id="rId1707" Type="http://schemas.openxmlformats.org/officeDocument/2006/relationships/hyperlink" Target="https://azizstan.net/student_image/26562.jpg" TargetMode="External"/><Relationship Id="rId1708" Type="http://schemas.openxmlformats.org/officeDocument/2006/relationships/hyperlink" Target="https://azizstan.net/student_image/26565.jpg" TargetMode="External"/><Relationship Id="rId1709" Type="http://schemas.openxmlformats.org/officeDocument/2006/relationships/hyperlink" Target="https://azizstan.net/student_image/26579.jpg" TargetMode="External"/><Relationship Id="rId40" Type="http://schemas.openxmlformats.org/officeDocument/2006/relationships/hyperlink" Target="https://azizstan.net/student_image/26561.jpg" TargetMode="External"/><Relationship Id="rId1334" Type="http://schemas.openxmlformats.org/officeDocument/2006/relationships/hyperlink" Target="https://azizstan.net/student_image/24772.jpg" TargetMode="External"/><Relationship Id="rId1335" Type="http://schemas.openxmlformats.org/officeDocument/2006/relationships/hyperlink" Target="https://azizstan.net/student_image/24785.jpg" TargetMode="External"/><Relationship Id="rId42" Type="http://schemas.openxmlformats.org/officeDocument/2006/relationships/hyperlink" Target="https://azizstan.net/student_image/26623.jpg" TargetMode="External"/><Relationship Id="rId1336" Type="http://schemas.openxmlformats.org/officeDocument/2006/relationships/hyperlink" Target="https://azizstan.net/student_image/24805.jpg" TargetMode="External"/><Relationship Id="rId41" Type="http://schemas.openxmlformats.org/officeDocument/2006/relationships/hyperlink" Target="https://azizstan.net/student_image/26620.jpg" TargetMode="External"/><Relationship Id="rId1337" Type="http://schemas.openxmlformats.org/officeDocument/2006/relationships/hyperlink" Target="https://azizstan.net/student_image/24806.jpg" TargetMode="External"/><Relationship Id="rId44" Type="http://schemas.openxmlformats.org/officeDocument/2006/relationships/hyperlink" Target="https://azizstan.net/student_image/26659.jpg" TargetMode="External"/><Relationship Id="rId1338" Type="http://schemas.openxmlformats.org/officeDocument/2006/relationships/hyperlink" Target="https://azizstan.net/student_image/24822.jpg" TargetMode="External"/><Relationship Id="rId43" Type="http://schemas.openxmlformats.org/officeDocument/2006/relationships/hyperlink" Target="https://azizstan.net/student_image/26634.jpg" TargetMode="External"/><Relationship Id="rId1339" Type="http://schemas.openxmlformats.org/officeDocument/2006/relationships/hyperlink" Target="https://azizstan.net/student_image/24823.jpg" TargetMode="External"/><Relationship Id="rId46" Type="http://schemas.openxmlformats.org/officeDocument/2006/relationships/hyperlink" Target="https://azizstan.net/student_image/26716.jpg" TargetMode="External"/><Relationship Id="rId45" Type="http://schemas.openxmlformats.org/officeDocument/2006/relationships/hyperlink" Target="https://azizstan.net/student_image/26711.jpg" TargetMode="External"/><Relationship Id="rId745" Type="http://schemas.openxmlformats.org/officeDocument/2006/relationships/hyperlink" Target="https://azizstan.net/student_image/26012.jpg" TargetMode="External"/><Relationship Id="rId744" Type="http://schemas.openxmlformats.org/officeDocument/2006/relationships/hyperlink" Target="https://azizstan.net/student_image/26008.jpg" TargetMode="External"/><Relationship Id="rId743" Type="http://schemas.openxmlformats.org/officeDocument/2006/relationships/hyperlink" Target="https://azizstan.net/student_image/25984.jpg" TargetMode="External"/><Relationship Id="rId742" Type="http://schemas.openxmlformats.org/officeDocument/2006/relationships/hyperlink" Target="https://azizstan.net/student_image/25977.jpg" TargetMode="External"/><Relationship Id="rId749" Type="http://schemas.openxmlformats.org/officeDocument/2006/relationships/hyperlink" Target="https://azizstan.net/student_image/25387.jpg" TargetMode="External"/><Relationship Id="rId748" Type="http://schemas.openxmlformats.org/officeDocument/2006/relationships/hyperlink" Target="https://azizstan.net/student_image/25372.jpg" TargetMode="External"/><Relationship Id="rId747" Type="http://schemas.openxmlformats.org/officeDocument/2006/relationships/hyperlink" Target="https://azizstan.net/student_image/26671.jpg" TargetMode="External"/><Relationship Id="rId746" Type="http://schemas.openxmlformats.org/officeDocument/2006/relationships/hyperlink" Target="https://azizstan.net/student_image/26066.jpg" TargetMode="External"/><Relationship Id="rId48" Type="http://schemas.openxmlformats.org/officeDocument/2006/relationships/hyperlink" Target="https://azizstan.net/student_image/26810.jpg" TargetMode="External"/><Relationship Id="rId47" Type="http://schemas.openxmlformats.org/officeDocument/2006/relationships/hyperlink" Target="https://azizstan.net/student_image/26785.jpg" TargetMode="External"/><Relationship Id="rId49" Type="http://schemas.openxmlformats.org/officeDocument/2006/relationships/hyperlink" Target="https://azizstan.net/student_image/26048.jpg" TargetMode="External"/><Relationship Id="rId741" Type="http://schemas.openxmlformats.org/officeDocument/2006/relationships/hyperlink" Target="https://azizstan.net/student_image/25976.jpg" TargetMode="External"/><Relationship Id="rId1330" Type="http://schemas.openxmlformats.org/officeDocument/2006/relationships/hyperlink" Target="https://azizstan.net/student_image/24701.jpg" TargetMode="External"/><Relationship Id="rId740" Type="http://schemas.openxmlformats.org/officeDocument/2006/relationships/hyperlink" Target="https://azizstan.net/student_image/25964.jpg" TargetMode="External"/><Relationship Id="rId1331" Type="http://schemas.openxmlformats.org/officeDocument/2006/relationships/hyperlink" Target="https://azizstan.net/student_image/24734.jpg" TargetMode="External"/><Relationship Id="rId1332" Type="http://schemas.openxmlformats.org/officeDocument/2006/relationships/hyperlink" Target="https://azizstan.net/student_image/24764.jpg" TargetMode="External"/><Relationship Id="rId1333" Type="http://schemas.openxmlformats.org/officeDocument/2006/relationships/hyperlink" Target="https://azizstan.net/student_image/24765.jpg" TargetMode="External"/><Relationship Id="rId1323" Type="http://schemas.openxmlformats.org/officeDocument/2006/relationships/hyperlink" Target="https://azizstan.net/student_image/24605.jpg" TargetMode="External"/><Relationship Id="rId1324" Type="http://schemas.openxmlformats.org/officeDocument/2006/relationships/hyperlink" Target="https://azizstan.net/student_image/24611.jpg" TargetMode="External"/><Relationship Id="rId31" Type="http://schemas.openxmlformats.org/officeDocument/2006/relationships/hyperlink" Target="https://azizstan.net/student_image/26408.jpg" TargetMode="External"/><Relationship Id="rId1325" Type="http://schemas.openxmlformats.org/officeDocument/2006/relationships/hyperlink" Target="https://azizstan.net/student_image/24612.jpg" TargetMode="External"/><Relationship Id="rId30" Type="http://schemas.openxmlformats.org/officeDocument/2006/relationships/hyperlink" Target="https://azizstan.net/student_image/26405.jpg" TargetMode="External"/><Relationship Id="rId1326" Type="http://schemas.openxmlformats.org/officeDocument/2006/relationships/hyperlink" Target="https://azizstan.net/student_image/24630.jpg" TargetMode="External"/><Relationship Id="rId33" Type="http://schemas.openxmlformats.org/officeDocument/2006/relationships/hyperlink" Target="https://azizstan.net/student_image/26439.jpg" TargetMode="External"/><Relationship Id="rId1327" Type="http://schemas.openxmlformats.org/officeDocument/2006/relationships/hyperlink" Target="https://azizstan.net/student_image/24644.jpg" TargetMode="External"/><Relationship Id="rId32" Type="http://schemas.openxmlformats.org/officeDocument/2006/relationships/hyperlink" Target="https://azizstan.net/student_image/26414.jpg" TargetMode="External"/><Relationship Id="rId1328" Type="http://schemas.openxmlformats.org/officeDocument/2006/relationships/hyperlink" Target="https://azizstan.net/student_image/24668.jpg" TargetMode="External"/><Relationship Id="rId35" Type="http://schemas.openxmlformats.org/officeDocument/2006/relationships/hyperlink" Target="https://azizstan.net/student_image/26532.jpg" TargetMode="External"/><Relationship Id="rId1329" Type="http://schemas.openxmlformats.org/officeDocument/2006/relationships/hyperlink" Target="https://azizstan.net/student_image/24682.jpg" TargetMode="External"/><Relationship Id="rId34" Type="http://schemas.openxmlformats.org/officeDocument/2006/relationships/hyperlink" Target="https://azizstan.net/student_image/26519.jpg" TargetMode="External"/><Relationship Id="rId739" Type="http://schemas.openxmlformats.org/officeDocument/2006/relationships/hyperlink" Target="https://azizstan.net/student_image/25960.jpg" TargetMode="External"/><Relationship Id="rId734" Type="http://schemas.openxmlformats.org/officeDocument/2006/relationships/hyperlink" Target="https://azizstan.net/student_image/25849.jpg" TargetMode="External"/><Relationship Id="rId733" Type="http://schemas.openxmlformats.org/officeDocument/2006/relationships/hyperlink" Target="https://azizstan.net/student_image/25844.jpg" TargetMode="External"/><Relationship Id="rId732" Type="http://schemas.openxmlformats.org/officeDocument/2006/relationships/hyperlink" Target="https://azizstan.net/student_image/25832.jpg" TargetMode="External"/><Relationship Id="rId731" Type="http://schemas.openxmlformats.org/officeDocument/2006/relationships/hyperlink" Target="https://azizstan.net/student_image/25799.jpg" TargetMode="External"/><Relationship Id="rId738" Type="http://schemas.openxmlformats.org/officeDocument/2006/relationships/hyperlink" Target="https://azizstan.net/student_image/25948.jpg" TargetMode="External"/><Relationship Id="rId737" Type="http://schemas.openxmlformats.org/officeDocument/2006/relationships/hyperlink" Target="https://azizstan.net/student_image/25875.jpg" TargetMode="External"/><Relationship Id="rId736" Type="http://schemas.openxmlformats.org/officeDocument/2006/relationships/hyperlink" Target="https://azizstan.net/student_image/25870.jpg" TargetMode="External"/><Relationship Id="rId735" Type="http://schemas.openxmlformats.org/officeDocument/2006/relationships/hyperlink" Target="https://azizstan.net/student_image/25866.jpg" TargetMode="External"/><Relationship Id="rId37" Type="http://schemas.openxmlformats.org/officeDocument/2006/relationships/hyperlink" Target="https://azizstan.net/student_image/26537.jpg" TargetMode="External"/><Relationship Id="rId36" Type="http://schemas.openxmlformats.org/officeDocument/2006/relationships/hyperlink" Target="https://azizstan.net/student_image/26536.jpg" TargetMode="External"/><Relationship Id="rId39" Type="http://schemas.openxmlformats.org/officeDocument/2006/relationships/hyperlink" Target="https://azizstan.net/student_image/26551.jpg" TargetMode="External"/><Relationship Id="rId38" Type="http://schemas.openxmlformats.org/officeDocument/2006/relationships/hyperlink" Target="https://azizstan.net/student_image/26538.jpg" TargetMode="External"/><Relationship Id="rId730" Type="http://schemas.openxmlformats.org/officeDocument/2006/relationships/hyperlink" Target="https://azizstan.net/student_image/25791.jpg" TargetMode="External"/><Relationship Id="rId2650" Type="http://schemas.openxmlformats.org/officeDocument/2006/relationships/drawing" Target="../drawings/drawing1.xml"/><Relationship Id="rId1320" Type="http://schemas.openxmlformats.org/officeDocument/2006/relationships/hyperlink" Target="https://azizstan.net/student_image/25150.jpg" TargetMode="External"/><Relationship Id="rId1321" Type="http://schemas.openxmlformats.org/officeDocument/2006/relationships/hyperlink" Target="https://azizstan.net/student_image/25170.jpg" TargetMode="External"/><Relationship Id="rId1322" Type="http://schemas.openxmlformats.org/officeDocument/2006/relationships/hyperlink" Target="https://azizstan.net/student_image/25243.jpg" TargetMode="External"/><Relationship Id="rId1356" Type="http://schemas.openxmlformats.org/officeDocument/2006/relationships/hyperlink" Target="https://azizstan.net/student_image/25227.jpg" TargetMode="External"/><Relationship Id="rId2203" Type="http://schemas.openxmlformats.org/officeDocument/2006/relationships/hyperlink" Target="https://azizstan.net/student_image/24559.jpg" TargetMode="External"/><Relationship Id="rId1357" Type="http://schemas.openxmlformats.org/officeDocument/2006/relationships/hyperlink" Target="https://azizstan.net/student_image/25283.jpg" TargetMode="External"/><Relationship Id="rId2204" Type="http://schemas.openxmlformats.org/officeDocument/2006/relationships/hyperlink" Target="https://azizstan.net/student_image/24739.jpg" TargetMode="External"/><Relationship Id="rId20" Type="http://schemas.openxmlformats.org/officeDocument/2006/relationships/hyperlink" Target="https://azizstan.net/student_image/26232.jpg" TargetMode="External"/><Relationship Id="rId1358" Type="http://schemas.openxmlformats.org/officeDocument/2006/relationships/hyperlink" Target="https://azizstan.net/student_image/25316.jpg" TargetMode="External"/><Relationship Id="rId2205" Type="http://schemas.openxmlformats.org/officeDocument/2006/relationships/hyperlink" Target="https://azizstan.net/student_image/24741.jpg" TargetMode="External"/><Relationship Id="rId1359" Type="http://schemas.openxmlformats.org/officeDocument/2006/relationships/hyperlink" Target="https://azizstan.net/student_image/24001.jpg" TargetMode="External"/><Relationship Id="rId2206" Type="http://schemas.openxmlformats.org/officeDocument/2006/relationships/hyperlink" Target="https://azizstan.net/student_image/24750.jpg" TargetMode="External"/><Relationship Id="rId22" Type="http://schemas.openxmlformats.org/officeDocument/2006/relationships/hyperlink" Target="https://azizstan.net/student_image/26272.jpg" TargetMode="External"/><Relationship Id="rId2207" Type="http://schemas.openxmlformats.org/officeDocument/2006/relationships/hyperlink" Target="https://azizstan.net/student_image/24787.jpg" TargetMode="External"/><Relationship Id="rId21" Type="http://schemas.openxmlformats.org/officeDocument/2006/relationships/hyperlink" Target="https://azizstan.net/student_image/26271.jpg" TargetMode="External"/><Relationship Id="rId2208" Type="http://schemas.openxmlformats.org/officeDocument/2006/relationships/hyperlink" Target="https://azizstan.net/student_image/24947.jpg" TargetMode="External"/><Relationship Id="rId24" Type="http://schemas.openxmlformats.org/officeDocument/2006/relationships/hyperlink" Target="https://azizstan.net/student_image/26349.jpg" TargetMode="External"/><Relationship Id="rId2209" Type="http://schemas.openxmlformats.org/officeDocument/2006/relationships/hyperlink" Target="https://azizstan.net/student_image/25027.jpg" TargetMode="External"/><Relationship Id="rId23" Type="http://schemas.openxmlformats.org/officeDocument/2006/relationships/hyperlink" Target="https://azizstan.net/student_image/26321.jpg" TargetMode="External"/><Relationship Id="rId767" Type="http://schemas.openxmlformats.org/officeDocument/2006/relationships/hyperlink" Target="https://azizstan.net/student_image/25685.jpg" TargetMode="External"/><Relationship Id="rId766" Type="http://schemas.openxmlformats.org/officeDocument/2006/relationships/hyperlink" Target="https://azizstan.net/student_image/25684.jpg" TargetMode="External"/><Relationship Id="rId765" Type="http://schemas.openxmlformats.org/officeDocument/2006/relationships/hyperlink" Target="https://azizstan.net/student_image/25679.jpg" TargetMode="External"/><Relationship Id="rId764" Type="http://schemas.openxmlformats.org/officeDocument/2006/relationships/hyperlink" Target="https://azizstan.net/student_image/25630.jpg" TargetMode="External"/><Relationship Id="rId769" Type="http://schemas.openxmlformats.org/officeDocument/2006/relationships/hyperlink" Target="https://azizstan.net/student_image/25692.jpg" TargetMode="External"/><Relationship Id="rId768" Type="http://schemas.openxmlformats.org/officeDocument/2006/relationships/hyperlink" Target="https://azizstan.net/student_image/25686.jpg" TargetMode="External"/><Relationship Id="rId26" Type="http://schemas.openxmlformats.org/officeDocument/2006/relationships/hyperlink" Target="https://azizstan.net/student_image/26355.jpg" TargetMode="External"/><Relationship Id="rId25" Type="http://schemas.openxmlformats.org/officeDocument/2006/relationships/hyperlink" Target="https://azizstan.net/student_image/26353.jpg" TargetMode="External"/><Relationship Id="rId28" Type="http://schemas.openxmlformats.org/officeDocument/2006/relationships/hyperlink" Target="https://azizstan.net/student_image/26366.jpg" TargetMode="External"/><Relationship Id="rId1350" Type="http://schemas.openxmlformats.org/officeDocument/2006/relationships/hyperlink" Target="https://azizstan.net/student_image/24974.jpg" TargetMode="External"/><Relationship Id="rId27" Type="http://schemas.openxmlformats.org/officeDocument/2006/relationships/hyperlink" Target="https://azizstan.net/student_image/26357.jpg" TargetMode="External"/><Relationship Id="rId1351" Type="http://schemas.openxmlformats.org/officeDocument/2006/relationships/hyperlink" Target="https://azizstan.net/student_image/25007.jpg" TargetMode="External"/><Relationship Id="rId763" Type="http://schemas.openxmlformats.org/officeDocument/2006/relationships/hyperlink" Target="https://azizstan.net/student_image/25627.jpg" TargetMode="External"/><Relationship Id="rId1352" Type="http://schemas.openxmlformats.org/officeDocument/2006/relationships/hyperlink" Target="https://azizstan.net/student_image/25040.jpg" TargetMode="External"/><Relationship Id="rId29" Type="http://schemas.openxmlformats.org/officeDocument/2006/relationships/hyperlink" Target="https://azizstan.net/student_image/26388.jpg" TargetMode="External"/><Relationship Id="rId762" Type="http://schemas.openxmlformats.org/officeDocument/2006/relationships/hyperlink" Target="https://azizstan.net/student_image/25617.jpg" TargetMode="External"/><Relationship Id="rId1353" Type="http://schemas.openxmlformats.org/officeDocument/2006/relationships/hyperlink" Target="https://azizstan.net/student_image/25085.jpg" TargetMode="External"/><Relationship Id="rId2200" Type="http://schemas.openxmlformats.org/officeDocument/2006/relationships/hyperlink" Target="https://azizstan.net/student_image/23315.jpg" TargetMode="External"/><Relationship Id="rId761" Type="http://schemas.openxmlformats.org/officeDocument/2006/relationships/hyperlink" Target="https://azizstan.net/student_image/25614.jpg" TargetMode="External"/><Relationship Id="rId1354" Type="http://schemas.openxmlformats.org/officeDocument/2006/relationships/hyperlink" Target="https://azizstan.net/student_image/25195.jpg" TargetMode="External"/><Relationship Id="rId2201" Type="http://schemas.openxmlformats.org/officeDocument/2006/relationships/hyperlink" Target="https://azizstan.net/student_image/23728.jpg" TargetMode="External"/><Relationship Id="rId760" Type="http://schemas.openxmlformats.org/officeDocument/2006/relationships/hyperlink" Target="https://azizstan.net/student_image/25611.jpg" TargetMode="External"/><Relationship Id="rId1355" Type="http://schemas.openxmlformats.org/officeDocument/2006/relationships/hyperlink" Target="https://azizstan.net/student_image/25200.jpg" TargetMode="External"/><Relationship Id="rId2202" Type="http://schemas.openxmlformats.org/officeDocument/2006/relationships/hyperlink" Target="https://azizstan.net/student_image/23992.jpg" TargetMode="External"/><Relationship Id="rId1345" Type="http://schemas.openxmlformats.org/officeDocument/2006/relationships/hyperlink" Target="https://azizstan.net/student_image/24919.jpg" TargetMode="External"/><Relationship Id="rId1346" Type="http://schemas.openxmlformats.org/officeDocument/2006/relationships/hyperlink" Target="https://azizstan.net/student_image/24922.jpg" TargetMode="External"/><Relationship Id="rId1347" Type="http://schemas.openxmlformats.org/officeDocument/2006/relationships/hyperlink" Target="https://azizstan.net/student_image/24937.jpg" TargetMode="External"/><Relationship Id="rId1348" Type="http://schemas.openxmlformats.org/officeDocument/2006/relationships/hyperlink" Target="https://azizstan.net/student_image/24946.jpg" TargetMode="External"/><Relationship Id="rId11" Type="http://schemas.openxmlformats.org/officeDocument/2006/relationships/hyperlink" Target="https://azizstan.net/student_image/23818.jpg" TargetMode="External"/><Relationship Id="rId1349" Type="http://schemas.openxmlformats.org/officeDocument/2006/relationships/hyperlink" Target="https://azizstan.net/student_image/24948.jpg" TargetMode="External"/><Relationship Id="rId10" Type="http://schemas.openxmlformats.org/officeDocument/2006/relationships/hyperlink" Target="https://azizstan.net/student_image/23739.jpg" TargetMode="External"/><Relationship Id="rId13" Type="http://schemas.openxmlformats.org/officeDocument/2006/relationships/hyperlink" Target="https://azizstan.net/student_image/25982.jpg" TargetMode="External"/><Relationship Id="rId12" Type="http://schemas.openxmlformats.org/officeDocument/2006/relationships/hyperlink" Target="https://azizstan.net/student_image/25683.jpg" TargetMode="External"/><Relationship Id="rId756" Type="http://schemas.openxmlformats.org/officeDocument/2006/relationships/hyperlink" Target="https://azizstan.net/student_image/25578.jpg" TargetMode="External"/><Relationship Id="rId755" Type="http://schemas.openxmlformats.org/officeDocument/2006/relationships/hyperlink" Target="https://azizstan.net/student_image/25574.jpg" TargetMode="External"/><Relationship Id="rId754" Type="http://schemas.openxmlformats.org/officeDocument/2006/relationships/hyperlink" Target="https://azizstan.net/student_image/25569.jpg" TargetMode="External"/><Relationship Id="rId753" Type="http://schemas.openxmlformats.org/officeDocument/2006/relationships/hyperlink" Target="https://azizstan.net/student_image/25513.jpg" TargetMode="External"/><Relationship Id="rId759" Type="http://schemas.openxmlformats.org/officeDocument/2006/relationships/hyperlink" Target="https://azizstan.net/student_image/25610.jpg" TargetMode="External"/><Relationship Id="rId758" Type="http://schemas.openxmlformats.org/officeDocument/2006/relationships/hyperlink" Target="https://azizstan.net/student_image/25609.jpg" TargetMode="External"/><Relationship Id="rId757" Type="http://schemas.openxmlformats.org/officeDocument/2006/relationships/hyperlink" Target="https://azizstan.net/student_image/25596.jpg" TargetMode="External"/><Relationship Id="rId15" Type="http://schemas.openxmlformats.org/officeDocument/2006/relationships/hyperlink" Target="https://azizstan.net/student_image/26143.jpg" TargetMode="External"/><Relationship Id="rId14" Type="http://schemas.openxmlformats.org/officeDocument/2006/relationships/hyperlink" Target="https://azizstan.net/student_image/26126.jpg" TargetMode="External"/><Relationship Id="rId17" Type="http://schemas.openxmlformats.org/officeDocument/2006/relationships/hyperlink" Target="https://azizstan.net/student_image/26223.jpg" TargetMode="External"/><Relationship Id="rId16" Type="http://schemas.openxmlformats.org/officeDocument/2006/relationships/hyperlink" Target="https://azizstan.net/student_image/26183.jpg" TargetMode="External"/><Relationship Id="rId1340" Type="http://schemas.openxmlformats.org/officeDocument/2006/relationships/hyperlink" Target="https://azizstan.net/student_image/24824.jpg" TargetMode="External"/><Relationship Id="rId19" Type="http://schemas.openxmlformats.org/officeDocument/2006/relationships/hyperlink" Target="https://azizstan.net/student_image/26229.jpg" TargetMode="External"/><Relationship Id="rId752" Type="http://schemas.openxmlformats.org/officeDocument/2006/relationships/hyperlink" Target="https://azizstan.net/student_image/25491.jpg" TargetMode="External"/><Relationship Id="rId1341" Type="http://schemas.openxmlformats.org/officeDocument/2006/relationships/hyperlink" Target="https://azizstan.net/student_image/24843.jpg" TargetMode="External"/><Relationship Id="rId18" Type="http://schemas.openxmlformats.org/officeDocument/2006/relationships/hyperlink" Target="https://azizstan.net/student_image/26228.jpg" TargetMode="External"/><Relationship Id="rId751" Type="http://schemas.openxmlformats.org/officeDocument/2006/relationships/hyperlink" Target="https://azizstan.net/student_image/25475.jpg" TargetMode="External"/><Relationship Id="rId1342" Type="http://schemas.openxmlformats.org/officeDocument/2006/relationships/hyperlink" Target="https://azizstan.net/student_image/24854.jpg" TargetMode="External"/><Relationship Id="rId750" Type="http://schemas.openxmlformats.org/officeDocument/2006/relationships/hyperlink" Target="https://azizstan.net/student_image/25448.jpg" TargetMode="External"/><Relationship Id="rId1343" Type="http://schemas.openxmlformats.org/officeDocument/2006/relationships/hyperlink" Target="https://azizstan.net/student_image/24878.jpg" TargetMode="External"/><Relationship Id="rId1344" Type="http://schemas.openxmlformats.org/officeDocument/2006/relationships/hyperlink" Target="https://azizstan.net/student_image/24882.jpg" TargetMode="External"/><Relationship Id="rId84" Type="http://schemas.openxmlformats.org/officeDocument/2006/relationships/hyperlink" Target="https://azizstan.net/student_image/26792.jpg" TargetMode="External"/><Relationship Id="rId1774" Type="http://schemas.openxmlformats.org/officeDocument/2006/relationships/hyperlink" Target="https://azizstan.net/student_image/23703.jpg" TargetMode="External"/><Relationship Id="rId2621" Type="http://schemas.openxmlformats.org/officeDocument/2006/relationships/hyperlink" Target="https://azizstan.net/student_image_voc/6620204007.jpg" TargetMode="External"/><Relationship Id="rId83" Type="http://schemas.openxmlformats.org/officeDocument/2006/relationships/hyperlink" Target="https://azizstan.net/student_image/26722.jpg" TargetMode="External"/><Relationship Id="rId1775" Type="http://schemas.openxmlformats.org/officeDocument/2006/relationships/hyperlink" Target="https://azizstan.net/student_image/23725.jpg" TargetMode="External"/><Relationship Id="rId2622" Type="http://schemas.openxmlformats.org/officeDocument/2006/relationships/hyperlink" Target="https://azizstan.net/student_image_voc/6620204009.jpg" TargetMode="External"/><Relationship Id="rId86" Type="http://schemas.openxmlformats.org/officeDocument/2006/relationships/hyperlink" Target="https://azizstan.net/student_image/26814.jpg" TargetMode="External"/><Relationship Id="rId1776" Type="http://schemas.openxmlformats.org/officeDocument/2006/relationships/hyperlink" Target="https://azizstan.net/student_image/23782.jpg" TargetMode="External"/><Relationship Id="rId2623" Type="http://schemas.openxmlformats.org/officeDocument/2006/relationships/hyperlink" Target="https://azizstan.net/student_image_voc/6620204010.jpg" TargetMode="External"/><Relationship Id="rId85" Type="http://schemas.openxmlformats.org/officeDocument/2006/relationships/hyperlink" Target="https://azizstan.net/student_image/26798.jpg" TargetMode="External"/><Relationship Id="rId1777" Type="http://schemas.openxmlformats.org/officeDocument/2006/relationships/hyperlink" Target="https://azizstan.net/student_image/23785.jpg" TargetMode="External"/><Relationship Id="rId2624" Type="http://schemas.openxmlformats.org/officeDocument/2006/relationships/hyperlink" Target="https://azizstan.net/student_image_voc/6620204011.jpg" TargetMode="External"/><Relationship Id="rId88" Type="http://schemas.openxmlformats.org/officeDocument/2006/relationships/hyperlink" Target="https://azizstan.net/student_image/26045.jpg" TargetMode="External"/><Relationship Id="rId1778" Type="http://schemas.openxmlformats.org/officeDocument/2006/relationships/hyperlink" Target="https://azizstan.net/student_image/23884.jpg" TargetMode="External"/><Relationship Id="rId2625" Type="http://schemas.openxmlformats.org/officeDocument/2006/relationships/hyperlink" Target="https://azizstan.net/student_image_voc/6620204019.jpg" TargetMode="External"/><Relationship Id="rId87" Type="http://schemas.openxmlformats.org/officeDocument/2006/relationships/hyperlink" Target="https://azizstan.net/student_image/26035.jpg" TargetMode="External"/><Relationship Id="rId1779" Type="http://schemas.openxmlformats.org/officeDocument/2006/relationships/hyperlink" Target="https://azizstan.net/student_image/23941.jpg" TargetMode="External"/><Relationship Id="rId2626" Type="http://schemas.openxmlformats.org/officeDocument/2006/relationships/hyperlink" Target="https://azizstan.net/student_image_voc/6620204024.jpg" TargetMode="External"/><Relationship Id="rId2627" Type="http://schemas.openxmlformats.org/officeDocument/2006/relationships/hyperlink" Target="https://azizstan.net/student_image_voc/6620204032.jpg" TargetMode="External"/><Relationship Id="rId89" Type="http://schemas.openxmlformats.org/officeDocument/2006/relationships/hyperlink" Target="https://azizstan.net/student_image/26056.jpg" TargetMode="External"/><Relationship Id="rId2628" Type="http://schemas.openxmlformats.org/officeDocument/2006/relationships/hyperlink" Target="https://azizstan.net/student_image_voc/6620204033.jpg" TargetMode="External"/><Relationship Id="rId709" Type="http://schemas.openxmlformats.org/officeDocument/2006/relationships/hyperlink" Target="https://azizstan.net/student_image/25436.jpg" TargetMode="External"/><Relationship Id="rId2629" Type="http://schemas.openxmlformats.org/officeDocument/2006/relationships/hyperlink" Target="https://azizstan.net/student_image_voc/6620204038.jpg" TargetMode="External"/><Relationship Id="rId708" Type="http://schemas.openxmlformats.org/officeDocument/2006/relationships/hyperlink" Target="https://azizstan.net/student_image/25410.jpg" TargetMode="External"/><Relationship Id="rId707" Type="http://schemas.openxmlformats.org/officeDocument/2006/relationships/hyperlink" Target="https://azizstan.net/student_image/25408.jpg" TargetMode="External"/><Relationship Id="rId706" Type="http://schemas.openxmlformats.org/officeDocument/2006/relationships/hyperlink" Target="https://azizstan.net/student_image/25394.jpg" TargetMode="External"/><Relationship Id="rId80" Type="http://schemas.openxmlformats.org/officeDocument/2006/relationships/hyperlink" Target="https://azizstan.net/student_image/26654.jpg" TargetMode="External"/><Relationship Id="rId82" Type="http://schemas.openxmlformats.org/officeDocument/2006/relationships/hyperlink" Target="https://azizstan.net/student_image/26693.jpg" TargetMode="External"/><Relationship Id="rId81" Type="http://schemas.openxmlformats.org/officeDocument/2006/relationships/hyperlink" Target="https://azizstan.net/student_image/26667.jpg" TargetMode="External"/><Relationship Id="rId701" Type="http://schemas.openxmlformats.org/officeDocument/2006/relationships/hyperlink" Target="https://azizstan.net/student_image/25970.jpg" TargetMode="External"/><Relationship Id="rId700" Type="http://schemas.openxmlformats.org/officeDocument/2006/relationships/hyperlink" Target="https://azizstan.net/student_image/25950.jpg" TargetMode="External"/><Relationship Id="rId705" Type="http://schemas.openxmlformats.org/officeDocument/2006/relationships/hyperlink" Target="https://azizstan.net/student_image/25385.jpg" TargetMode="External"/><Relationship Id="rId704" Type="http://schemas.openxmlformats.org/officeDocument/2006/relationships/hyperlink" Target="https://azizstan.net/student_image/25363.jpg" TargetMode="External"/><Relationship Id="rId703" Type="http://schemas.openxmlformats.org/officeDocument/2006/relationships/hyperlink" Target="https://azizstan.net/student_image/25351.jpg" TargetMode="External"/><Relationship Id="rId702" Type="http://schemas.openxmlformats.org/officeDocument/2006/relationships/hyperlink" Target="https://azizstan.net/student_image/26813.jpg" TargetMode="External"/><Relationship Id="rId1770" Type="http://schemas.openxmlformats.org/officeDocument/2006/relationships/hyperlink" Target="https://azizstan.net/student_image/23578.jpg" TargetMode="External"/><Relationship Id="rId1771" Type="http://schemas.openxmlformats.org/officeDocument/2006/relationships/hyperlink" Target="https://azizstan.net/student_image/23585.jpg" TargetMode="External"/><Relationship Id="rId1772" Type="http://schemas.openxmlformats.org/officeDocument/2006/relationships/hyperlink" Target="https://azizstan.net/student_image/23652.jpg" TargetMode="External"/><Relationship Id="rId1773" Type="http://schemas.openxmlformats.org/officeDocument/2006/relationships/hyperlink" Target="https://azizstan.net/student_image/23701.jpg" TargetMode="External"/><Relationship Id="rId2620" Type="http://schemas.openxmlformats.org/officeDocument/2006/relationships/hyperlink" Target="https://azizstan.net/student_image_voc/6620204006.jpg" TargetMode="External"/><Relationship Id="rId73" Type="http://schemas.openxmlformats.org/officeDocument/2006/relationships/hyperlink" Target="https://azizstan.net/student_image/26440.jpg" TargetMode="External"/><Relationship Id="rId1763" Type="http://schemas.openxmlformats.org/officeDocument/2006/relationships/hyperlink" Target="https://azizstan.net/student_image/23366.jpg" TargetMode="External"/><Relationship Id="rId2610" Type="http://schemas.openxmlformats.org/officeDocument/2006/relationships/hyperlink" Target="https://azizstan.net/student_image_voc/6620204098.jpg" TargetMode="External"/><Relationship Id="rId72" Type="http://schemas.openxmlformats.org/officeDocument/2006/relationships/hyperlink" Target="https://azizstan.net/student_image/26438.jpg" TargetMode="External"/><Relationship Id="rId1764" Type="http://schemas.openxmlformats.org/officeDocument/2006/relationships/hyperlink" Target="https://azizstan.net/student_image/23401.jpg" TargetMode="External"/><Relationship Id="rId2611" Type="http://schemas.openxmlformats.org/officeDocument/2006/relationships/hyperlink" Target="https://azizstan.net/student_image_voc/6620204099.jpg" TargetMode="External"/><Relationship Id="rId75" Type="http://schemas.openxmlformats.org/officeDocument/2006/relationships/hyperlink" Target="https://azizstan.net/student_image/26487.jpg" TargetMode="External"/><Relationship Id="rId1765" Type="http://schemas.openxmlformats.org/officeDocument/2006/relationships/hyperlink" Target="https://azizstan.net/student_image/23406.jpg" TargetMode="External"/><Relationship Id="rId2612" Type="http://schemas.openxmlformats.org/officeDocument/2006/relationships/hyperlink" Target="https://azizstan.net/student_image_voc/6620204102.jpg" TargetMode="External"/><Relationship Id="rId74" Type="http://schemas.openxmlformats.org/officeDocument/2006/relationships/hyperlink" Target="https://azizstan.net/student_image/26461.jpg" TargetMode="External"/><Relationship Id="rId1766" Type="http://schemas.openxmlformats.org/officeDocument/2006/relationships/hyperlink" Target="https://azizstan.net/student_image/23458.jpg" TargetMode="External"/><Relationship Id="rId2613" Type="http://schemas.openxmlformats.org/officeDocument/2006/relationships/hyperlink" Target="https://azizstan.net/student_image_voc/6620204104.jpg" TargetMode="External"/><Relationship Id="rId77" Type="http://schemas.openxmlformats.org/officeDocument/2006/relationships/hyperlink" Target="https://azizstan.net/student_image/26535.jpg" TargetMode="External"/><Relationship Id="rId1767" Type="http://schemas.openxmlformats.org/officeDocument/2006/relationships/hyperlink" Target="https://azizstan.net/student_image/23470.jpg" TargetMode="External"/><Relationship Id="rId2614" Type="http://schemas.openxmlformats.org/officeDocument/2006/relationships/hyperlink" Target="https://azizstan.net/student_image_voc/6620204106.jpg" TargetMode="External"/><Relationship Id="rId76" Type="http://schemas.openxmlformats.org/officeDocument/2006/relationships/hyperlink" Target="https://azizstan.net/student_image/26515.jpg" TargetMode="External"/><Relationship Id="rId1768" Type="http://schemas.openxmlformats.org/officeDocument/2006/relationships/hyperlink" Target="https://azizstan.net/student_image/23496.jpg" TargetMode="External"/><Relationship Id="rId2615" Type="http://schemas.openxmlformats.org/officeDocument/2006/relationships/hyperlink" Target="https://azizstan.net/student_image_voc/6620204107.jpg" TargetMode="External"/><Relationship Id="rId79" Type="http://schemas.openxmlformats.org/officeDocument/2006/relationships/hyperlink" Target="https://azizstan.net/student_image/26627.jpg" TargetMode="External"/><Relationship Id="rId1769" Type="http://schemas.openxmlformats.org/officeDocument/2006/relationships/hyperlink" Target="https://azizstan.net/student_image/23563.jpg" TargetMode="External"/><Relationship Id="rId2616" Type="http://schemas.openxmlformats.org/officeDocument/2006/relationships/hyperlink" Target="https://azizstan.net/student_image_voc/432.jpg" TargetMode="External"/><Relationship Id="rId78" Type="http://schemas.openxmlformats.org/officeDocument/2006/relationships/hyperlink" Target="https://azizstan.net/student_image/26603.jpg" TargetMode="External"/><Relationship Id="rId2617" Type="http://schemas.openxmlformats.org/officeDocument/2006/relationships/hyperlink" Target="https://azizstan.net/student_image_voc/6620204002.jpg" TargetMode="External"/><Relationship Id="rId2618" Type="http://schemas.openxmlformats.org/officeDocument/2006/relationships/hyperlink" Target="https://azizstan.net/student_image_voc/6620204003.jpg" TargetMode="External"/><Relationship Id="rId2619" Type="http://schemas.openxmlformats.org/officeDocument/2006/relationships/hyperlink" Target="https://azizstan.net/student_image_voc/6620204005.jpg" TargetMode="External"/><Relationship Id="rId71" Type="http://schemas.openxmlformats.org/officeDocument/2006/relationships/hyperlink" Target="https://azizstan.net/student_image/26437.jpg" TargetMode="External"/><Relationship Id="rId70" Type="http://schemas.openxmlformats.org/officeDocument/2006/relationships/hyperlink" Target="https://azizstan.net/student_image/26433.jpg" TargetMode="External"/><Relationship Id="rId1760" Type="http://schemas.openxmlformats.org/officeDocument/2006/relationships/hyperlink" Target="https://azizstan.net/student_image/21905.jpg" TargetMode="External"/><Relationship Id="rId1761" Type="http://schemas.openxmlformats.org/officeDocument/2006/relationships/hyperlink" Target="https://azizstan.net/student_image/23338.jpg" TargetMode="External"/><Relationship Id="rId1762" Type="http://schemas.openxmlformats.org/officeDocument/2006/relationships/hyperlink" Target="https://azizstan.net/student_image/23355.jpg" TargetMode="External"/><Relationship Id="rId62" Type="http://schemas.openxmlformats.org/officeDocument/2006/relationships/hyperlink" Target="https://azizstan.net/student_image/26279.jpg" TargetMode="External"/><Relationship Id="rId1312" Type="http://schemas.openxmlformats.org/officeDocument/2006/relationships/hyperlink" Target="https://azizstan.net/student_image/24990.jpg" TargetMode="External"/><Relationship Id="rId1796" Type="http://schemas.openxmlformats.org/officeDocument/2006/relationships/hyperlink" Target="https://azizstan.net/student_image/23354.jpg" TargetMode="External"/><Relationship Id="rId2643" Type="http://schemas.openxmlformats.org/officeDocument/2006/relationships/hyperlink" Target="https://azizstan.net/student_image_voc/6620204105.jpg" TargetMode="External"/><Relationship Id="rId61" Type="http://schemas.openxmlformats.org/officeDocument/2006/relationships/hyperlink" Target="https://azizstan.net/student_image/26273.jpg" TargetMode="External"/><Relationship Id="rId1313" Type="http://schemas.openxmlformats.org/officeDocument/2006/relationships/hyperlink" Target="https://azizstan.net/student_image/24991.jpg" TargetMode="External"/><Relationship Id="rId1797" Type="http://schemas.openxmlformats.org/officeDocument/2006/relationships/hyperlink" Target="https://azizstan.net/student_image/23358.jpg" TargetMode="External"/><Relationship Id="rId2644" Type="http://schemas.openxmlformats.org/officeDocument/2006/relationships/hyperlink" Target="https://azizstan.net/student_image_voc/6620204110.jpg" TargetMode="External"/><Relationship Id="rId64" Type="http://schemas.openxmlformats.org/officeDocument/2006/relationships/hyperlink" Target="https://azizstan.net/student_image/26293.jpg" TargetMode="External"/><Relationship Id="rId1314" Type="http://schemas.openxmlformats.org/officeDocument/2006/relationships/hyperlink" Target="https://azizstan.net/student_image/24995.jpg" TargetMode="External"/><Relationship Id="rId1798" Type="http://schemas.openxmlformats.org/officeDocument/2006/relationships/hyperlink" Target="https://azizstan.net/student_image/23367.jpg" TargetMode="External"/><Relationship Id="rId2645" Type="http://schemas.openxmlformats.org/officeDocument/2006/relationships/hyperlink" Target="https://azizstan.net/student_image_voc/6620204111.jpg" TargetMode="External"/><Relationship Id="rId63" Type="http://schemas.openxmlformats.org/officeDocument/2006/relationships/hyperlink" Target="https://azizstan.net/student_image/26291.jpg" TargetMode="External"/><Relationship Id="rId1315" Type="http://schemas.openxmlformats.org/officeDocument/2006/relationships/hyperlink" Target="https://azizstan.net/student_image/25074.jpg" TargetMode="External"/><Relationship Id="rId1799" Type="http://schemas.openxmlformats.org/officeDocument/2006/relationships/hyperlink" Target="https://azizstan.net/student_image/23375.jpg" TargetMode="External"/><Relationship Id="rId2646" Type="http://schemas.openxmlformats.org/officeDocument/2006/relationships/hyperlink" Target="https://azizstan.net/student_image_voc/6620204112.jpg" TargetMode="External"/><Relationship Id="rId66" Type="http://schemas.openxmlformats.org/officeDocument/2006/relationships/hyperlink" Target="https://azizstan.net/student_image/26328.jpg" TargetMode="External"/><Relationship Id="rId1316" Type="http://schemas.openxmlformats.org/officeDocument/2006/relationships/hyperlink" Target="https://azizstan.net/student_image/25082.jpg" TargetMode="External"/><Relationship Id="rId2647" Type="http://schemas.openxmlformats.org/officeDocument/2006/relationships/hyperlink" Target="https://azizstan.net/student_image_voc/6620204113.jpg" TargetMode="External"/><Relationship Id="rId65" Type="http://schemas.openxmlformats.org/officeDocument/2006/relationships/hyperlink" Target="https://azizstan.net/student_image/26327.jpg" TargetMode="External"/><Relationship Id="rId1317" Type="http://schemas.openxmlformats.org/officeDocument/2006/relationships/hyperlink" Target="https://azizstan.net/student_image/25093.jpg" TargetMode="External"/><Relationship Id="rId2648" Type="http://schemas.openxmlformats.org/officeDocument/2006/relationships/hyperlink" Target="https://azizstan.net/student_image_voc/6620204117.jpg" TargetMode="External"/><Relationship Id="rId68" Type="http://schemas.openxmlformats.org/officeDocument/2006/relationships/hyperlink" Target="https://azizstan.net/student_image/26370.jpg" TargetMode="External"/><Relationship Id="rId1318" Type="http://schemas.openxmlformats.org/officeDocument/2006/relationships/hyperlink" Target="https://azizstan.net/student_image/25103.jpg" TargetMode="External"/><Relationship Id="rId2649" Type="http://schemas.openxmlformats.org/officeDocument/2006/relationships/hyperlink" Target="https://azizstan.net/student_image_voc/6620204121.jpg" TargetMode="External"/><Relationship Id="rId67" Type="http://schemas.openxmlformats.org/officeDocument/2006/relationships/hyperlink" Target="https://azizstan.net/student_image/26362.jpg" TargetMode="External"/><Relationship Id="rId1319" Type="http://schemas.openxmlformats.org/officeDocument/2006/relationships/hyperlink" Target="https://azizstan.net/student_image/25122.jpg" TargetMode="External"/><Relationship Id="rId729" Type="http://schemas.openxmlformats.org/officeDocument/2006/relationships/hyperlink" Target="https://azizstan.net/student_image/25761.jpg" TargetMode="External"/><Relationship Id="rId728" Type="http://schemas.openxmlformats.org/officeDocument/2006/relationships/hyperlink" Target="https://azizstan.net/student_image/25732.jpg" TargetMode="External"/><Relationship Id="rId60" Type="http://schemas.openxmlformats.org/officeDocument/2006/relationships/hyperlink" Target="https://azizstan.net/student_image/26262.jpg" TargetMode="External"/><Relationship Id="rId723" Type="http://schemas.openxmlformats.org/officeDocument/2006/relationships/hyperlink" Target="https://azizstan.net/student_image/25659.jpg" TargetMode="External"/><Relationship Id="rId722" Type="http://schemas.openxmlformats.org/officeDocument/2006/relationships/hyperlink" Target="https://azizstan.net/student_image/25649.jpg" TargetMode="External"/><Relationship Id="rId721" Type="http://schemas.openxmlformats.org/officeDocument/2006/relationships/hyperlink" Target="https://azizstan.net/student_image/25641.jpg" TargetMode="External"/><Relationship Id="rId720" Type="http://schemas.openxmlformats.org/officeDocument/2006/relationships/hyperlink" Target="https://azizstan.net/student_image/25620.jpg" TargetMode="External"/><Relationship Id="rId727" Type="http://schemas.openxmlformats.org/officeDocument/2006/relationships/hyperlink" Target="https://azizstan.net/student_image/25699.jpg" TargetMode="External"/><Relationship Id="rId726" Type="http://schemas.openxmlformats.org/officeDocument/2006/relationships/hyperlink" Target="https://azizstan.net/student_image/25676.jpg" TargetMode="External"/><Relationship Id="rId725" Type="http://schemas.openxmlformats.org/officeDocument/2006/relationships/hyperlink" Target="https://azizstan.net/student_image/25672.jpg" TargetMode="External"/><Relationship Id="rId724" Type="http://schemas.openxmlformats.org/officeDocument/2006/relationships/hyperlink" Target="https://azizstan.net/student_image/25666.jpg" TargetMode="External"/><Relationship Id="rId69" Type="http://schemas.openxmlformats.org/officeDocument/2006/relationships/hyperlink" Target="https://azizstan.net/student_image/26425.jpg" TargetMode="External"/><Relationship Id="rId1790" Type="http://schemas.openxmlformats.org/officeDocument/2006/relationships/hyperlink" Target="https://azizstan.net/student_image/25885.jpg" TargetMode="External"/><Relationship Id="rId1791" Type="http://schemas.openxmlformats.org/officeDocument/2006/relationships/hyperlink" Target="https://azizstan.net/student_image/25992.jpg" TargetMode="External"/><Relationship Id="rId1792" Type="http://schemas.openxmlformats.org/officeDocument/2006/relationships/hyperlink" Target="https://azizstan.net/student_image/26013.jpg" TargetMode="External"/><Relationship Id="rId1793" Type="http://schemas.openxmlformats.org/officeDocument/2006/relationships/hyperlink" Target="https://azizstan.net/student_image/26021.jpg" TargetMode="External"/><Relationship Id="rId2640" Type="http://schemas.openxmlformats.org/officeDocument/2006/relationships/hyperlink" Target="https://azizstan.net/student_image_voc/6620204094.jpg" TargetMode="External"/><Relationship Id="rId1310" Type="http://schemas.openxmlformats.org/officeDocument/2006/relationships/hyperlink" Target="https://azizstan.net/student_image/24964.jpg" TargetMode="External"/><Relationship Id="rId1794" Type="http://schemas.openxmlformats.org/officeDocument/2006/relationships/hyperlink" Target="https://azizstan.net/student_image/26033.jpg" TargetMode="External"/><Relationship Id="rId2641" Type="http://schemas.openxmlformats.org/officeDocument/2006/relationships/hyperlink" Target="https://azizstan.net/student_image_voc/6620204097.jpg" TargetMode="External"/><Relationship Id="rId1311" Type="http://schemas.openxmlformats.org/officeDocument/2006/relationships/hyperlink" Target="https://azizstan.net/student_image/24972.jpg" TargetMode="External"/><Relationship Id="rId1795" Type="http://schemas.openxmlformats.org/officeDocument/2006/relationships/hyperlink" Target="https://azizstan.net/student_image/26190.jpg" TargetMode="External"/><Relationship Id="rId2642" Type="http://schemas.openxmlformats.org/officeDocument/2006/relationships/hyperlink" Target="https://azizstan.net/student_image_voc/6620204100.jpg" TargetMode="External"/><Relationship Id="rId51" Type="http://schemas.openxmlformats.org/officeDocument/2006/relationships/hyperlink" Target="https://azizstan.net/student_image/26081.jpg" TargetMode="External"/><Relationship Id="rId1301" Type="http://schemas.openxmlformats.org/officeDocument/2006/relationships/hyperlink" Target="https://azizstan.net/student_image/24661.jpg" TargetMode="External"/><Relationship Id="rId1785" Type="http://schemas.openxmlformats.org/officeDocument/2006/relationships/hyperlink" Target="https://azizstan.net/student_image/25745.jpg" TargetMode="External"/><Relationship Id="rId2632" Type="http://schemas.openxmlformats.org/officeDocument/2006/relationships/hyperlink" Target="https://azizstan.net/student_image_voc/6620204055.jpg" TargetMode="External"/><Relationship Id="rId50" Type="http://schemas.openxmlformats.org/officeDocument/2006/relationships/hyperlink" Target="https://azizstan.net/student_image/26070.jpg" TargetMode="External"/><Relationship Id="rId1302" Type="http://schemas.openxmlformats.org/officeDocument/2006/relationships/hyperlink" Target="https://azizstan.net/student_image/24667.jpg" TargetMode="External"/><Relationship Id="rId1786" Type="http://schemas.openxmlformats.org/officeDocument/2006/relationships/hyperlink" Target="https://azizstan.net/student_image/25798.jpg" TargetMode="External"/><Relationship Id="rId2633" Type="http://schemas.openxmlformats.org/officeDocument/2006/relationships/hyperlink" Target="https://azizstan.net/student_image_voc/6620204065.jpg" TargetMode="External"/><Relationship Id="rId53" Type="http://schemas.openxmlformats.org/officeDocument/2006/relationships/hyperlink" Target="https://azizstan.net/student_image/26089.jpg" TargetMode="External"/><Relationship Id="rId1303" Type="http://schemas.openxmlformats.org/officeDocument/2006/relationships/hyperlink" Target="https://azizstan.net/student_image/24717.jpg" TargetMode="External"/><Relationship Id="rId1787" Type="http://schemas.openxmlformats.org/officeDocument/2006/relationships/hyperlink" Target="https://azizstan.net/student_image/25812.jpg" TargetMode="External"/><Relationship Id="rId2634" Type="http://schemas.openxmlformats.org/officeDocument/2006/relationships/hyperlink" Target="https://azizstan.net/student_image_voc/6620204068.jpg" TargetMode="External"/><Relationship Id="rId52" Type="http://schemas.openxmlformats.org/officeDocument/2006/relationships/hyperlink" Target="https://azizstan.net/student_image/26085.jpg" TargetMode="External"/><Relationship Id="rId1304" Type="http://schemas.openxmlformats.org/officeDocument/2006/relationships/hyperlink" Target="https://azizstan.net/student_image/24745.jpg" TargetMode="External"/><Relationship Id="rId1788" Type="http://schemas.openxmlformats.org/officeDocument/2006/relationships/hyperlink" Target="https://azizstan.net/student_image/25813.jpg" TargetMode="External"/><Relationship Id="rId2635" Type="http://schemas.openxmlformats.org/officeDocument/2006/relationships/hyperlink" Target="https://azizstan.net/student_image_voc/6620204069.jpg" TargetMode="External"/><Relationship Id="rId55" Type="http://schemas.openxmlformats.org/officeDocument/2006/relationships/hyperlink" Target="https://azizstan.net/student_image/26131.jpg" TargetMode="External"/><Relationship Id="rId1305" Type="http://schemas.openxmlformats.org/officeDocument/2006/relationships/hyperlink" Target="https://azizstan.net/student_image/24770.jpg" TargetMode="External"/><Relationship Id="rId1789" Type="http://schemas.openxmlformats.org/officeDocument/2006/relationships/hyperlink" Target="https://azizstan.net/student_image/25824.jpg" TargetMode="External"/><Relationship Id="rId2636" Type="http://schemas.openxmlformats.org/officeDocument/2006/relationships/hyperlink" Target="https://azizstan.net/student_image_voc/6620204075.jpg" TargetMode="External"/><Relationship Id="rId54" Type="http://schemas.openxmlformats.org/officeDocument/2006/relationships/hyperlink" Target="https://azizstan.net/student_image/26116.jpg" TargetMode="External"/><Relationship Id="rId1306" Type="http://schemas.openxmlformats.org/officeDocument/2006/relationships/hyperlink" Target="https://azizstan.net/student_image/24775.jpg" TargetMode="External"/><Relationship Id="rId2637" Type="http://schemas.openxmlformats.org/officeDocument/2006/relationships/hyperlink" Target="https://azizstan.net/student_image_voc/6620204080.jpg" TargetMode="External"/><Relationship Id="rId57" Type="http://schemas.openxmlformats.org/officeDocument/2006/relationships/hyperlink" Target="https://azizstan.net/student_image/26154.jpg" TargetMode="External"/><Relationship Id="rId1307" Type="http://schemas.openxmlformats.org/officeDocument/2006/relationships/hyperlink" Target="https://azizstan.net/student_image/24777.jpg" TargetMode="External"/><Relationship Id="rId2638" Type="http://schemas.openxmlformats.org/officeDocument/2006/relationships/hyperlink" Target="https://azizstan.net/student_image_voc/6620204087.jpg" TargetMode="External"/><Relationship Id="rId56" Type="http://schemas.openxmlformats.org/officeDocument/2006/relationships/hyperlink" Target="https://azizstan.net/student_image/26136.jpg" TargetMode="External"/><Relationship Id="rId1308" Type="http://schemas.openxmlformats.org/officeDocument/2006/relationships/hyperlink" Target="https://azizstan.net/student_image/24851.jpg" TargetMode="External"/><Relationship Id="rId2639" Type="http://schemas.openxmlformats.org/officeDocument/2006/relationships/hyperlink" Target="https://azizstan.net/student_image_voc/6620204090.jpg" TargetMode="External"/><Relationship Id="rId1309" Type="http://schemas.openxmlformats.org/officeDocument/2006/relationships/hyperlink" Target="https://azizstan.net/student_image/24917.jpg" TargetMode="External"/><Relationship Id="rId719" Type="http://schemas.openxmlformats.org/officeDocument/2006/relationships/hyperlink" Target="https://azizstan.net/student_image/25612.jpg" TargetMode="External"/><Relationship Id="rId718" Type="http://schemas.openxmlformats.org/officeDocument/2006/relationships/hyperlink" Target="https://azizstan.net/student_image/25587.jpg" TargetMode="External"/><Relationship Id="rId717" Type="http://schemas.openxmlformats.org/officeDocument/2006/relationships/hyperlink" Target="https://azizstan.net/student_image/25560.jpg" TargetMode="External"/><Relationship Id="rId712" Type="http://schemas.openxmlformats.org/officeDocument/2006/relationships/hyperlink" Target="https://azizstan.net/student_image/25477.jpg" TargetMode="External"/><Relationship Id="rId711" Type="http://schemas.openxmlformats.org/officeDocument/2006/relationships/hyperlink" Target="https://azizstan.net/student_image/25452.jpg" TargetMode="External"/><Relationship Id="rId710" Type="http://schemas.openxmlformats.org/officeDocument/2006/relationships/hyperlink" Target="https://azizstan.net/student_image/25447.jpg" TargetMode="External"/><Relationship Id="rId716" Type="http://schemas.openxmlformats.org/officeDocument/2006/relationships/hyperlink" Target="https://azizstan.net/student_image/25533.jpg" TargetMode="External"/><Relationship Id="rId715" Type="http://schemas.openxmlformats.org/officeDocument/2006/relationships/hyperlink" Target="https://azizstan.net/student_image/25523.jpg" TargetMode="External"/><Relationship Id="rId714" Type="http://schemas.openxmlformats.org/officeDocument/2006/relationships/hyperlink" Target="https://azizstan.net/student_image/25512.jpg" TargetMode="External"/><Relationship Id="rId713" Type="http://schemas.openxmlformats.org/officeDocument/2006/relationships/hyperlink" Target="https://azizstan.net/student_image/25502.jpg" TargetMode="External"/><Relationship Id="rId59" Type="http://schemas.openxmlformats.org/officeDocument/2006/relationships/hyperlink" Target="https://azizstan.net/student_image/26160.jpg" TargetMode="External"/><Relationship Id="rId58" Type="http://schemas.openxmlformats.org/officeDocument/2006/relationships/hyperlink" Target="https://azizstan.net/student_image/26157.jpg" TargetMode="External"/><Relationship Id="rId1780" Type="http://schemas.openxmlformats.org/officeDocument/2006/relationships/hyperlink" Target="https://azizstan.net/student_image/23958.jpg" TargetMode="External"/><Relationship Id="rId1781" Type="http://schemas.openxmlformats.org/officeDocument/2006/relationships/hyperlink" Target="https://azizstan.net/student_image/25389.jpg" TargetMode="External"/><Relationship Id="rId1782" Type="http://schemas.openxmlformats.org/officeDocument/2006/relationships/hyperlink" Target="https://azizstan.net/student_image/25432.jpg" TargetMode="External"/><Relationship Id="rId1783" Type="http://schemas.openxmlformats.org/officeDocument/2006/relationships/hyperlink" Target="https://azizstan.net/student_image/25435.jpg" TargetMode="External"/><Relationship Id="rId2630" Type="http://schemas.openxmlformats.org/officeDocument/2006/relationships/hyperlink" Target="https://azizstan.net/student_image_voc/6620204042.jpg" TargetMode="External"/><Relationship Id="rId1300" Type="http://schemas.openxmlformats.org/officeDocument/2006/relationships/hyperlink" Target="https://azizstan.net/student_image/24634.jpg" TargetMode="External"/><Relationship Id="rId1784" Type="http://schemas.openxmlformats.org/officeDocument/2006/relationships/hyperlink" Target="https://azizstan.net/student_image/25486.jpg" TargetMode="External"/><Relationship Id="rId2631" Type="http://schemas.openxmlformats.org/officeDocument/2006/relationships/hyperlink" Target="https://azizstan.net/student_image_voc/6620204054.jpg" TargetMode="External"/><Relationship Id="rId2269" Type="http://schemas.openxmlformats.org/officeDocument/2006/relationships/hyperlink" Target="https://azizstan.net/student_image/22725.jpg" TargetMode="External"/><Relationship Id="rId349" Type="http://schemas.openxmlformats.org/officeDocument/2006/relationships/hyperlink" Target="https://azizstan.net/student_image/26629.jpg" TargetMode="External"/><Relationship Id="rId348" Type="http://schemas.openxmlformats.org/officeDocument/2006/relationships/hyperlink" Target="https://azizstan.net/student_image/26586.jpg" TargetMode="External"/><Relationship Id="rId347" Type="http://schemas.openxmlformats.org/officeDocument/2006/relationships/hyperlink" Target="https://azizstan.net/student_image/26576.jpg" TargetMode="External"/><Relationship Id="rId346" Type="http://schemas.openxmlformats.org/officeDocument/2006/relationships/hyperlink" Target="https://azizstan.net/student_image/26567.jpg" TargetMode="External"/><Relationship Id="rId2260" Type="http://schemas.openxmlformats.org/officeDocument/2006/relationships/hyperlink" Target="https://azizstan.net/student_image/26023.jpg" TargetMode="External"/><Relationship Id="rId341" Type="http://schemas.openxmlformats.org/officeDocument/2006/relationships/hyperlink" Target="https://azizstan.net/student_image/26510.jpg" TargetMode="External"/><Relationship Id="rId2261" Type="http://schemas.openxmlformats.org/officeDocument/2006/relationships/hyperlink" Target="https://azizstan.net/student_image/22648.jpg" TargetMode="External"/><Relationship Id="rId340" Type="http://schemas.openxmlformats.org/officeDocument/2006/relationships/hyperlink" Target="https://azizstan.net/student_image/26508.jpg" TargetMode="External"/><Relationship Id="rId2262" Type="http://schemas.openxmlformats.org/officeDocument/2006/relationships/hyperlink" Target="https://azizstan.net/student_image/22653.jpg" TargetMode="External"/><Relationship Id="rId2263" Type="http://schemas.openxmlformats.org/officeDocument/2006/relationships/hyperlink" Target="https://azizstan.net/student_image/22655.jpg" TargetMode="External"/><Relationship Id="rId2264" Type="http://schemas.openxmlformats.org/officeDocument/2006/relationships/hyperlink" Target="https://azizstan.net/student_image/22663.jpg" TargetMode="External"/><Relationship Id="rId345" Type="http://schemas.openxmlformats.org/officeDocument/2006/relationships/hyperlink" Target="https://azizstan.net/student_image/26558.jpg" TargetMode="External"/><Relationship Id="rId2265" Type="http://schemas.openxmlformats.org/officeDocument/2006/relationships/hyperlink" Target="https://azizstan.net/student_image/22668.jpg" TargetMode="External"/><Relationship Id="rId344" Type="http://schemas.openxmlformats.org/officeDocument/2006/relationships/hyperlink" Target="https://azizstan.net/student_image/26545.jpg" TargetMode="External"/><Relationship Id="rId2266" Type="http://schemas.openxmlformats.org/officeDocument/2006/relationships/hyperlink" Target="https://azizstan.net/student_image/22671.jpg" TargetMode="External"/><Relationship Id="rId343" Type="http://schemas.openxmlformats.org/officeDocument/2006/relationships/hyperlink" Target="https://azizstan.net/student_image/26528.jpg" TargetMode="External"/><Relationship Id="rId2267" Type="http://schemas.openxmlformats.org/officeDocument/2006/relationships/hyperlink" Target="https://azizstan.net/student_image/22675.jpg" TargetMode="External"/><Relationship Id="rId342" Type="http://schemas.openxmlformats.org/officeDocument/2006/relationships/hyperlink" Target="https://azizstan.net/student_image/26523.jpg" TargetMode="External"/><Relationship Id="rId2268" Type="http://schemas.openxmlformats.org/officeDocument/2006/relationships/hyperlink" Target="https://azizstan.net/student_image/22722.jpg" TargetMode="External"/><Relationship Id="rId2258" Type="http://schemas.openxmlformats.org/officeDocument/2006/relationships/hyperlink" Target="https://azizstan.net/student_image/25280.jpg" TargetMode="External"/><Relationship Id="rId2259" Type="http://schemas.openxmlformats.org/officeDocument/2006/relationships/hyperlink" Target="https://azizstan.net/student_image/25688.jpg" TargetMode="External"/><Relationship Id="rId338" Type="http://schemas.openxmlformats.org/officeDocument/2006/relationships/hyperlink" Target="https://azizstan.net/student_image/26489.jpg" TargetMode="External"/><Relationship Id="rId337" Type="http://schemas.openxmlformats.org/officeDocument/2006/relationships/hyperlink" Target="https://azizstan.net/student_image/26466.jpg" TargetMode="External"/><Relationship Id="rId336" Type="http://schemas.openxmlformats.org/officeDocument/2006/relationships/hyperlink" Target="https://azizstan.net/student_image/26463.jpg" TargetMode="External"/><Relationship Id="rId335" Type="http://schemas.openxmlformats.org/officeDocument/2006/relationships/hyperlink" Target="https://azizstan.net/student_image/26435.jpg" TargetMode="External"/><Relationship Id="rId339" Type="http://schemas.openxmlformats.org/officeDocument/2006/relationships/hyperlink" Target="https://azizstan.net/student_image/26493.jpg" TargetMode="External"/><Relationship Id="rId330" Type="http://schemas.openxmlformats.org/officeDocument/2006/relationships/hyperlink" Target="https://azizstan.net/student_image/26310.jpg" TargetMode="External"/><Relationship Id="rId2250" Type="http://schemas.openxmlformats.org/officeDocument/2006/relationships/hyperlink" Target="https://azizstan.net/student_image/24927.jpg" TargetMode="External"/><Relationship Id="rId2251" Type="http://schemas.openxmlformats.org/officeDocument/2006/relationships/hyperlink" Target="https://azizstan.net/student_image/25045.jpg" TargetMode="External"/><Relationship Id="rId2252" Type="http://schemas.openxmlformats.org/officeDocument/2006/relationships/hyperlink" Target="https://azizstan.net/student_image/25050.jpg" TargetMode="External"/><Relationship Id="rId2253" Type="http://schemas.openxmlformats.org/officeDocument/2006/relationships/hyperlink" Target="https://azizstan.net/student_image/25054.jpg" TargetMode="External"/><Relationship Id="rId334" Type="http://schemas.openxmlformats.org/officeDocument/2006/relationships/hyperlink" Target="https://azizstan.net/student_image/26427.jpg" TargetMode="External"/><Relationship Id="rId2254" Type="http://schemas.openxmlformats.org/officeDocument/2006/relationships/hyperlink" Target="https://azizstan.net/student_image/25066.jpg" TargetMode="External"/><Relationship Id="rId333" Type="http://schemas.openxmlformats.org/officeDocument/2006/relationships/hyperlink" Target="https://azizstan.net/student_image/26420.jpg" TargetMode="External"/><Relationship Id="rId2255" Type="http://schemas.openxmlformats.org/officeDocument/2006/relationships/hyperlink" Target="https://azizstan.net/student_image/25110.jpg" TargetMode="External"/><Relationship Id="rId332" Type="http://schemas.openxmlformats.org/officeDocument/2006/relationships/hyperlink" Target="https://azizstan.net/student_image/26329.jpg" TargetMode="External"/><Relationship Id="rId2256" Type="http://schemas.openxmlformats.org/officeDocument/2006/relationships/hyperlink" Target="https://azizstan.net/student_image/25119.jpg" TargetMode="External"/><Relationship Id="rId331" Type="http://schemas.openxmlformats.org/officeDocument/2006/relationships/hyperlink" Target="https://azizstan.net/student_image/26324.jpg" TargetMode="External"/><Relationship Id="rId2257" Type="http://schemas.openxmlformats.org/officeDocument/2006/relationships/hyperlink" Target="https://azizstan.net/student_image/25232.jpg" TargetMode="External"/><Relationship Id="rId370" Type="http://schemas.openxmlformats.org/officeDocument/2006/relationships/hyperlink" Target="https://azizstan.net/student_image/26308.jpg" TargetMode="External"/><Relationship Id="rId369" Type="http://schemas.openxmlformats.org/officeDocument/2006/relationships/hyperlink" Target="https://azizstan.net/student_image/26300.jpg" TargetMode="External"/><Relationship Id="rId368" Type="http://schemas.openxmlformats.org/officeDocument/2006/relationships/hyperlink" Target="https://azizstan.net/student_image/26299.jpg" TargetMode="External"/><Relationship Id="rId2280" Type="http://schemas.openxmlformats.org/officeDocument/2006/relationships/hyperlink" Target="https://azizstan.net/student_image/22996.jpg" TargetMode="External"/><Relationship Id="rId2281" Type="http://schemas.openxmlformats.org/officeDocument/2006/relationships/hyperlink" Target="https://azizstan.net/student_image/22998.jpg" TargetMode="External"/><Relationship Id="rId2282" Type="http://schemas.openxmlformats.org/officeDocument/2006/relationships/hyperlink" Target="https://azizstan.net/student_image/23013.jpg" TargetMode="External"/><Relationship Id="rId363" Type="http://schemas.openxmlformats.org/officeDocument/2006/relationships/hyperlink" Target="https://azizstan.net/student_image/26242.jpg" TargetMode="External"/><Relationship Id="rId2283" Type="http://schemas.openxmlformats.org/officeDocument/2006/relationships/hyperlink" Target="https://azizstan.net/student_image/23015.jpg" TargetMode="External"/><Relationship Id="rId362" Type="http://schemas.openxmlformats.org/officeDocument/2006/relationships/hyperlink" Target="https://azizstan.net/student_image/26230.jpg" TargetMode="External"/><Relationship Id="rId2284" Type="http://schemas.openxmlformats.org/officeDocument/2006/relationships/hyperlink" Target="https://azizstan.net/student_image/23034.jpg" TargetMode="External"/><Relationship Id="rId361" Type="http://schemas.openxmlformats.org/officeDocument/2006/relationships/hyperlink" Target="https://azizstan.net/student_image/26208.jpg" TargetMode="External"/><Relationship Id="rId2285" Type="http://schemas.openxmlformats.org/officeDocument/2006/relationships/hyperlink" Target="https://azizstan.net/student_image/23040.jpg" TargetMode="External"/><Relationship Id="rId360" Type="http://schemas.openxmlformats.org/officeDocument/2006/relationships/hyperlink" Target="https://azizstan.net/student_image/26176.jpg" TargetMode="External"/><Relationship Id="rId2286" Type="http://schemas.openxmlformats.org/officeDocument/2006/relationships/hyperlink" Target="https://azizstan.net/student_image/23127.jpg" TargetMode="External"/><Relationship Id="rId367" Type="http://schemas.openxmlformats.org/officeDocument/2006/relationships/hyperlink" Target="https://azizstan.net/student_image/26286.jpg" TargetMode="External"/><Relationship Id="rId2287" Type="http://schemas.openxmlformats.org/officeDocument/2006/relationships/hyperlink" Target="https://azizstan.net/student_image/23146.jpg" TargetMode="External"/><Relationship Id="rId366" Type="http://schemas.openxmlformats.org/officeDocument/2006/relationships/hyperlink" Target="https://azizstan.net/student_image/26285.jpg" TargetMode="External"/><Relationship Id="rId2288" Type="http://schemas.openxmlformats.org/officeDocument/2006/relationships/hyperlink" Target="https://azizstan.net/student_image/23171.jpg" TargetMode="External"/><Relationship Id="rId365" Type="http://schemas.openxmlformats.org/officeDocument/2006/relationships/hyperlink" Target="https://azizstan.net/student_image/26263.jpg" TargetMode="External"/><Relationship Id="rId2289" Type="http://schemas.openxmlformats.org/officeDocument/2006/relationships/hyperlink" Target="https://azizstan.net/student_image/23177.jpg" TargetMode="External"/><Relationship Id="rId364" Type="http://schemas.openxmlformats.org/officeDocument/2006/relationships/hyperlink" Target="https://azizstan.net/student_image/26257.jpg" TargetMode="External"/><Relationship Id="rId95" Type="http://schemas.openxmlformats.org/officeDocument/2006/relationships/hyperlink" Target="https://azizstan.net/student_image/26221.jpg" TargetMode="External"/><Relationship Id="rId94" Type="http://schemas.openxmlformats.org/officeDocument/2006/relationships/hyperlink" Target="https://azizstan.net/student_image/26220.jpg" TargetMode="External"/><Relationship Id="rId97" Type="http://schemas.openxmlformats.org/officeDocument/2006/relationships/hyperlink" Target="https://azizstan.net/student_image/26304.jpg" TargetMode="External"/><Relationship Id="rId96" Type="http://schemas.openxmlformats.org/officeDocument/2006/relationships/hyperlink" Target="https://azizstan.net/student_image/26222.jpg" TargetMode="External"/><Relationship Id="rId99" Type="http://schemas.openxmlformats.org/officeDocument/2006/relationships/hyperlink" Target="https://azizstan.net/student_image/26336.jpg" TargetMode="External"/><Relationship Id="rId98" Type="http://schemas.openxmlformats.org/officeDocument/2006/relationships/hyperlink" Target="https://azizstan.net/student_image/26319.jpg" TargetMode="External"/><Relationship Id="rId91" Type="http://schemas.openxmlformats.org/officeDocument/2006/relationships/hyperlink" Target="https://azizstan.net/student_image/26074.jpg" TargetMode="External"/><Relationship Id="rId90" Type="http://schemas.openxmlformats.org/officeDocument/2006/relationships/hyperlink" Target="https://azizstan.net/student_image/26063.jpg" TargetMode="External"/><Relationship Id="rId93" Type="http://schemas.openxmlformats.org/officeDocument/2006/relationships/hyperlink" Target="https://azizstan.net/student_image/26187.jpg" TargetMode="External"/><Relationship Id="rId92" Type="http://schemas.openxmlformats.org/officeDocument/2006/relationships/hyperlink" Target="https://azizstan.net/student_image/26172.jpg" TargetMode="External"/><Relationship Id="rId359" Type="http://schemas.openxmlformats.org/officeDocument/2006/relationships/hyperlink" Target="https://azizstan.net/student_image/26121.jpg" TargetMode="External"/><Relationship Id="rId358" Type="http://schemas.openxmlformats.org/officeDocument/2006/relationships/hyperlink" Target="https://azizstan.net/student_image/26113.jpg" TargetMode="External"/><Relationship Id="rId357" Type="http://schemas.openxmlformats.org/officeDocument/2006/relationships/hyperlink" Target="https://azizstan.net/student_image/26060.jpg" TargetMode="External"/><Relationship Id="rId2270" Type="http://schemas.openxmlformats.org/officeDocument/2006/relationships/hyperlink" Target="https://azizstan.net/student_image/22735.jpg" TargetMode="External"/><Relationship Id="rId2271" Type="http://schemas.openxmlformats.org/officeDocument/2006/relationships/hyperlink" Target="https://azizstan.net/student_image/22761.jpg" TargetMode="External"/><Relationship Id="rId352" Type="http://schemas.openxmlformats.org/officeDocument/2006/relationships/hyperlink" Target="https://azizstan.net/student_image/26691.jpg" TargetMode="External"/><Relationship Id="rId2272" Type="http://schemas.openxmlformats.org/officeDocument/2006/relationships/hyperlink" Target="https://azizstan.net/student_image/22807.jpg" TargetMode="External"/><Relationship Id="rId351" Type="http://schemas.openxmlformats.org/officeDocument/2006/relationships/hyperlink" Target="https://azizstan.net/student_image/26669.jpg" TargetMode="External"/><Relationship Id="rId2273" Type="http://schemas.openxmlformats.org/officeDocument/2006/relationships/hyperlink" Target="https://azizstan.net/student_image/22811.jpg" TargetMode="External"/><Relationship Id="rId350" Type="http://schemas.openxmlformats.org/officeDocument/2006/relationships/hyperlink" Target="https://azizstan.net/student_image/26645.jpg" TargetMode="External"/><Relationship Id="rId2274" Type="http://schemas.openxmlformats.org/officeDocument/2006/relationships/hyperlink" Target="https://azizstan.net/student_image/22889.jpg" TargetMode="External"/><Relationship Id="rId2275" Type="http://schemas.openxmlformats.org/officeDocument/2006/relationships/hyperlink" Target="https://azizstan.net/student_image/22898.jpg" TargetMode="External"/><Relationship Id="rId356" Type="http://schemas.openxmlformats.org/officeDocument/2006/relationships/hyperlink" Target="https://azizstan.net/student_image/26044.jpg" TargetMode="External"/><Relationship Id="rId2276" Type="http://schemas.openxmlformats.org/officeDocument/2006/relationships/hyperlink" Target="https://azizstan.net/student_image/22901.jpg" TargetMode="External"/><Relationship Id="rId355" Type="http://schemas.openxmlformats.org/officeDocument/2006/relationships/hyperlink" Target="https://azizstan.net/student_image/26706.jpg" TargetMode="External"/><Relationship Id="rId2277" Type="http://schemas.openxmlformats.org/officeDocument/2006/relationships/hyperlink" Target="https://azizstan.net/student_image/22902.jpg" TargetMode="External"/><Relationship Id="rId354" Type="http://schemas.openxmlformats.org/officeDocument/2006/relationships/hyperlink" Target="https://azizstan.net/student_image/26705.jpg" TargetMode="External"/><Relationship Id="rId2278" Type="http://schemas.openxmlformats.org/officeDocument/2006/relationships/hyperlink" Target="https://azizstan.net/student_image/22917.jpg" TargetMode="External"/><Relationship Id="rId353" Type="http://schemas.openxmlformats.org/officeDocument/2006/relationships/hyperlink" Target="https://azizstan.net/student_image/26692.jpg" TargetMode="External"/><Relationship Id="rId2279" Type="http://schemas.openxmlformats.org/officeDocument/2006/relationships/hyperlink" Target="https://azizstan.net/student_image/22919.jpg" TargetMode="External"/><Relationship Id="rId1378" Type="http://schemas.openxmlformats.org/officeDocument/2006/relationships/hyperlink" Target="https://azizstan.net/student_image/24578.jpg" TargetMode="External"/><Relationship Id="rId2225" Type="http://schemas.openxmlformats.org/officeDocument/2006/relationships/hyperlink" Target="https://azizstan.net/student_image/22780.jpg" TargetMode="External"/><Relationship Id="rId1379" Type="http://schemas.openxmlformats.org/officeDocument/2006/relationships/hyperlink" Target="https://azizstan.net/student_image/26147.jpg" TargetMode="External"/><Relationship Id="rId2226" Type="http://schemas.openxmlformats.org/officeDocument/2006/relationships/hyperlink" Target="https://azizstan.net/student_image/22782.jpg" TargetMode="External"/><Relationship Id="rId2227" Type="http://schemas.openxmlformats.org/officeDocument/2006/relationships/hyperlink" Target="https://azizstan.net/student_image/22799.jpg" TargetMode="External"/><Relationship Id="rId2228" Type="http://schemas.openxmlformats.org/officeDocument/2006/relationships/hyperlink" Target="https://azizstan.net/student_image/22815.jpg" TargetMode="External"/><Relationship Id="rId2229" Type="http://schemas.openxmlformats.org/officeDocument/2006/relationships/hyperlink" Target="https://azizstan.net/student_image/22832.jpg" TargetMode="External"/><Relationship Id="rId305" Type="http://schemas.openxmlformats.org/officeDocument/2006/relationships/hyperlink" Target="https://azizstan.net/student_image/26597.jpg" TargetMode="External"/><Relationship Id="rId789" Type="http://schemas.openxmlformats.org/officeDocument/2006/relationships/hyperlink" Target="https://azizstan.net/student_image/26818.jpg" TargetMode="External"/><Relationship Id="rId304" Type="http://schemas.openxmlformats.org/officeDocument/2006/relationships/hyperlink" Target="https://azizstan.net/student_image/26563.jpg" TargetMode="External"/><Relationship Id="rId788" Type="http://schemas.openxmlformats.org/officeDocument/2006/relationships/hyperlink" Target="https://azizstan.net/student_image/26815.jpg" TargetMode="External"/><Relationship Id="rId303" Type="http://schemas.openxmlformats.org/officeDocument/2006/relationships/hyperlink" Target="https://azizstan.net/student_image/26526.jpg" TargetMode="External"/><Relationship Id="rId787" Type="http://schemas.openxmlformats.org/officeDocument/2006/relationships/hyperlink" Target="https://azizstan.net/student_image/26518.jpg" TargetMode="External"/><Relationship Id="rId302" Type="http://schemas.openxmlformats.org/officeDocument/2006/relationships/hyperlink" Target="https://azizstan.net/student_image/26479.jpg" TargetMode="External"/><Relationship Id="rId786" Type="http://schemas.openxmlformats.org/officeDocument/2006/relationships/hyperlink" Target="https://azizstan.net/student_image/26018.jpg" TargetMode="External"/><Relationship Id="rId309" Type="http://schemas.openxmlformats.org/officeDocument/2006/relationships/hyperlink" Target="https://azizstan.net/student_image/26648.jpg" TargetMode="External"/><Relationship Id="rId308" Type="http://schemas.openxmlformats.org/officeDocument/2006/relationships/hyperlink" Target="https://azizstan.net/student_image/26646.jpg" TargetMode="External"/><Relationship Id="rId307" Type="http://schemas.openxmlformats.org/officeDocument/2006/relationships/hyperlink" Target="https://azizstan.net/student_image/26616.jpg" TargetMode="External"/><Relationship Id="rId306" Type="http://schemas.openxmlformats.org/officeDocument/2006/relationships/hyperlink" Target="https://azizstan.net/student_image/26601.jpg" TargetMode="External"/><Relationship Id="rId781" Type="http://schemas.openxmlformats.org/officeDocument/2006/relationships/hyperlink" Target="https://azizstan.net/student_image/25892.jpg" TargetMode="External"/><Relationship Id="rId1370" Type="http://schemas.openxmlformats.org/officeDocument/2006/relationships/hyperlink" Target="https://azizstan.net/student_image/24330.jpg" TargetMode="External"/><Relationship Id="rId780" Type="http://schemas.openxmlformats.org/officeDocument/2006/relationships/hyperlink" Target="https://azizstan.net/student_image/25886.jpg" TargetMode="External"/><Relationship Id="rId1371" Type="http://schemas.openxmlformats.org/officeDocument/2006/relationships/hyperlink" Target="https://azizstan.net/student_image/24333.jpg" TargetMode="External"/><Relationship Id="rId1372" Type="http://schemas.openxmlformats.org/officeDocument/2006/relationships/hyperlink" Target="https://azizstan.net/student_image/24350.jpg" TargetMode="External"/><Relationship Id="rId1373" Type="http://schemas.openxmlformats.org/officeDocument/2006/relationships/hyperlink" Target="https://azizstan.net/student_image/24413.jpg" TargetMode="External"/><Relationship Id="rId2220" Type="http://schemas.openxmlformats.org/officeDocument/2006/relationships/hyperlink" Target="https://azizstan.net/student_image/22750.jpg" TargetMode="External"/><Relationship Id="rId301" Type="http://schemas.openxmlformats.org/officeDocument/2006/relationships/hyperlink" Target="https://azizstan.net/student_image/26477.jpg" TargetMode="External"/><Relationship Id="rId785" Type="http://schemas.openxmlformats.org/officeDocument/2006/relationships/hyperlink" Target="https://azizstan.net/student_image/25983.jpg" TargetMode="External"/><Relationship Id="rId1374" Type="http://schemas.openxmlformats.org/officeDocument/2006/relationships/hyperlink" Target="https://azizstan.net/student_image/24486.jpg" TargetMode="External"/><Relationship Id="rId2221" Type="http://schemas.openxmlformats.org/officeDocument/2006/relationships/hyperlink" Target="https://azizstan.net/student_image/22754.jpg" TargetMode="External"/><Relationship Id="rId300" Type="http://schemas.openxmlformats.org/officeDocument/2006/relationships/hyperlink" Target="https://azizstan.net/student_image/26452.jpg" TargetMode="External"/><Relationship Id="rId784" Type="http://schemas.openxmlformats.org/officeDocument/2006/relationships/hyperlink" Target="https://azizstan.net/student_image/25965.jpg" TargetMode="External"/><Relationship Id="rId1375" Type="http://schemas.openxmlformats.org/officeDocument/2006/relationships/hyperlink" Target="https://azizstan.net/student_image/24541.jpg" TargetMode="External"/><Relationship Id="rId2222" Type="http://schemas.openxmlformats.org/officeDocument/2006/relationships/hyperlink" Target="https://azizstan.net/student_image/22766.jpg" TargetMode="External"/><Relationship Id="rId783" Type="http://schemas.openxmlformats.org/officeDocument/2006/relationships/hyperlink" Target="https://azizstan.net/student_image/25941.jpg" TargetMode="External"/><Relationship Id="rId1376" Type="http://schemas.openxmlformats.org/officeDocument/2006/relationships/hyperlink" Target="https://azizstan.net/student_image/24556.jpg" TargetMode="External"/><Relationship Id="rId2223" Type="http://schemas.openxmlformats.org/officeDocument/2006/relationships/hyperlink" Target="https://azizstan.net/student_image/22767.jpg" TargetMode="External"/><Relationship Id="rId782" Type="http://schemas.openxmlformats.org/officeDocument/2006/relationships/hyperlink" Target="https://azizstan.net/student_image/25921.jpg" TargetMode="External"/><Relationship Id="rId1377" Type="http://schemas.openxmlformats.org/officeDocument/2006/relationships/hyperlink" Target="https://azizstan.net/student_image/24563.jpg" TargetMode="External"/><Relationship Id="rId2224" Type="http://schemas.openxmlformats.org/officeDocument/2006/relationships/hyperlink" Target="https://azizstan.net/student_image/22776.jpg" TargetMode="External"/><Relationship Id="rId1367" Type="http://schemas.openxmlformats.org/officeDocument/2006/relationships/hyperlink" Target="https://azizstan.net/student_image/24252.jpg" TargetMode="External"/><Relationship Id="rId2214" Type="http://schemas.openxmlformats.org/officeDocument/2006/relationships/hyperlink" Target="https://azizstan.net/student_image/25789.jpg" TargetMode="External"/><Relationship Id="rId1368" Type="http://schemas.openxmlformats.org/officeDocument/2006/relationships/hyperlink" Target="https://azizstan.net/student_image/24324.jpg" TargetMode="External"/><Relationship Id="rId2215" Type="http://schemas.openxmlformats.org/officeDocument/2006/relationships/hyperlink" Target="https://azizstan.net/student_image/22654.jpg" TargetMode="External"/><Relationship Id="rId1369" Type="http://schemas.openxmlformats.org/officeDocument/2006/relationships/hyperlink" Target="https://azizstan.net/student_image/24329.jpg" TargetMode="External"/><Relationship Id="rId2216" Type="http://schemas.openxmlformats.org/officeDocument/2006/relationships/hyperlink" Target="https://azizstan.net/student_image/22665.jpg" TargetMode="External"/><Relationship Id="rId2217" Type="http://schemas.openxmlformats.org/officeDocument/2006/relationships/hyperlink" Target="https://azizstan.net/student_image/22695.jpg" TargetMode="External"/><Relationship Id="rId2218" Type="http://schemas.openxmlformats.org/officeDocument/2006/relationships/hyperlink" Target="https://azizstan.net/student_image/22704.jpg" TargetMode="External"/><Relationship Id="rId2219" Type="http://schemas.openxmlformats.org/officeDocument/2006/relationships/hyperlink" Target="https://azizstan.net/student_image/22716.jpg" TargetMode="External"/><Relationship Id="rId778" Type="http://schemas.openxmlformats.org/officeDocument/2006/relationships/hyperlink" Target="https://azizstan.net/student_image/25852.jpg" TargetMode="External"/><Relationship Id="rId777" Type="http://schemas.openxmlformats.org/officeDocument/2006/relationships/hyperlink" Target="https://azizstan.net/student_image/25831.jpg" TargetMode="External"/><Relationship Id="rId776" Type="http://schemas.openxmlformats.org/officeDocument/2006/relationships/hyperlink" Target="https://azizstan.net/student_image/25818.jpg" TargetMode="External"/><Relationship Id="rId775" Type="http://schemas.openxmlformats.org/officeDocument/2006/relationships/hyperlink" Target="https://azizstan.net/student_image/25810.jpg" TargetMode="External"/><Relationship Id="rId779" Type="http://schemas.openxmlformats.org/officeDocument/2006/relationships/hyperlink" Target="https://azizstan.net/student_image/25872.jpg" TargetMode="External"/><Relationship Id="rId770" Type="http://schemas.openxmlformats.org/officeDocument/2006/relationships/hyperlink" Target="https://azizstan.net/student_image/25705.jpg" TargetMode="External"/><Relationship Id="rId1360" Type="http://schemas.openxmlformats.org/officeDocument/2006/relationships/hyperlink" Target="https://azizstan.net/student_image/24062.jpg" TargetMode="External"/><Relationship Id="rId1361" Type="http://schemas.openxmlformats.org/officeDocument/2006/relationships/hyperlink" Target="https://azizstan.net/student_image/24124.jpg" TargetMode="External"/><Relationship Id="rId1362" Type="http://schemas.openxmlformats.org/officeDocument/2006/relationships/hyperlink" Target="https://azizstan.net/student_image/24140.jpg" TargetMode="External"/><Relationship Id="rId774" Type="http://schemas.openxmlformats.org/officeDocument/2006/relationships/hyperlink" Target="https://azizstan.net/student_image/25737.jpg" TargetMode="External"/><Relationship Id="rId1363" Type="http://schemas.openxmlformats.org/officeDocument/2006/relationships/hyperlink" Target="https://azizstan.net/student_image/24146.jpg" TargetMode="External"/><Relationship Id="rId2210" Type="http://schemas.openxmlformats.org/officeDocument/2006/relationships/hyperlink" Target="https://azizstan.net/student_image/25117.jpg" TargetMode="External"/><Relationship Id="rId773" Type="http://schemas.openxmlformats.org/officeDocument/2006/relationships/hyperlink" Target="https://azizstan.net/student_image/25736.jpg" TargetMode="External"/><Relationship Id="rId1364" Type="http://schemas.openxmlformats.org/officeDocument/2006/relationships/hyperlink" Target="https://azizstan.net/student_image/24173.jpg" TargetMode="External"/><Relationship Id="rId2211" Type="http://schemas.openxmlformats.org/officeDocument/2006/relationships/hyperlink" Target="https://azizstan.net/student_image/25179.jpg" TargetMode="External"/><Relationship Id="rId772" Type="http://schemas.openxmlformats.org/officeDocument/2006/relationships/hyperlink" Target="https://azizstan.net/student_image/25726.jpg" TargetMode="External"/><Relationship Id="rId1365" Type="http://schemas.openxmlformats.org/officeDocument/2006/relationships/hyperlink" Target="https://azizstan.net/student_image/24210.jpg" TargetMode="External"/><Relationship Id="rId2212" Type="http://schemas.openxmlformats.org/officeDocument/2006/relationships/hyperlink" Target="https://azizstan.net/student_image/25279.jpg" TargetMode="External"/><Relationship Id="rId771" Type="http://schemas.openxmlformats.org/officeDocument/2006/relationships/hyperlink" Target="https://azizstan.net/student_image/25718.jpg" TargetMode="External"/><Relationship Id="rId1366" Type="http://schemas.openxmlformats.org/officeDocument/2006/relationships/hyperlink" Target="https://azizstan.net/student_image/24212.jpg" TargetMode="External"/><Relationship Id="rId2213" Type="http://schemas.openxmlformats.org/officeDocument/2006/relationships/hyperlink" Target="https://azizstan.net/student_image/25299.jpg" TargetMode="External"/><Relationship Id="rId2247" Type="http://schemas.openxmlformats.org/officeDocument/2006/relationships/hyperlink" Target="https://azizstan.net/student_image/24683.jpg" TargetMode="External"/><Relationship Id="rId2248" Type="http://schemas.openxmlformats.org/officeDocument/2006/relationships/hyperlink" Target="https://azizstan.net/student_image/24812.jpg" TargetMode="External"/><Relationship Id="rId2249" Type="http://schemas.openxmlformats.org/officeDocument/2006/relationships/hyperlink" Target="https://azizstan.net/student_image/24855.jpg" TargetMode="External"/><Relationship Id="rId327" Type="http://schemas.openxmlformats.org/officeDocument/2006/relationships/hyperlink" Target="https://azizstan.net/student_image/26294.jpg" TargetMode="External"/><Relationship Id="rId326" Type="http://schemas.openxmlformats.org/officeDocument/2006/relationships/hyperlink" Target="https://azizstan.net/student_image/26265.jpg" TargetMode="External"/><Relationship Id="rId325" Type="http://schemas.openxmlformats.org/officeDocument/2006/relationships/hyperlink" Target="https://azizstan.net/student_image/26241.jpg" TargetMode="External"/><Relationship Id="rId324" Type="http://schemas.openxmlformats.org/officeDocument/2006/relationships/hyperlink" Target="https://azizstan.net/student_image/26238.jpg" TargetMode="External"/><Relationship Id="rId329" Type="http://schemas.openxmlformats.org/officeDocument/2006/relationships/hyperlink" Target="https://azizstan.net/student_image/26303.jpg" TargetMode="External"/><Relationship Id="rId1390" Type="http://schemas.openxmlformats.org/officeDocument/2006/relationships/hyperlink" Target="https://azizstan.net/student_image/24323.jpg" TargetMode="External"/><Relationship Id="rId328" Type="http://schemas.openxmlformats.org/officeDocument/2006/relationships/hyperlink" Target="https://azizstan.net/student_image/26302.jpg" TargetMode="External"/><Relationship Id="rId1391" Type="http://schemas.openxmlformats.org/officeDocument/2006/relationships/hyperlink" Target="https://azizstan.net/student_image/24341.jpg" TargetMode="External"/><Relationship Id="rId1392" Type="http://schemas.openxmlformats.org/officeDocument/2006/relationships/hyperlink" Target="https://azizstan.net/student_image/24349.jpg" TargetMode="External"/><Relationship Id="rId1393" Type="http://schemas.openxmlformats.org/officeDocument/2006/relationships/hyperlink" Target="https://azizstan.net/student_image/24372.jpg" TargetMode="External"/><Relationship Id="rId2240" Type="http://schemas.openxmlformats.org/officeDocument/2006/relationships/hyperlink" Target="https://azizstan.net/student_image/23132.jpg" TargetMode="External"/><Relationship Id="rId1394" Type="http://schemas.openxmlformats.org/officeDocument/2006/relationships/hyperlink" Target="https://azizstan.net/student_image/24390.jpg" TargetMode="External"/><Relationship Id="rId2241" Type="http://schemas.openxmlformats.org/officeDocument/2006/relationships/hyperlink" Target="https://azizstan.net/student_image/23152.jpg" TargetMode="External"/><Relationship Id="rId1395" Type="http://schemas.openxmlformats.org/officeDocument/2006/relationships/hyperlink" Target="https://azizstan.net/student_image/24398.jpg" TargetMode="External"/><Relationship Id="rId2242" Type="http://schemas.openxmlformats.org/officeDocument/2006/relationships/hyperlink" Target="https://azizstan.net/student_image/23155.jpg" TargetMode="External"/><Relationship Id="rId323" Type="http://schemas.openxmlformats.org/officeDocument/2006/relationships/hyperlink" Target="https://azizstan.net/student_image/26165.jpg" TargetMode="External"/><Relationship Id="rId1396" Type="http://schemas.openxmlformats.org/officeDocument/2006/relationships/hyperlink" Target="https://azizstan.net/student_image/24414.jpg" TargetMode="External"/><Relationship Id="rId2243" Type="http://schemas.openxmlformats.org/officeDocument/2006/relationships/hyperlink" Target="https://azizstan.net/student_image/23225.jpg" TargetMode="External"/><Relationship Id="rId322" Type="http://schemas.openxmlformats.org/officeDocument/2006/relationships/hyperlink" Target="https://azizstan.net/student_image/26133.jpg" TargetMode="External"/><Relationship Id="rId1397" Type="http://schemas.openxmlformats.org/officeDocument/2006/relationships/hyperlink" Target="https://azizstan.net/student_image/24427.jpg" TargetMode="External"/><Relationship Id="rId2244" Type="http://schemas.openxmlformats.org/officeDocument/2006/relationships/hyperlink" Target="https://azizstan.net/student_image/23254.jpg" TargetMode="External"/><Relationship Id="rId321" Type="http://schemas.openxmlformats.org/officeDocument/2006/relationships/hyperlink" Target="https://azizstan.net/student_image/26132.jpg" TargetMode="External"/><Relationship Id="rId1398" Type="http://schemas.openxmlformats.org/officeDocument/2006/relationships/hyperlink" Target="https://azizstan.net/student_image/24519.jpg" TargetMode="External"/><Relationship Id="rId2245" Type="http://schemas.openxmlformats.org/officeDocument/2006/relationships/hyperlink" Target="https://azizstan.net/student_image/24475.jpg" TargetMode="External"/><Relationship Id="rId320" Type="http://schemas.openxmlformats.org/officeDocument/2006/relationships/hyperlink" Target="https://azizstan.net/student_image/26118.jpg" TargetMode="External"/><Relationship Id="rId1399" Type="http://schemas.openxmlformats.org/officeDocument/2006/relationships/hyperlink" Target="https://azizstan.net/student_image/24540.jpg" TargetMode="External"/><Relationship Id="rId2246" Type="http://schemas.openxmlformats.org/officeDocument/2006/relationships/hyperlink" Target="https://azizstan.net/student_image/24629.jpg" TargetMode="External"/><Relationship Id="rId1389" Type="http://schemas.openxmlformats.org/officeDocument/2006/relationships/hyperlink" Target="https://azizstan.net/student_image/24289.jpg" TargetMode="External"/><Relationship Id="rId2236" Type="http://schemas.openxmlformats.org/officeDocument/2006/relationships/hyperlink" Target="https://azizstan.net/student_image/22987.jpg" TargetMode="External"/><Relationship Id="rId2237" Type="http://schemas.openxmlformats.org/officeDocument/2006/relationships/hyperlink" Target="https://azizstan.net/student_image/23014.jpg" TargetMode="External"/><Relationship Id="rId2238" Type="http://schemas.openxmlformats.org/officeDocument/2006/relationships/hyperlink" Target="https://azizstan.net/student_image/23095.jpg" TargetMode="External"/><Relationship Id="rId2239" Type="http://schemas.openxmlformats.org/officeDocument/2006/relationships/hyperlink" Target="https://azizstan.net/student_image/23128.jpg" TargetMode="External"/><Relationship Id="rId316" Type="http://schemas.openxmlformats.org/officeDocument/2006/relationships/hyperlink" Target="https://azizstan.net/student_image/26083.jpg" TargetMode="External"/><Relationship Id="rId315" Type="http://schemas.openxmlformats.org/officeDocument/2006/relationships/hyperlink" Target="https://azizstan.net/student_image/26036.jpg" TargetMode="External"/><Relationship Id="rId799" Type="http://schemas.openxmlformats.org/officeDocument/2006/relationships/hyperlink" Target="https://azizstan.net/student_image/25487.jpg" TargetMode="External"/><Relationship Id="rId314" Type="http://schemas.openxmlformats.org/officeDocument/2006/relationships/hyperlink" Target="https://azizstan.net/student_image/25605.jpg" TargetMode="External"/><Relationship Id="rId798" Type="http://schemas.openxmlformats.org/officeDocument/2006/relationships/hyperlink" Target="https://azizstan.net/student_image/25484.jpg" TargetMode="External"/><Relationship Id="rId313" Type="http://schemas.openxmlformats.org/officeDocument/2006/relationships/hyperlink" Target="https://azizstan.net/student_image/26755.jpg" TargetMode="External"/><Relationship Id="rId797" Type="http://schemas.openxmlformats.org/officeDocument/2006/relationships/hyperlink" Target="https://azizstan.net/student_image/25476.jpg" TargetMode="External"/><Relationship Id="rId319" Type="http://schemas.openxmlformats.org/officeDocument/2006/relationships/hyperlink" Target="https://azizstan.net/student_image/26106.jpg" TargetMode="External"/><Relationship Id="rId318" Type="http://schemas.openxmlformats.org/officeDocument/2006/relationships/hyperlink" Target="https://azizstan.net/student_image/26093.jpg" TargetMode="External"/><Relationship Id="rId317" Type="http://schemas.openxmlformats.org/officeDocument/2006/relationships/hyperlink" Target="https://azizstan.net/student_image/26090.jpg" TargetMode="External"/><Relationship Id="rId1380" Type="http://schemas.openxmlformats.org/officeDocument/2006/relationships/hyperlink" Target="https://azizstan.net/student_image/26188.jpg" TargetMode="External"/><Relationship Id="rId792" Type="http://schemas.openxmlformats.org/officeDocument/2006/relationships/hyperlink" Target="https://azizstan.net/student_image/25400.jpg" TargetMode="External"/><Relationship Id="rId1381" Type="http://schemas.openxmlformats.org/officeDocument/2006/relationships/hyperlink" Target="https://azizstan.net/student_image/26231.jpg" TargetMode="External"/><Relationship Id="rId791" Type="http://schemas.openxmlformats.org/officeDocument/2006/relationships/hyperlink" Target="https://azizstan.net/student_image/25399.jpg" TargetMode="External"/><Relationship Id="rId1382" Type="http://schemas.openxmlformats.org/officeDocument/2006/relationships/hyperlink" Target="https://azizstan.net/student_image/26441.jpg" TargetMode="External"/><Relationship Id="rId790" Type="http://schemas.openxmlformats.org/officeDocument/2006/relationships/hyperlink" Target="https://azizstan.net/student_image/25359.jpg" TargetMode="External"/><Relationship Id="rId1383" Type="http://schemas.openxmlformats.org/officeDocument/2006/relationships/hyperlink" Target="https://azizstan.net/student_image/26683.jpg" TargetMode="External"/><Relationship Id="rId2230" Type="http://schemas.openxmlformats.org/officeDocument/2006/relationships/hyperlink" Target="https://azizstan.net/student_image/22848.jpg" TargetMode="External"/><Relationship Id="rId1384" Type="http://schemas.openxmlformats.org/officeDocument/2006/relationships/hyperlink" Target="https://azizstan.net/student_image/26782.jpg" TargetMode="External"/><Relationship Id="rId2231" Type="http://schemas.openxmlformats.org/officeDocument/2006/relationships/hyperlink" Target="https://azizstan.net/student_image/22922.jpg" TargetMode="External"/><Relationship Id="rId312" Type="http://schemas.openxmlformats.org/officeDocument/2006/relationships/hyperlink" Target="https://azizstan.net/student_image/26753.jpg" TargetMode="External"/><Relationship Id="rId796" Type="http://schemas.openxmlformats.org/officeDocument/2006/relationships/hyperlink" Target="https://azizstan.net/student_image/25458.jpg" TargetMode="External"/><Relationship Id="rId1385" Type="http://schemas.openxmlformats.org/officeDocument/2006/relationships/hyperlink" Target="https://azizstan.net/student_image/24145.jpg" TargetMode="External"/><Relationship Id="rId2232" Type="http://schemas.openxmlformats.org/officeDocument/2006/relationships/hyperlink" Target="https://azizstan.net/student_image/22934.jpg" TargetMode="External"/><Relationship Id="rId311" Type="http://schemas.openxmlformats.org/officeDocument/2006/relationships/hyperlink" Target="https://azizstan.net/student_image/26746.jpg" TargetMode="External"/><Relationship Id="rId795" Type="http://schemas.openxmlformats.org/officeDocument/2006/relationships/hyperlink" Target="https://azizstan.net/student_image/25446.jpg" TargetMode="External"/><Relationship Id="rId1386" Type="http://schemas.openxmlformats.org/officeDocument/2006/relationships/hyperlink" Target="https://azizstan.net/student_image/24149.jpg" TargetMode="External"/><Relationship Id="rId2233" Type="http://schemas.openxmlformats.org/officeDocument/2006/relationships/hyperlink" Target="https://azizstan.net/student_image/22935.jpg" TargetMode="External"/><Relationship Id="rId310" Type="http://schemas.openxmlformats.org/officeDocument/2006/relationships/hyperlink" Target="https://azizstan.net/student_image/26738.jpg" TargetMode="External"/><Relationship Id="rId794" Type="http://schemas.openxmlformats.org/officeDocument/2006/relationships/hyperlink" Target="https://azizstan.net/student_image/25420.jpg" TargetMode="External"/><Relationship Id="rId1387" Type="http://schemas.openxmlformats.org/officeDocument/2006/relationships/hyperlink" Target="https://azizstan.net/student_image/24166.jpg" TargetMode="External"/><Relationship Id="rId2234" Type="http://schemas.openxmlformats.org/officeDocument/2006/relationships/hyperlink" Target="https://azizstan.net/student_image/22961.jpg" TargetMode="External"/><Relationship Id="rId793" Type="http://schemas.openxmlformats.org/officeDocument/2006/relationships/hyperlink" Target="https://azizstan.net/student_image/25405.jpg" TargetMode="External"/><Relationship Id="rId1388" Type="http://schemas.openxmlformats.org/officeDocument/2006/relationships/hyperlink" Target="https://azizstan.net/student_image/24227.jpg" TargetMode="External"/><Relationship Id="rId2235" Type="http://schemas.openxmlformats.org/officeDocument/2006/relationships/hyperlink" Target="https://azizstan.net/student_image/22978.jpg" TargetMode="External"/><Relationship Id="rId297" Type="http://schemas.openxmlformats.org/officeDocument/2006/relationships/hyperlink" Target="https://azizstan.net/student_image/26392.jpg" TargetMode="External"/><Relationship Id="rId296" Type="http://schemas.openxmlformats.org/officeDocument/2006/relationships/hyperlink" Target="https://azizstan.net/student_image/26371.jpg" TargetMode="External"/><Relationship Id="rId295" Type="http://schemas.openxmlformats.org/officeDocument/2006/relationships/hyperlink" Target="https://azizstan.net/student_image/26368.jpg" TargetMode="External"/><Relationship Id="rId294" Type="http://schemas.openxmlformats.org/officeDocument/2006/relationships/hyperlink" Target="https://azizstan.net/student_image/26367.jpg" TargetMode="External"/><Relationship Id="rId299" Type="http://schemas.openxmlformats.org/officeDocument/2006/relationships/hyperlink" Target="https://azizstan.net/student_image/26451.jpg" TargetMode="External"/><Relationship Id="rId298" Type="http://schemas.openxmlformats.org/officeDocument/2006/relationships/hyperlink" Target="https://azizstan.net/student_image/26421.jpg" TargetMode="External"/><Relationship Id="rId271" Type="http://schemas.openxmlformats.org/officeDocument/2006/relationships/hyperlink" Target="https://azizstan.net/student_image/26747.jpg" TargetMode="External"/><Relationship Id="rId270" Type="http://schemas.openxmlformats.org/officeDocument/2006/relationships/hyperlink" Target="https://azizstan.net/student_image/26726.jpg" TargetMode="External"/><Relationship Id="rId269" Type="http://schemas.openxmlformats.org/officeDocument/2006/relationships/hyperlink" Target="https://azizstan.net/student_image/26653.jpg" TargetMode="External"/><Relationship Id="rId264" Type="http://schemas.openxmlformats.org/officeDocument/2006/relationships/hyperlink" Target="https://azizstan.net/student_image/26624.jpg" TargetMode="External"/><Relationship Id="rId263" Type="http://schemas.openxmlformats.org/officeDocument/2006/relationships/hyperlink" Target="https://azizstan.net/student_image/26595.jpg" TargetMode="External"/><Relationship Id="rId262" Type="http://schemas.openxmlformats.org/officeDocument/2006/relationships/hyperlink" Target="https://azizstan.net/student_image/26593.jpg" TargetMode="External"/><Relationship Id="rId261" Type="http://schemas.openxmlformats.org/officeDocument/2006/relationships/hyperlink" Target="https://azizstan.net/student_image/26575.jpg" TargetMode="External"/><Relationship Id="rId268" Type="http://schemas.openxmlformats.org/officeDocument/2006/relationships/hyperlink" Target="https://azizstan.net/student_image/26652.jpg" TargetMode="External"/><Relationship Id="rId267" Type="http://schemas.openxmlformats.org/officeDocument/2006/relationships/hyperlink" Target="https://azizstan.net/student_image/26643.jpg" TargetMode="External"/><Relationship Id="rId266" Type="http://schemas.openxmlformats.org/officeDocument/2006/relationships/hyperlink" Target="https://azizstan.net/student_image/26640.jpg" TargetMode="External"/><Relationship Id="rId265" Type="http://schemas.openxmlformats.org/officeDocument/2006/relationships/hyperlink" Target="https://azizstan.net/student_image/26631.jpg" TargetMode="External"/><Relationship Id="rId260" Type="http://schemas.openxmlformats.org/officeDocument/2006/relationships/hyperlink" Target="https://azizstan.net/student_image/26574.jpg" TargetMode="External"/><Relationship Id="rId259" Type="http://schemas.openxmlformats.org/officeDocument/2006/relationships/hyperlink" Target="https://azizstan.net/student_image/26569.jpg" TargetMode="External"/><Relationship Id="rId258" Type="http://schemas.openxmlformats.org/officeDocument/2006/relationships/hyperlink" Target="https://azizstan.net/student_image/26547.jpg" TargetMode="External"/><Relationship Id="rId2290" Type="http://schemas.openxmlformats.org/officeDocument/2006/relationships/hyperlink" Target="https://azizstan.net/student_image/23181.jpg" TargetMode="External"/><Relationship Id="rId2291" Type="http://schemas.openxmlformats.org/officeDocument/2006/relationships/hyperlink" Target="https://azizstan.net/student_image/23205.jpg" TargetMode="External"/><Relationship Id="rId2292" Type="http://schemas.openxmlformats.org/officeDocument/2006/relationships/hyperlink" Target="https://azizstan.net/student_image/23218.jpg" TargetMode="External"/><Relationship Id="rId2293" Type="http://schemas.openxmlformats.org/officeDocument/2006/relationships/hyperlink" Target="https://azizstan.net/student_image/24921.jpg" TargetMode="External"/><Relationship Id="rId253" Type="http://schemas.openxmlformats.org/officeDocument/2006/relationships/hyperlink" Target="https://azizstan.net/student_image/26413.jpg" TargetMode="External"/><Relationship Id="rId2294" Type="http://schemas.openxmlformats.org/officeDocument/2006/relationships/hyperlink" Target="https://azizstan.net/student_image/24945.jpg" TargetMode="External"/><Relationship Id="rId252" Type="http://schemas.openxmlformats.org/officeDocument/2006/relationships/hyperlink" Target="https://azizstan.net/student_image/26401.jpg" TargetMode="External"/><Relationship Id="rId2295" Type="http://schemas.openxmlformats.org/officeDocument/2006/relationships/hyperlink" Target="https://azizstan.net/student_image/25003.jpg" TargetMode="External"/><Relationship Id="rId251" Type="http://schemas.openxmlformats.org/officeDocument/2006/relationships/hyperlink" Target="https://azizstan.net/student_image/26390.jpg" TargetMode="External"/><Relationship Id="rId2296" Type="http://schemas.openxmlformats.org/officeDocument/2006/relationships/hyperlink" Target="https://azizstan.net/student_image/25260.jpg" TargetMode="External"/><Relationship Id="rId250" Type="http://schemas.openxmlformats.org/officeDocument/2006/relationships/hyperlink" Target="https://azizstan.net/student_image/26346.jpg" TargetMode="External"/><Relationship Id="rId2297" Type="http://schemas.openxmlformats.org/officeDocument/2006/relationships/hyperlink" Target="https://azizstan.net/student_image/22696.jpg" TargetMode="External"/><Relationship Id="rId257" Type="http://schemas.openxmlformats.org/officeDocument/2006/relationships/hyperlink" Target="https://azizstan.net/student_image/26539.jpg" TargetMode="External"/><Relationship Id="rId2298" Type="http://schemas.openxmlformats.org/officeDocument/2006/relationships/hyperlink" Target="https://azizstan.net/student_image/22740.jpg" TargetMode="External"/><Relationship Id="rId256" Type="http://schemas.openxmlformats.org/officeDocument/2006/relationships/hyperlink" Target="https://azizstan.net/student_image/26488.jpg" TargetMode="External"/><Relationship Id="rId2299" Type="http://schemas.openxmlformats.org/officeDocument/2006/relationships/hyperlink" Target="https://azizstan.net/student_image/22742.jpg" TargetMode="External"/><Relationship Id="rId255" Type="http://schemas.openxmlformats.org/officeDocument/2006/relationships/hyperlink" Target="https://azizstan.net/student_image/26418.jpg" TargetMode="External"/><Relationship Id="rId254" Type="http://schemas.openxmlformats.org/officeDocument/2006/relationships/hyperlink" Target="https://azizstan.net/student_image/26416.jpg" TargetMode="External"/><Relationship Id="rId293" Type="http://schemas.openxmlformats.org/officeDocument/2006/relationships/hyperlink" Target="https://azizstan.net/student_image/26332.jpg" TargetMode="External"/><Relationship Id="rId292" Type="http://schemas.openxmlformats.org/officeDocument/2006/relationships/hyperlink" Target="https://azizstan.net/student_image/26326.jpg" TargetMode="External"/><Relationship Id="rId291" Type="http://schemas.openxmlformats.org/officeDocument/2006/relationships/hyperlink" Target="https://azizstan.net/student_image/26322.jpg" TargetMode="External"/><Relationship Id="rId290" Type="http://schemas.openxmlformats.org/officeDocument/2006/relationships/hyperlink" Target="https://azizstan.net/student_image/26311.jpg" TargetMode="External"/><Relationship Id="rId286" Type="http://schemas.openxmlformats.org/officeDocument/2006/relationships/hyperlink" Target="https://azizstan.net/student_image/26227.jpg" TargetMode="External"/><Relationship Id="rId285" Type="http://schemas.openxmlformats.org/officeDocument/2006/relationships/hyperlink" Target="https://azizstan.net/student_image/26213.jpg" TargetMode="External"/><Relationship Id="rId284" Type="http://schemas.openxmlformats.org/officeDocument/2006/relationships/hyperlink" Target="https://azizstan.net/student_image/26168.jpg" TargetMode="External"/><Relationship Id="rId283" Type="http://schemas.openxmlformats.org/officeDocument/2006/relationships/hyperlink" Target="https://azizstan.net/student_image/26167.jpg" TargetMode="External"/><Relationship Id="rId289" Type="http://schemas.openxmlformats.org/officeDocument/2006/relationships/hyperlink" Target="https://azizstan.net/student_image/26298.jpg" TargetMode="External"/><Relationship Id="rId288" Type="http://schemas.openxmlformats.org/officeDocument/2006/relationships/hyperlink" Target="https://azizstan.net/student_image/26246.jpg" TargetMode="External"/><Relationship Id="rId287" Type="http://schemas.openxmlformats.org/officeDocument/2006/relationships/hyperlink" Target="https://azizstan.net/student_image/26245.jpg" TargetMode="External"/><Relationship Id="rId282" Type="http://schemas.openxmlformats.org/officeDocument/2006/relationships/hyperlink" Target="https://azizstan.net/student_image/26164.jpg" TargetMode="External"/><Relationship Id="rId281" Type="http://schemas.openxmlformats.org/officeDocument/2006/relationships/hyperlink" Target="https://azizstan.net/student_image/26146.jpg" TargetMode="External"/><Relationship Id="rId280" Type="http://schemas.openxmlformats.org/officeDocument/2006/relationships/hyperlink" Target="https://azizstan.net/student_image/26138.jpg" TargetMode="External"/><Relationship Id="rId275" Type="http://schemas.openxmlformats.org/officeDocument/2006/relationships/hyperlink" Target="https://azizstan.net/student_image/26041.jpg" TargetMode="External"/><Relationship Id="rId274" Type="http://schemas.openxmlformats.org/officeDocument/2006/relationships/hyperlink" Target="https://azizstan.net/student_image/26040.jpg" TargetMode="External"/><Relationship Id="rId273" Type="http://schemas.openxmlformats.org/officeDocument/2006/relationships/hyperlink" Target="https://azizstan.net/student_image/26802.jpg" TargetMode="External"/><Relationship Id="rId272" Type="http://schemas.openxmlformats.org/officeDocument/2006/relationships/hyperlink" Target="https://azizstan.net/student_image/26759.jpg" TargetMode="External"/><Relationship Id="rId279" Type="http://schemas.openxmlformats.org/officeDocument/2006/relationships/hyperlink" Target="https://azizstan.net/student_image/26119.jpg" TargetMode="External"/><Relationship Id="rId278" Type="http://schemas.openxmlformats.org/officeDocument/2006/relationships/hyperlink" Target="https://azizstan.net/student_image/26087.jpg" TargetMode="External"/><Relationship Id="rId277" Type="http://schemas.openxmlformats.org/officeDocument/2006/relationships/hyperlink" Target="https://azizstan.net/student_image/26075.jpg" TargetMode="External"/><Relationship Id="rId276" Type="http://schemas.openxmlformats.org/officeDocument/2006/relationships/hyperlink" Target="https://azizstan.net/student_image/26043.jpg" TargetMode="External"/><Relationship Id="rId1851" Type="http://schemas.openxmlformats.org/officeDocument/2006/relationships/hyperlink" Target="https://azizstan.net/student_image/23669.jpg" TargetMode="External"/><Relationship Id="rId1852" Type="http://schemas.openxmlformats.org/officeDocument/2006/relationships/hyperlink" Target="https://azizstan.net/student_image/23690.jpg" TargetMode="External"/><Relationship Id="rId1853" Type="http://schemas.openxmlformats.org/officeDocument/2006/relationships/hyperlink" Target="https://azizstan.net/student_image/23710.jpg" TargetMode="External"/><Relationship Id="rId1854" Type="http://schemas.openxmlformats.org/officeDocument/2006/relationships/hyperlink" Target="https://azizstan.net/student_image/23713.jpg" TargetMode="External"/><Relationship Id="rId1855" Type="http://schemas.openxmlformats.org/officeDocument/2006/relationships/hyperlink" Target="https://azizstan.net/student_image/23741.jpg" TargetMode="External"/><Relationship Id="rId1856" Type="http://schemas.openxmlformats.org/officeDocument/2006/relationships/hyperlink" Target="https://azizstan.net/student_image/23763.jpg" TargetMode="External"/><Relationship Id="rId1857" Type="http://schemas.openxmlformats.org/officeDocument/2006/relationships/hyperlink" Target="https://azizstan.net/student_image/23781.jpg" TargetMode="External"/><Relationship Id="rId1858" Type="http://schemas.openxmlformats.org/officeDocument/2006/relationships/hyperlink" Target="https://azizstan.net/student_image/23793.jpg" TargetMode="External"/><Relationship Id="rId1859" Type="http://schemas.openxmlformats.org/officeDocument/2006/relationships/hyperlink" Target="https://azizstan.net/student_image/23818.jpg" TargetMode="External"/><Relationship Id="rId1850" Type="http://schemas.openxmlformats.org/officeDocument/2006/relationships/hyperlink" Target="https://azizstan.net/student_image/23628.jpg" TargetMode="External"/><Relationship Id="rId1840" Type="http://schemas.openxmlformats.org/officeDocument/2006/relationships/hyperlink" Target="https://azizstan.net/student_image/23361.jpg" TargetMode="External"/><Relationship Id="rId1841" Type="http://schemas.openxmlformats.org/officeDocument/2006/relationships/hyperlink" Target="https://azizstan.net/student_image/23363.jpg" TargetMode="External"/><Relationship Id="rId1842" Type="http://schemas.openxmlformats.org/officeDocument/2006/relationships/hyperlink" Target="https://azizstan.net/student_image/23392.jpg" TargetMode="External"/><Relationship Id="rId1843" Type="http://schemas.openxmlformats.org/officeDocument/2006/relationships/hyperlink" Target="https://azizstan.net/student_image/23509.jpg" TargetMode="External"/><Relationship Id="rId1844" Type="http://schemas.openxmlformats.org/officeDocument/2006/relationships/hyperlink" Target="https://azizstan.net/student_image/23519.jpg" TargetMode="External"/><Relationship Id="rId1845" Type="http://schemas.openxmlformats.org/officeDocument/2006/relationships/hyperlink" Target="https://azizstan.net/student_image/23526.jpg" TargetMode="External"/><Relationship Id="rId1846" Type="http://schemas.openxmlformats.org/officeDocument/2006/relationships/hyperlink" Target="https://azizstan.net/student_image/23553.jpg" TargetMode="External"/><Relationship Id="rId1847" Type="http://schemas.openxmlformats.org/officeDocument/2006/relationships/hyperlink" Target="https://azizstan.net/student_image/23566.jpg" TargetMode="External"/><Relationship Id="rId1848" Type="http://schemas.openxmlformats.org/officeDocument/2006/relationships/hyperlink" Target="https://azizstan.net/student_image/23570.jpg" TargetMode="External"/><Relationship Id="rId1849" Type="http://schemas.openxmlformats.org/officeDocument/2006/relationships/hyperlink" Target="https://azizstan.net/student_image/23593.jpg" TargetMode="External"/><Relationship Id="rId1873" Type="http://schemas.openxmlformats.org/officeDocument/2006/relationships/hyperlink" Target="https://azizstan.net/student_image/25881.jpg" TargetMode="External"/><Relationship Id="rId1874" Type="http://schemas.openxmlformats.org/officeDocument/2006/relationships/hyperlink" Target="https://azizstan.net/student_image/26025.jpg" TargetMode="External"/><Relationship Id="rId1875" Type="http://schemas.openxmlformats.org/officeDocument/2006/relationships/hyperlink" Target="https://azizstan.net/student_image/26549.jpg" TargetMode="External"/><Relationship Id="rId1876" Type="http://schemas.openxmlformats.org/officeDocument/2006/relationships/hyperlink" Target="https://azizstan.net/student_image/26625.jpg" TargetMode="External"/><Relationship Id="rId1877" Type="http://schemas.openxmlformats.org/officeDocument/2006/relationships/hyperlink" Target="https://azizstan.net/student_image/26676.jpg" TargetMode="External"/><Relationship Id="rId1878" Type="http://schemas.openxmlformats.org/officeDocument/2006/relationships/hyperlink" Target="https://azizstan.net/student_image/26740.jpg" TargetMode="External"/><Relationship Id="rId1879" Type="http://schemas.openxmlformats.org/officeDocument/2006/relationships/hyperlink" Target="https://azizstan.net/student_image/23339.jpg" TargetMode="External"/><Relationship Id="rId1870" Type="http://schemas.openxmlformats.org/officeDocument/2006/relationships/hyperlink" Target="https://azizstan.net/student_image/25796.jpg" TargetMode="External"/><Relationship Id="rId1871" Type="http://schemas.openxmlformats.org/officeDocument/2006/relationships/hyperlink" Target="https://azizstan.net/student_image/25815.jpg" TargetMode="External"/><Relationship Id="rId1872" Type="http://schemas.openxmlformats.org/officeDocument/2006/relationships/hyperlink" Target="https://azizstan.net/student_image/25857.jpg" TargetMode="External"/><Relationship Id="rId1862" Type="http://schemas.openxmlformats.org/officeDocument/2006/relationships/hyperlink" Target="https://azizstan.net/student_image/23956.jpg" TargetMode="External"/><Relationship Id="rId1863" Type="http://schemas.openxmlformats.org/officeDocument/2006/relationships/hyperlink" Target="https://azizstan.net/student_image/23983.jpg" TargetMode="External"/><Relationship Id="rId1864" Type="http://schemas.openxmlformats.org/officeDocument/2006/relationships/hyperlink" Target="https://azizstan.net/student_image/24502.jpg" TargetMode="External"/><Relationship Id="rId1865" Type="http://schemas.openxmlformats.org/officeDocument/2006/relationships/hyperlink" Target="https://azizstan.net/student_image/25072.jpg" TargetMode="External"/><Relationship Id="rId1866" Type="http://schemas.openxmlformats.org/officeDocument/2006/relationships/hyperlink" Target="https://azizstan.net/student_image/25300.jpg" TargetMode="External"/><Relationship Id="rId1867" Type="http://schemas.openxmlformats.org/officeDocument/2006/relationships/hyperlink" Target="https://azizstan.net/student_image/25549.jpg" TargetMode="External"/><Relationship Id="rId1868" Type="http://schemas.openxmlformats.org/officeDocument/2006/relationships/hyperlink" Target="https://azizstan.net/student_image/25728.jpg" TargetMode="External"/><Relationship Id="rId1869" Type="http://schemas.openxmlformats.org/officeDocument/2006/relationships/hyperlink" Target="https://azizstan.net/student_image/25794.jpg" TargetMode="External"/><Relationship Id="rId1860" Type="http://schemas.openxmlformats.org/officeDocument/2006/relationships/hyperlink" Target="https://azizstan.net/student_image/23843.jpg" TargetMode="External"/><Relationship Id="rId1861" Type="http://schemas.openxmlformats.org/officeDocument/2006/relationships/hyperlink" Target="https://azizstan.net/student_image/23947.jpg" TargetMode="External"/><Relationship Id="rId1810" Type="http://schemas.openxmlformats.org/officeDocument/2006/relationships/hyperlink" Target="https://azizstan.net/student_image/23535.jpg" TargetMode="External"/><Relationship Id="rId1811" Type="http://schemas.openxmlformats.org/officeDocument/2006/relationships/hyperlink" Target="https://azizstan.net/student_image/23622.jpg" TargetMode="External"/><Relationship Id="rId1812" Type="http://schemas.openxmlformats.org/officeDocument/2006/relationships/hyperlink" Target="https://azizstan.net/student_image/23677.jpg" TargetMode="External"/><Relationship Id="rId1813" Type="http://schemas.openxmlformats.org/officeDocument/2006/relationships/hyperlink" Target="https://azizstan.net/student_image/23679.jpg" TargetMode="External"/><Relationship Id="rId1814" Type="http://schemas.openxmlformats.org/officeDocument/2006/relationships/hyperlink" Target="https://azizstan.net/student_image/23686.jpg" TargetMode="External"/><Relationship Id="rId1815" Type="http://schemas.openxmlformats.org/officeDocument/2006/relationships/hyperlink" Target="https://azizstan.net/student_image/23714.jpg" TargetMode="External"/><Relationship Id="rId1816" Type="http://schemas.openxmlformats.org/officeDocument/2006/relationships/hyperlink" Target="https://azizstan.net/student_image/23724.jpg" TargetMode="External"/><Relationship Id="rId1817" Type="http://schemas.openxmlformats.org/officeDocument/2006/relationships/hyperlink" Target="https://azizstan.net/student_image/23751.jpg" TargetMode="External"/><Relationship Id="rId1818" Type="http://schemas.openxmlformats.org/officeDocument/2006/relationships/hyperlink" Target="https://azizstan.net/student_image/23792.jpg" TargetMode="External"/><Relationship Id="rId1819" Type="http://schemas.openxmlformats.org/officeDocument/2006/relationships/hyperlink" Target="https://azizstan.net/student_image/23804.jpg" TargetMode="External"/><Relationship Id="rId1800" Type="http://schemas.openxmlformats.org/officeDocument/2006/relationships/hyperlink" Target="https://azizstan.net/student_image/23385.jpg" TargetMode="External"/><Relationship Id="rId1801" Type="http://schemas.openxmlformats.org/officeDocument/2006/relationships/hyperlink" Target="https://azizstan.net/student_image/23387.jpg" TargetMode="External"/><Relationship Id="rId1802" Type="http://schemas.openxmlformats.org/officeDocument/2006/relationships/hyperlink" Target="https://azizstan.net/student_image/23388.jpg" TargetMode="External"/><Relationship Id="rId1803" Type="http://schemas.openxmlformats.org/officeDocument/2006/relationships/hyperlink" Target="https://azizstan.net/student_image/23395.jpg" TargetMode="External"/><Relationship Id="rId1804" Type="http://schemas.openxmlformats.org/officeDocument/2006/relationships/hyperlink" Target="https://azizstan.net/student_image/23419.jpg" TargetMode="External"/><Relationship Id="rId1805" Type="http://schemas.openxmlformats.org/officeDocument/2006/relationships/hyperlink" Target="https://azizstan.net/student_image/23431.jpg" TargetMode="External"/><Relationship Id="rId1806" Type="http://schemas.openxmlformats.org/officeDocument/2006/relationships/hyperlink" Target="https://azizstan.net/student_image/23451.jpg" TargetMode="External"/><Relationship Id="rId1807" Type="http://schemas.openxmlformats.org/officeDocument/2006/relationships/hyperlink" Target="https://azizstan.net/student_image/23462.jpg" TargetMode="External"/><Relationship Id="rId1808" Type="http://schemas.openxmlformats.org/officeDocument/2006/relationships/hyperlink" Target="https://azizstan.net/student_image/23518.jpg" TargetMode="External"/><Relationship Id="rId1809" Type="http://schemas.openxmlformats.org/officeDocument/2006/relationships/hyperlink" Target="https://azizstan.net/student_image/23525.jpg" TargetMode="External"/><Relationship Id="rId1830" Type="http://schemas.openxmlformats.org/officeDocument/2006/relationships/hyperlink" Target="https://azizstan.net/student_image/25797.jpg" TargetMode="External"/><Relationship Id="rId1831" Type="http://schemas.openxmlformats.org/officeDocument/2006/relationships/hyperlink" Target="https://azizstan.net/student_image/25826.jpg" TargetMode="External"/><Relationship Id="rId1832" Type="http://schemas.openxmlformats.org/officeDocument/2006/relationships/hyperlink" Target="https://azizstan.net/student_image/25876.jpg" TargetMode="External"/><Relationship Id="rId1833" Type="http://schemas.openxmlformats.org/officeDocument/2006/relationships/hyperlink" Target="https://azizstan.net/student_image/25986.jpg" TargetMode="External"/><Relationship Id="rId1834" Type="http://schemas.openxmlformats.org/officeDocument/2006/relationships/hyperlink" Target="https://azizstan.net/student_image/26022.jpg" TargetMode="External"/><Relationship Id="rId1835" Type="http://schemas.openxmlformats.org/officeDocument/2006/relationships/hyperlink" Target="https://azizstan.net/student_image/26253.jpg" TargetMode="External"/><Relationship Id="rId1836" Type="http://schemas.openxmlformats.org/officeDocument/2006/relationships/hyperlink" Target="https://azizstan.net/student_image/26610.jpg" TargetMode="External"/><Relationship Id="rId1837" Type="http://schemas.openxmlformats.org/officeDocument/2006/relationships/hyperlink" Target="https://azizstan.net/student_image/26760.jpg" TargetMode="External"/><Relationship Id="rId1838" Type="http://schemas.openxmlformats.org/officeDocument/2006/relationships/hyperlink" Target="https://azizstan.net/student_image/23352.jpg" TargetMode="External"/><Relationship Id="rId1839" Type="http://schemas.openxmlformats.org/officeDocument/2006/relationships/hyperlink" Target="https://azizstan.net/student_image/23359.jpg" TargetMode="External"/><Relationship Id="rId1820" Type="http://schemas.openxmlformats.org/officeDocument/2006/relationships/hyperlink" Target="https://azizstan.net/student_image/23809.jpg" TargetMode="External"/><Relationship Id="rId1821" Type="http://schemas.openxmlformats.org/officeDocument/2006/relationships/hyperlink" Target="https://azizstan.net/student_image/23823.jpg" TargetMode="External"/><Relationship Id="rId1822" Type="http://schemas.openxmlformats.org/officeDocument/2006/relationships/hyperlink" Target="https://azizstan.net/student_image/23827.jpg" TargetMode="External"/><Relationship Id="rId1823" Type="http://schemas.openxmlformats.org/officeDocument/2006/relationships/hyperlink" Target="https://azizstan.net/student_image/23845.jpg" TargetMode="External"/><Relationship Id="rId1824" Type="http://schemas.openxmlformats.org/officeDocument/2006/relationships/hyperlink" Target="https://azizstan.net/student_image/23918.jpg" TargetMode="External"/><Relationship Id="rId1825" Type="http://schemas.openxmlformats.org/officeDocument/2006/relationships/hyperlink" Target="https://azizstan.net/student_image/23989.jpg" TargetMode="External"/><Relationship Id="rId1826" Type="http://schemas.openxmlformats.org/officeDocument/2006/relationships/hyperlink" Target="https://azizstan.net/student_image/25463.jpg" TargetMode="External"/><Relationship Id="rId1827" Type="http://schemas.openxmlformats.org/officeDocument/2006/relationships/hyperlink" Target="https://azizstan.net/student_image/25541.jpg" TargetMode="External"/><Relationship Id="rId1828" Type="http://schemas.openxmlformats.org/officeDocument/2006/relationships/hyperlink" Target="https://azizstan.net/student_image/25595.jpg" TargetMode="External"/><Relationship Id="rId1829" Type="http://schemas.openxmlformats.org/officeDocument/2006/relationships/hyperlink" Target="https://azizstan.net/student_image/25613.jpg" TargetMode="External"/><Relationship Id="rId1455" Type="http://schemas.openxmlformats.org/officeDocument/2006/relationships/hyperlink" Target="https://azizstan.net/student_image/24385.jpg" TargetMode="External"/><Relationship Id="rId2302" Type="http://schemas.openxmlformats.org/officeDocument/2006/relationships/hyperlink" Target="https://azizstan.net/student_image/22868.jpg" TargetMode="External"/><Relationship Id="rId1456" Type="http://schemas.openxmlformats.org/officeDocument/2006/relationships/hyperlink" Target="https://azizstan.net/student_image/24437.jpg" TargetMode="External"/><Relationship Id="rId2303" Type="http://schemas.openxmlformats.org/officeDocument/2006/relationships/hyperlink" Target="https://azizstan.net/student_image/22891.jpg" TargetMode="External"/><Relationship Id="rId1457" Type="http://schemas.openxmlformats.org/officeDocument/2006/relationships/hyperlink" Target="https://azizstan.net/student_image/24447.jpg" TargetMode="External"/><Relationship Id="rId2304" Type="http://schemas.openxmlformats.org/officeDocument/2006/relationships/hyperlink" Target="https://azizstan.net/student_image/22945.jpg" TargetMode="External"/><Relationship Id="rId1458" Type="http://schemas.openxmlformats.org/officeDocument/2006/relationships/hyperlink" Target="https://azizstan.net/student_image/24449.jpg" TargetMode="External"/><Relationship Id="rId2305" Type="http://schemas.openxmlformats.org/officeDocument/2006/relationships/hyperlink" Target="https://azizstan.net/student_image/22965.jpg" TargetMode="External"/><Relationship Id="rId1459" Type="http://schemas.openxmlformats.org/officeDocument/2006/relationships/hyperlink" Target="https://azizstan.net/student_image/24454.jpg" TargetMode="External"/><Relationship Id="rId2306" Type="http://schemas.openxmlformats.org/officeDocument/2006/relationships/hyperlink" Target="https://azizstan.net/student_image/23000.jpg" TargetMode="External"/><Relationship Id="rId2307" Type="http://schemas.openxmlformats.org/officeDocument/2006/relationships/hyperlink" Target="https://azizstan.net/student_image/23003.jpg" TargetMode="External"/><Relationship Id="rId2308" Type="http://schemas.openxmlformats.org/officeDocument/2006/relationships/hyperlink" Target="https://azizstan.net/student_image/23004.jpg" TargetMode="External"/><Relationship Id="rId2309" Type="http://schemas.openxmlformats.org/officeDocument/2006/relationships/hyperlink" Target="https://azizstan.net/student_image/23019.jpg" TargetMode="External"/><Relationship Id="rId629" Type="http://schemas.openxmlformats.org/officeDocument/2006/relationships/hyperlink" Target="https://azizstan.net/student_image/26809.jpg" TargetMode="External"/><Relationship Id="rId624" Type="http://schemas.openxmlformats.org/officeDocument/2006/relationships/hyperlink" Target="https://azizstan.net/student_image/26026.jpg" TargetMode="External"/><Relationship Id="rId623" Type="http://schemas.openxmlformats.org/officeDocument/2006/relationships/hyperlink" Target="https://azizstan.net/student_image/25956.jpg" TargetMode="External"/><Relationship Id="rId622" Type="http://schemas.openxmlformats.org/officeDocument/2006/relationships/hyperlink" Target="https://azizstan.net/student_image/25953.jpg" TargetMode="External"/><Relationship Id="rId621" Type="http://schemas.openxmlformats.org/officeDocument/2006/relationships/hyperlink" Target="https://azizstan.net/student_image/25931.jpg" TargetMode="External"/><Relationship Id="rId628" Type="http://schemas.openxmlformats.org/officeDocument/2006/relationships/hyperlink" Target="https://azizstan.net/student_image/26517.jpg" TargetMode="External"/><Relationship Id="rId627" Type="http://schemas.openxmlformats.org/officeDocument/2006/relationships/hyperlink" Target="https://azizstan.net/student_image/26470.jpg" TargetMode="External"/><Relationship Id="rId626" Type="http://schemas.openxmlformats.org/officeDocument/2006/relationships/hyperlink" Target="https://azizstan.net/student_image/26407.jpg" TargetMode="External"/><Relationship Id="rId625" Type="http://schemas.openxmlformats.org/officeDocument/2006/relationships/hyperlink" Target="https://azizstan.net/student_image/26191.jpg" TargetMode="External"/><Relationship Id="rId1450" Type="http://schemas.openxmlformats.org/officeDocument/2006/relationships/hyperlink" Target="https://azizstan.net/student_image/24345.jpg" TargetMode="External"/><Relationship Id="rId620" Type="http://schemas.openxmlformats.org/officeDocument/2006/relationships/hyperlink" Target="https://azizstan.net/student_image/25914.jpg" TargetMode="External"/><Relationship Id="rId1451" Type="http://schemas.openxmlformats.org/officeDocument/2006/relationships/hyperlink" Target="https://azizstan.net/student_image/24357.jpg" TargetMode="External"/><Relationship Id="rId1452" Type="http://schemas.openxmlformats.org/officeDocument/2006/relationships/hyperlink" Target="https://azizstan.net/student_image/24373.jpg" TargetMode="External"/><Relationship Id="rId1453" Type="http://schemas.openxmlformats.org/officeDocument/2006/relationships/hyperlink" Target="https://azizstan.net/student_image/24374.jpg" TargetMode="External"/><Relationship Id="rId2300" Type="http://schemas.openxmlformats.org/officeDocument/2006/relationships/hyperlink" Target="https://azizstan.net/student_image/22765.jpg" TargetMode="External"/><Relationship Id="rId1454" Type="http://schemas.openxmlformats.org/officeDocument/2006/relationships/hyperlink" Target="https://azizstan.net/student_image/24375.jpg" TargetMode="External"/><Relationship Id="rId2301" Type="http://schemas.openxmlformats.org/officeDocument/2006/relationships/hyperlink" Target="https://azizstan.net/student_image/22801.jpg" TargetMode="External"/><Relationship Id="rId1444" Type="http://schemas.openxmlformats.org/officeDocument/2006/relationships/hyperlink" Target="https://azizstan.net/student_image/24188.jpg" TargetMode="External"/><Relationship Id="rId1445" Type="http://schemas.openxmlformats.org/officeDocument/2006/relationships/hyperlink" Target="https://azizstan.net/student_image/24190.jpg" TargetMode="External"/><Relationship Id="rId1446" Type="http://schemas.openxmlformats.org/officeDocument/2006/relationships/hyperlink" Target="https://azizstan.net/student_image/24239.jpg" TargetMode="External"/><Relationship Id="rId1447" Type="http://schemas.openxmlformats.org/officeDocument/2006/relationships/hyperlink" Target="https://azizstan.net/student_image/24264.jpg" TargetMode="External"/><Relationship Id="rId1448" Type="http://schemas.openxmlformats.org/officeDocument/2006/relationships/hyperlink" Target="https://azizstan.net/student_image/24293.jpg" TargetMode="External"/><Relationship Id="rId1449" Type="http://schemas.openxmlformats.org/officeDocument/2006/relationships/hyperlink" Target="https://azizstan.net/student_image/24331.jpg" TargetMode="External"/><Relationship Id="rId619" Type="http://schemas.openxmlformats.org/officeDocument/2006/relationships/hyperlink" Target="https://azizstan.net/student_image/25801.jpg" TargetMode="External"/><Relationship Id="rId618" Type="http://schemas.openxmlformats.org/officeDocument/2006/relationships/hyperlink" Target="https://azizstan.net/student_image/25657.jpg" TargetMode="External"/><Relationship Id="rId613" Type="http://schemas.openxmlformats.org/officeDocument/2006/relationships/hyperlink" Target="https://azizstan.net/student_image/25431.jpg" TargetMode="External"/><Relationship Id="rId612" Type="http://schemas.openxmlformats.org/officeDocument/2006/relationships/hyperlink" Target="https://azizstan.net/student_image/25380.jpg" TargetMode="External"/><Relationship Id="rId611" Type="http://schemas.openxmlformats.org/officeDocument/2006/relationships/hyperlink" Target="https://azizstan.net/student_image/26779.jpg" TargetMode="External"/><Relationship Id="rId610" Type="http://schemas.openxmlformats.org/officeDocument/2006/relationships/hyperlink" Target="https://azizstan.net/student_image/26742.jpg" TargetMode="External"/><Relationship Id="rId617" Type="http://schemas.openxmlformats.org/officeDocument/2006/relationships/hyperlink" Target="https://azizstan.net/student_image/25599.jpg" TargetMode="External"/><Relationship Id="rId616" Type="http://schemas.openxmlformats.org/officeDocument/2006/relationships/hyperlink" Target="https://azizstan.net/student_image/25554.jpg" TargetMode="External"/><Relationship Id="rId615" Type="http://schemas.openxmlformats.org/officeDocument/2006/relationships/hyperlink" Target="https://azizstan.net/student_image/25553.jpg" TargetMode="External"/><Relationship Id="rId614" Type="http://schemas.openxmlformats.org/officeDocument/2006/relationships/hyperlink" Target="https://azizstan.net/student_image/25546.jpg" TargetMode="External"/><Relationship Id="rId1440" Type="http://schemas.openxmlformats.org/officeDocument/2006/relationships/hyperlink" Target="https://azizstan.net/student_image/24113.jpg" TargetMode="External"/><Relationship Id="rId1441" Type="http://schemas.openxmlformats.org/officeDocument/2006/relationships/hyperlink" Target="https://azizstan.net/student_image/24118.jpg" TargetMode="External"/><Relationship Id="rId1442" Type="http://schemas.openxmlformats.org/officeDocument/2006/relationships/hyperlink" Target="https://azizstan.net/student_image/24128.jpg" TargetMode="External"/><Relationship Id="rId1443" Type="http://schemas.openxmlformats.org/officeDocument/2006/relationships/hyperlink" Target="https://azizstan.net/student_image/24137.jpg" TargetMode="External"/><Relationship Id="rId1477" Type="http://schemas.openxmlformats.org/officeDocument/2006/relationships/hyperlink" Target="https://azizstan.net/student_image/25290.jpg" TargetMode="External"/><Relationship Id="rId2324" Type="http://schemas.openxmlformats.org/officeDocument/2006/relationships/hyperlink" Target="https://azizstan.net/student_image/22662.jpg" TargetMode="External"/><Relationship Id="rId1478" Type="http://schemas.openxmlformats.org/officeDocument/2006/relationships/hyperlink" Target="https://azizstan.net/student_image/26034.jpg" TargetMode="External"/><Relationship Id="rId2325" Type="http://schemas.openxmlformats.org/officeDocument/2006/relationships/hyperlink" Target="https://azizstan.net/student_image/22724.jpg" TargetMode="External"/><Relationship Id="rId1479" Type="http://schemas.openxmlformats.org/officeDocument/2006/relationships/hyperlink" Target="https://azizstan.net/student_image/26038.jpg" TargetMode="External"/><Relationship Id="rId2326" Type="http://schemas.openxmlformats.org/officeDocument/2006/relationships/hyperlink" Target="https://azizstan.net/student_image/22727.jpg" TargetMode="External"/><Relationship Id="rId2327" Type="http://schemas.openxmlformats.org/officeDocument/2006/relationships/hyperlink" Target="https://azizstan.net/student_image/22775.jpg" TargetMode="External"/><Relationship Id="rId2328" Type="http://schemas.openxmlformats.org/officeDocument/2006/relationships/hyperlink" Target="https://azizstan.net/student_image/22777.jpg" TargetMode="External"/><Relationship Id="rId2329" Type="http://schemas.openxmlformats.org/officeDocument/2006/relationships/hyperlink" Target="https://azizstan.net/student_image/22785.jpg" TargetMode="External"/><Relationship Id="rId646" Type="http://schemas.openxmlformats.org/officeDocument/2006/relationships/hyperlink" Target="https://azizstan.net/student_image/25567.jpg" TargetMode="External"/><Relationship Id="rId645" Type="http://schemas.openxmlformats.org/officeDocument/2006/relationships/hyperlink" Target="https://azizstan.net/student_image/25564.jpg" TargetMode="External"/><Relationship Id="rId644" Type="http://schemas.openxmlformats.org/officeDocument/2006/relationships/hyperlink" Target="https://azizstan.net/student_image/25522.jpg" TargetMode="External"/><Relationship Id="rId643" Type="http://schemas.openxmlformats.org/officeDocument/2006/relationships/hyperlink" Target="https://azizstan.net/student_image/25510.jpg" TargetMode="External"/><Relationship Id="rId649" Type="http://schemas.openxmlformats.org/officeDocument/2006/relationships/hyperlink" Target="https://azizstan.net/student_image/25607.jpg" TargetMode="External"/><Relationship Id="rId648" Type="http://schemas.openxmlformats.org/officeDocument/2006/relationships/hyperlink" Target="https://azizstan.net/student_image/25600.jpg" TargetMode="External"/><Relationship Id="rId647" Type="http://schemas.openxmlformats.org/officeDocument/2006/relationships/hyperlink" Target="https://azizstan.net/student_image/25593.jpg" TargetMode="External"/><Relationship Id="rId1470" Type="http://schemas.openxmlformats.org/officeDocument/2006/relationships/hyperlink" Target="https://azizstan.net/student_image/24258.jpg" TargetMode="External"/><Relationship Id="rId1471" Type="http://schemas.openxmlformats.org/officeDocument/2006/relationships/hyperlink" Target="https://azizstan.net/student_image/24260.jpg" TargetMode="External"/><Relationship Id="rId1472" Type="http://schemas.openxmlformats.org/officeDocument/2006/relationships/hyperlink" Target="https://azizstan.net/student_image/24267.jpg" TargetMode="External"/><Relationship Id="rId642" Type="http://schemas.openxmlformats.org/officeDocument/2006/relationships/hyperlink" Target="https://azizstan.net/student_image/25504.jpg" TargetMode="External"/><Relationship Id="rId1473" Type="http://schemas.openxmlformats.org/officeDocument/2006/relationships/hyperlink" Target="https://azizstan.net/student_image/24285.jpg" TargetMode="External"/><Relationship Id="rId2320" Type="http://schemas.openxmlformats.org/officeDocument/2006/relationships/hyperlink" Target="https://azizstan.net/student_image/25030.jpg" TargetMode="External"/><Relationship Id="rId641" Type="http://schemas.openxmlformats.org/officeDocument/2006/relationships/hyperlink" Target="https://azizstan.net/student_image/25496.jpg" TargetMode="External"/><Relationship Id="rId1474" Type="http://schemas.openxmlformats.org/officeDocument/2006/relationships/hyperlink" Target="https://azizstan.net/student_image/24312.jpg" TargetMode="External"/><Relationship Id="rId2321" Type="http://schemas.openxmlformats.org/officeDocument/2006/relationships/hyperlink" Target="https://azizstan.net/student_image/25102.jpg" TargetMode="External"/><Relationship Id="rId640" Type="http://schemas.openxmlformats.org/officeDocument/2006/relationships/hyperlink" Target="https://azizstan.net/student_image/25493.jpg" TargetMode="External"/><Relationship Id="rId1475" Type="http://schemas.openxmlformats.org/officeDocument/2006/relationships/hyperlink" Target="https://azizstan.net/student_image/24327.jpg" TargetMode="External"/><Relationship Id="rId2322" Type="http://schemas.openxmlformats.org/officeDocument/2006/relationships/hyperlink" Target="https://azizstan.net/student_image/25127.jpg" TargetMode="External"/><Relationship Id="rId1476" Type="http://schemas.openxmlformats.org/officeDocument/2006/relationships/hyperlink" Target="https://azizstan.net/student_image/24469.jpg" TargetMode="External"/><Relationship Id="rId2323" Type="http://schemas.openxmlformats.org/officeDocument/2006/relationships/hyperlink" Target="https://azizstan.net/student_image/22661.jpg" TargetMode="External"/><Relationship Id="rId1466" Type="http://schemas.openxmlformats.org/officeDocument/2006/relationships/hyperlink" Target="https://azizstan.net/student_image/24185.jpg" TargetMode="External"/><Relationship Id="rId2313" Type="http://schemas.openxmlformats.org/officeDocument/2006/relationships/hyperlink" Target="https://azizstan.net/student_image/23159.jpg" TargetMode="External"/><Relationship Id="rId1467" Type="http://schemas.openxmlformats.org/officeDocument/2006/relationships/hyperlink" Target="https://azizstan.net/student_image/24186.jpg" TargetMode="External"/><Relationship Id="rId2314" Type="http://schemas.openxmlformats.org/officeDocument/2006/relationships/hyperlink" Target="https://azizstan.net/student_image/23210.jpg" TargetMode="External"/><Relationship Id="rId1468" Type="http://schemas.openxmlformats.org/officeDocument/2006/relationships/hyperlink" Target="https://azizstan.net/student_image/24192.jpg" TargetMode="External"/><Relationship Id="rId2315" Type="http://schemas.openxmlformats.org/officeDocument/2006/relationships/hyperlink" Target="https://azizstan.net/student_image/24693.jpg" TargetMode="External"/><Relationship Id="rId1469" Type="http://schemas.openxmlformats.org/officeDocument/2006/relationships/hyperlink" Target="https://azizstan.net/student_image/24204.jpg" TargetMode="External"/><Relationship Id="rId2316" Type="http://schemas.openxmlformats.org/officeDocument/2006/relationships/hyperlink" Target="https://azizstan.net/student_image/24728.jpg" TargetMode="External"/><Relationship Id="rId2317" Type="http://schemas.openxmlformats.org/officeDocument/2006/relationships/hyperlink" Target="https://azizstan.net/student_image/24771.jpg" TargetMode="External"/><Relationship Id="rId2318" Type="http://schemas.openxmlformats.org/officeDocument/2006/relationships/hyperlink" Target="https://azizstan.net/student_image/24875.jpg" TargetMode="External"/><Relationship Id="rId2319" Type="http://schemas.openxmlformats.org/officeDocument/2006/relationships/hyperlink" Target="https://azizstan.net/student_image/24890.jpg" TargetMode="External"/><Relationship Id="rId635" Type="http://schemas.openxmlformats.org/officeDocument/2006/relationships/hyperlink" Target="https://azizstan.net/student_image/25445.jpg" TargetMode="External"/><Relationship Id="rId634" Type="http://schemas.openxmlformats.org/officeDocument/2006/relationships/hyperlink" Target="https://azizstan.net/student_image/25428.jpg" TargetMode="External"/><Relationship Id="rId633" Type="http://schemas.openxmlformats.org/officeDocument/2006/relationships/hyperlink" Target="https://azizstan.net/student_image/25386.jpg" TargetMode="External"/><Relationship Id="rId632" Type="http://schemas.openxmlformats.org/officeDocument/2006/relationships/hyperlink" Target="https://azizstan.net/student_image/25376.jpg" TargetMode="External"/><Relationship Id="rId639" Type="http://schemas.openxmlformats.org/officeDocument/2006/relationships/hyperlink" Target="https://azizstan.net/student_image/25481.jpg" TargetMode="External"/><Relationship Id="rId638" Type="http://schemas.openxmlformats.org/officeDocument/2006/relationships/hyperlink" Target="https://azizstan.net/student_image/25480.jpg" TargetMode="External"/><Relationship Id="rId637" Type="http://schemas.openxmlformats.org/officeDocument/2006/relationships/hyperlink" Target="https://azizstan.net/student_image/25465.jpg" TargetMode="External"/><Relationship Id="rId636" Type="http://schemas.openxmlformats.org/officeDocument/2006/relationships/hyperlink" Target="https://azizstan.net/student_image/25449.jpg" TargetMode="External"/><Relationship Id="rId1460" Type="http://schemas.openxmlformats.org/officeDocument/2006/relationships/hyperlink" Target="https://azizstan.net/student_image/24455.jpg" TargetMode="External"/><Relationship Id="rId1461" Type="http://schemas.openxmlformats.org/officeDocument/2006/relationships/hyperlink" Target="https://azizstan.net/student_image/24514.jpg" TargetMode="External"/><Relationship Id="rId631" Type="http://schemas.openxmlformats.org/officeDocument/2006/relationships/hyperlink" Target="https://azizstan.net/student_image/25371.jpg" TargetMode="External"/><Relationship Id="rId1462" Type="http://schemas.openxmlformats.org/officeDocument/2006/relationships/hyperlink" Target="https://azizstan.net/student_image/25919.jpg" TargetMode="External"/><Relationship Id="rId630" Type="http://schemas.openxmlformats.org/officeDocument/2006/relationships/hyperlink" Target="https://azizstan.net/student_image/26821.jpg" TargetMode="External"/><Relationship Id="rId1463" Type="http://schemas.openxmlformats.org/officeDocument/2006/relationships/hyperlink" Target="https://azizstan.net/student_image/26255.jpg" TargetMode="External"/><Relationship Id="rId2310" Type="http://schemas.openxmlformats.org/officeDocument/2006/relationships/hyperlink" Target="https://azizstan.net/student_image/23041.jpg" TargetMode="External"/><Relationship Id="rId1464" Type="http://schemas.openxmlformats.org/officeDocument/2006/relationships/hyperlink" Target="https://azizstan.net/student_image/24015.jpg" TargetMode="External"/><Relationship Id="rId2311" Type="http://schemas.openxmlformats.org/officeDocument/2006/relationships/hyperlink" Target="https://azizstan.net/student_image/23100.jpg" TargetMode="External"/><Relationship Id="rId1465" Type="http://schemas.openxmlformats.org/officeDocument/2006/relationships/hyperlink" Target="https://azizstan.net/student_image/24133.jpg" TargetMode="External"/><Relationship Id="rId2312" Type="http://schemas.openxmlformats.org/officeDocument/2006/relationships/hyperlink" Target="https://azizstan.net/student_image/23102.jpg" TargetMode="External"/><Relationship Id="rId1411" Type="http://schemas.openxmlformats.org/officeDocument/2006/relationships/hyperlink" Target="https://azizstan.net/student_image/26635.jpg" TargetMode="External"/><Relationship Id="rId1895" Type="http://schemas.openxmlformats.org/officeDocument/2006/relationships/hyperlink" Target="https://azizstan.net/student_image/23694.jpg" TargetMode="External"/><Relationship Id="rId1412" Type="http://schemas.openxmlformats.org/officeDocument/2006/relationships/hyperlink" Target="https://azizstan.net/student_image/26636.jpg" TargetMode="External"/><Relationship Id="rId1896" Type="http://schemas.openxmlformats.org/officeDocument/2006/relationships/hyperlink" Target="https://azizstan.net/student_image/23697.jpg" TargetMode="External"/><Relationship Id="rId1413" Type="http://schemas.openxmlformats.org/officeDocument/2006/relationships/hyperlink" Target="https://azizstan.net/student_image/26637.jpg" TargetMode="External"/><Relationship Id="rId1897" Type="http://schemas.openxmlformats.org/officeDocument/2006/relationships/hyperlink" Target="https://azizstan.net/student_image/23721.jpg" TargetMode="External"/><Relationship Id="rId1414" Type="http://schemas.openxmlformats.org/officeDocument/2006/relationships/hyperlink" Target="https://azizstan.net/student_image/26666.jpg" TargetMode="External"/><Relationship Id="rId1898" Type="http://schemas.openxmlformats.org/officeDocument/2006/relationships/hyperlink" Target="https://azizstan.net/student_image/23722.jpg" TargetMode="External"/><Relationship Id="rId1415" Type="http://schemas.openxmlformats.org/officeDocument/2006/relationships/hyperlink" Target="https://azizstan.net/student_image/26675.jpg" TargetMode="External"/><Relationship Id="rId1899" Type="http://schemas.openxmlformats.org/officeDocument/2006/relationships/hyperlink" Target="https://azizstan.net/student_image/23735.jpg" TargetMode="External"/><Relationship Id="rId1416" Type="http://schemas.openxmlformats.org/officeDocument/2006/relationships/hyperlink" Target="https://azizstan.net/student_image/26710.jpg" TargetMode="External"/><Relationship Id="rId1417" Type="http://schemas.openxmlformats.org/officeDocument/2006/relationships/hyperlink" Target="https://azizstan.net/student_image/26771.jpg" TargetMode="External"/><Relationship Id="rId1418" Type="http://schemas.openxmlformats.org/officeDocument/2006/relationships/hyperlink" Target="https://azizstan.net/student_image/26784.jpg" TargetMode="External"/><Relationship Id="rId1419" Type="http://schemas.openxmlformats.org/officeDocument/2006/relationships/hyperlink" Target="https://azizstan.net/student_image/26804.jpg" TargetMode="External"/><Relationship Id="rId1890" Type="http://schemas.openxmlformats.org/officeDocument/2006/relationships/hyperlink" Target="https://azizstan.net/student_image/23493.jpg" TargetMode="External"/><Relationship Id="rId1891" Type="http://schemas.openxmlformats.org/officeDocument/2006/relationships/hyperlink" Target="https://azizstan.net/student_image/23497.jpg" TargetMode="External"/><Relationship Id="rId1892" Type="http://schemas.openxmlformats.org/officeDocument/2006/relationships/hyperlink" Target="https://azizstan.net/student_image/23528.jpg" TargetMode="External"/><Relationship Id="rId1893" Type="http://schemas.openxmlformats.org/officeDocument/2006/relationships/hyperlink" Target="https://azizstan.net/student_image/23599.jpg" TargetMode="External"/><Relationship Id="rId1410" Type="http://schemas.openxmlformats.org/officeDocument/2006/relationships/hyperlink" Target="https://azizstan.net/student_image/26577.jpg" TargetMode="External"/><Relationship Id="rId1894" Type="http://schemas.openxmlformats.org/officeDocument/2006/relationships/hyperlink" Target="https://azizstan.net/student_image/23687.jpg" TargetMode="External"/><Relationship Id="rId1400" Type="http://schemas.openxmlformats.org/officeDocument/2006/relationships/hyperlink" Target="https://azizstan.net/student_image/24546.jpg" TargetMode="External"/><Relationship Id="rId1884" Type="http://schemas.openxmlformats.org/officeDocument/2006/relationships/hyperlink" Target="https://azizstan.net/student_image/23371.jpg" TargetMode="External"/><Relationship Id="rId1401" Type="http://schemas.openxmlformats.org/officeDocument/2006/relationships/hyperlink" Target="https://azizstan.net/student_image/24550.jpg" TargetMode="External"/><Relationship Id="rId1885" Type="http://schemas.openxmlformats.org/officeDocument/2006/relationships/hyperlink" Target="https://azizstan.net/student_image/23384.jpg" TargetMode="External"/><Relationship Id="rId1402" Type="http://schemas.openxmlformats.org/officeDocument/2006/relationships/hyperlink" Target="https://azizstan.net/student_image/24571.jpg" TargetMode="External"/><Relationship Id="rId1886" Type="http://schemas.openxmlformats.org/officeDocument/2006/relationships/hyperlink" Target="https://azizstan.net/student_image/23391.jpg" TargetMode="External"/><Relationship Id="rId1403" Type="http://schemas.openxmlformats.org/officeDocument/2006/relationships/hyperlink" Target="https://azizstan.net/student_image/25263.jpg" TargetMode="External"/><Relationship Id="rId1887" Type="http://schemas.openxmlformats.org/officeDocument/2006/relationships/hyperlink" Target="https://azizstan.net/student_image/23398.jpg" TargetMode="External"/><Relationship Id="rId1404" Type="http://schemas.openxmlformats.org/officeDocument/2006/relationships/hyperlink" Target="https://azizstan.net/student_image/25924.jpg" TargetMode="External"/><Relationship Id="rId1888" Type="http://schemas.openxmlformats.org/officeDocument/2006/relationships/hyperlink" Target="https://azizstan.net/student_image/23420.jpg" TargetMode="External"/><Relationship Id="rId1405" Type="http://schemas.openxmlformats.org/officeDocument/2006/relationships/hyperlink" Target="https://azizstan.net/student_image/25974.jpg" TargetMode="External"/><Relationship Id="rId1889" Type="http://schemas.openxmlformats.org/officeDocument/2006/relationships/hyperlink" Target="https://azizstan.net/student_image/23428.jpg" TargetMode="External"/><Relationship Id="rId1406" Type="http://schemas.openxmlformats.org/officeDocument/2006/relationships/hyperlink" Target="https://azizstan.net/student_image/26061.jpg" TargetMode="External"/><Relationship Id="rId1407" Type="http://schemas.openxmlformats.org/officeDocument/2006/relationships/hyperlink" Target="https://azizstan.net/student_image/26264.jpg" TargetMode="External"/><Relationship Id="rId1408" Type="http://schemas.openxmlformats.org/officeDocument/2006/relationships/hyperlink" Target="https://azizstan.net/student_image/26354.jpg" TargetMode="External"/><Relationship Id="rId1409" Type="http://schemas.openxmlformats.org/officeDocument/2006/relationships/hyperlink" Target="https://azizstan.net/student_image/26511.jpg" TargetMode="External"/><Relationship Id="rId1880" Type="http://schemas.openxmlformats.org/officeDocument/2006/relationships/hyperlink" Target="https://azizstan.net/student_image/23341.jpg" TargetMode="External"/><Relationship Id="rId1881" Type="http://schemas.openxmlformats.org/officeDocument/2006/relationships/hyperlink" Target="https://azizstan.net/student_image/23343.jpg" TargetMode="External"/><Relationship Id="rId1882" Type="http://schemas.openxmlformats.org/officeDocument/2006/relationships/hyperlink" Target="https://azizstan.net/student_image/23346.jpg" TargetMode="External"/><Relationship Id="rId1883" Type="http://schemas.openxmlformats.org/officeDocument/2006/relationships/hyperlink" Target="https://azizstan.net/student_image/23349.jpg" TargetMode="External"/><Relationship Id="rId1433" Type="http://schemas.openxmlformats.org/officeDocument/2006/relationships/hyperlink" Target="https://azizstan.net/student_image/24071.jpg" TargetMode="External"/><Relationship Id="rId1434" Type="http://schemas.openxmlformats.org/officeDocument/2006/relationships/hyperlink" Target="https://azizstan.net/student_image/24081.jpg" TargetMode="External"/><Relationship Id="rId1435" Type="http://schemas.openxmlformats.org/officeDocument/2006/relationships/hyperlink" Target="https://azizstan.net/student_image/24087.jpg" TargetMode="External"/><Relationship Id="rId1436" Type="http://schemas.openxmlformats.org/officeDocument/2006/relationships/hyperlink" Target="https://azizstan.net/student_image/24096.jpg" TargetMode="External"/><Relationship Id="rId1437" Type="http://schemas.openxmlformats.org/officeDocument/2006/relationships/hyperlink" Target="https://azizstan.net/student_image/24099.jpg" TargetMode="External"/><Relationship Id="rId1438" Type="http://schemas.openxmlformats.org/officeDocument/2006/relationships/hyperlink" Target="https://azizstan.net/student_image/24105.jpg" TargetMode="External"/><Relationship Id="rId1439" Type="http://schemas.openxmlformats.org/officeDocument/2006/relationships/hyperlink" Target="https://azizstan.net/student_image/24109.jpg" TargetMode="External"/><Relationship Id="rId609" Type="http://schemas.openxmlformats.org/officeDocument/2006/relationships/hyperlink" Target="https://azizstan.net/student_image/26709.jpg" TargetMode="External"/><Relationship Id="rId608" Type="http://schemas.openxmlformats.org/officeDocument/2006/relationships/hyperlink" Target="https://azizstan.net/student_image/26029.jpg" TargetMode="External"/><Relationship Id="rId607" Type="http://schemas.openxmlformats.org/officeDocument/2006/relationships/hyperlink" Target="https://azizstan.net/student_image/26027.jpg" TargetMode="External"/><Relationship Id="rId602" Type="http://schemas.openxmlformats.org/officeDocument/2006/relationships/hyperlink" Target="https://azizstan.net/student_image/25895.jpg" TargetMode="External"/><Relationship Id="rId601" Type="http://schemas.openxmlformats.org/officeDocument/2006/relationships/hyperlink" Target="https://azizstan.net/student_image/25890.jpg" TargetMode="External"/><Relationship Id="rId600" Type="http://schemas.openxmlformats.org/officeDocument/2006/relationships/hyperlink" Target="https://azizstan.net/student_image/25883.jpg" TargetMode="External"/><Relationship Id="rId606" Type="http://schemas.openxmlformats.org/officeDocument/2006/relationships/hyperlink" Target="https://azizstan.net/student_image/25993.jpg" TargetMode="External"/><Relationship Id="rId605" Type="http://schemas.openxmlformats.org/officeDocument/2006/relationships/hyperlink" Target="https://azizstan.net/student_image/25927.jpg" TargetMode="External"/><Relationship Id="rId604" Type="http://schemas.openxmlformats.org/officeDocument/2006/relationships/hyperlink" Target="https://azizstan.net/student_image/25908.jpg" TargetMode="External"/><Relationship Id="rId603" Type="http://schemas.openxmlformats.org/officeDocument/2006/relationships/hyperlink" Target="https://azizstan.net/student_image/25896.jpg" TargetMode="External"/><Relationship Id="rId1430" Type="http://schemas.openxmlformats.org/officeDocument/2006/relationships/hyperlink" Target="https://azizstan.net/student_image/24053.jpg" TargetMode="External"/><Relationship Id="rId1431" Type="http://schemas.openxmlformats.org/officeDocument/2006/relationships/hyperlink" Target="https://azizstan.net/student_image/24067.jpg" TargetMode="External"/><Relationship Id="rId1432" Type="http://schemas.openxmlformats.org/officeDocument/2006/relationships/hyperlink" Target="https://azizstan.net/student_image/24070.jpg" TargetMode="External"/><Relationship Id="rId1422" Type="http://schemas.openxmlformats.org/officeDocument/2006/relationships/hyperlink" Target="https://azizstan.net/student_image/24010.jpg" TargetMode="External"/><Relationship Id="rId1423" Type="http://schemas.openxmlformats.org/officeDocument/2006/relationships/hyperlink" Target="https://azizstan.net/student_image/24013.jpg" TargetMode="External"/><Relationship Id="rId1424" Type="http://schemas.openxmlformats.org/officeDocument/2006/relationships/hyperlink" Target="https://azizstan.net/student_image/24022.jpg" TargetMode="External"/><Relationship Id="rId1425" Type="http://schemas.openxmlformats.org/officeDocument/2006/relationships/hyperlink" Target="https://azizstan.net/student_image/24023.jpg" TargetMode="External"/><Relationship Id="rId1426" Type="http://schemas.openxmlformats.org/officeDocument/2006/relationships/hyperlink" Target="https://azizstan.net/student_image/24025.jpg" TargetMode="External"/><Relationship Id="rId1427" Type="http://schemas.openxmlformats.org/officeDocument/2006/relationships/hyperlink" Target="https://azizstan.net/student_image/24038.jpg" TargetMode="External"/><Relationship Id="rId1428" Type="http://schemas.openxmlformats.org/officeDocument/2006/relationships/hyperlink" Target="https://azizstan.net/student_image/24046.jpg" TargetMode="External"/><Relationship Id="rId1429" Type="http://schemas.openxmlformats.org/officeDocument/2006/relationships/hyperlink" Target="https://azizstan.net/student_image/24050.jpg" TargetMode="External"/><Relationship Id="rId1420" Type="http://schemas.openxmlformats.org/officeDocument/2006/relationships/hyperlink" Target="https://azizstan.net/student_image/23998.jpg" TargetMode="External"/><Relationship Id="rId1421" Type="http://schemas.openxmlformats.org/officeDocument/2006/relationships/hyperlink" Target="https://azizstan.net/student_image/24006.jpg" TargetMode="External"/><Relationship Id="rId1059" Type="http://schemas.openxmlformats.org/officeDocument/2006/relationships/hyperlink" Target="https://azizstan.net/student_image/24996.jpg" TargetMode="External"/><Relationship Id="rId228" Type="http://schemas.openxmlformats.org/officeDocument/2006/relationships/hyperlink" Target="https://azizstan.net/student_image/26556.jpg" TargetMode="External"/><Relationship Id="rId227" Type="http://schemas.openxmlformats.org/officeDocument/2006/relationships/hyperlink" Target="https://azizstan.net/student_image/26534.jpg" TargetMode="External"/><Relationship Id="rId226" Type="http://schemas.openxmlformats.org/officeDocument/2006/relationships/hyperlink" Target="https://azizstan.net/student_image/26481.jpg" TargetMode="External"/><Relationship Id="rId225" Type="http://schemas.openxmlformats.org/officeDocument/2006/relationships/hyperlink" Target="https://azizstan.net/student_image/26472.jpg" TargetMode="External"/><Relationship Id="rId2380" Type="http://schemas.openxmlformats.org/officeDocument/2006/relationships/hyperlink" Target="https://azizstan.net/student_image/23125.jpg" TargetMode="External"/><Relationship Id="rId229" Type="http://schemas.openxmlformats.org/officeDocument/2006/relationships/hyperlink" Target="https://azizstan.net/student_image/26638.jpg" TargetMode="External"/><Relationship Id="rId1050" Type="http://schemas.openxmlformats.org/officeDocument/2006/relationships/hyperlink" Target="https://azizstan.net/student_image/24835.jpg" TargetMode="External"/><Relationship Id="rId2381" Type="http://schemas.openxmlformats.org/officeDocument/2006/relationships/hyperlink" Target="https://azizstan.net/student_image/23158.jpg" TargetMode="External"/><Relationship Id="rId220" Type="http://schemas.openxmlformats.org/officeDocument/2006/relationships/hyperlink" Target="https://azizstan.net/student_image/26409.jpg" TargetMode="External"/><Relationship Id="rId1051" Type="http://schemas.openxmlformats.org/officeDocument/2006/relationships/hyperlink" Target="https://azizstan.net/student_image/24866.jpg" TargetMode="External"/><Relationship Id="rId2382" Type="http://schemas.openxmlformats.org/officeDocument/2006/relationships/hyperlink" Target="https://azizstan.net/student_image/23175.jpg" TargetMode="External"/><Relationship Id="rId1052" Type="http://schemas.openxmlformats.org/officeDocument/2006/relationships/hyperlink" Target="https://azizstan.net/student_image/24892.jpg" TargetMode="External"/><Relationship Id="rId2383" Type="http://schemas.openxmlformats.org/officeDocument/2006/relationships/hyperlink" Target="https://azizstan.net/student_image/23199.jpg" TargetMode="External"/><Relationship Id="rId1053" Type="http://schemas.openxmlformats.org/officeDocument/2006/relationships/hyperlink" Target="https://azizstan.net/student_image/24908.jpg" TargetMode="External"/><Relationship Id="rId2384" Type="http://schemas.openxmlformats.org/officeDocument/2006/relationships/hyperlink" Target="https://azizstan.net/student_image/23252.jpg" TargetMode="External"/><Relationship Id="rId1054" Type="http://schemas.openxmlformats.org/officeDocument/2006/relationships/hyperlink" Target="https://azizstan.net/student_image/24912.jpg" TargetMode="External"/><Relationship Id="rId2385" Type="http://schemas.openxmlformats.org/officeDocument/2006/relationships/hyperlink" Target="https://azizstan.net/student_image/23257.jpg" TargetMode="External"/><Relationship Id="rId224" Type="http://schemas.openxmlformats.org/officeDocument/2006/relationships/hyperlink" Target="https://azizstan.net/student_image/26467.jpg" TargetMode="External"/><Relationship Id="rId1055" Type="http://schemas.openxmlformats.org/officeDocument/2006/relationships/hyperlink" Target="https://azizstan.net/student_image/24916.jpg" TargetMode="External"/><Relationship Id="rId2386" Type="http://schemas.openxmlformats.org/officeDocument/2006/relationships/hyperlink" Target="https://azizstan.net/student_image/23270.jpg" TargetMode="External"/><Relationship Id="rId223" Type="http://schemas.openxmlformats.org/officeDocument/2006/relationships/hyperlink" Target="https://azizstan.net/student_image/26429.jpg" TargetMode="External"/><Relationship Id="rId1056" Type="http://schemas.openxmlformats.org/officeDocument/2006/relationships/hyperlink" Target="https://azizstan.net/student_image/24979.jpg" TargetMode="External"/><Relationship Id="rId2387" Type="http://schemas.openxmlformats.org/officeDocument/2006/relationships/hyperlink" Target="https://azizstan.net/student_image/23300.jpg" TargetMode="External"/><Relationship Id="rId222" Type="http://schemas.openxmlformats.org/officeDocument/2006/relationships/hyperlink" Target="https://azizstan.net/student_image/26426.jpg" TargetMode="External"/><Relationship Id="rId1057" Type="http://schemas.openxmlformats.org/officeDocument/2006/relationships/hyperlink" Target="https://azizstan.net/student_image/24992.jpg" TargetMode="External"/><Relationship Id="rId2388" Type="http://schemas.openxmlformats.org/officeDocument/2006/relationships/hyperlink" Target="https://azizstan.net/student_image/23627.jpg" TargetMode="External"/><Relationship Id="rId221" Type="http://schemas.openxmlformats.org/officeDocument/2006/relationships/hyperlink" Target="https://azizstan.net/student_image/26412.jpg" TargetMode="External"/><Relationship Id="rId1058" Type="http://schemas.openxmlformats.org/officeDocument/2006/relationships/hyperlink" Target="https://azizstan.net/student_image/24993.jpg" TargetMode="External"/><Relationship Id="rId2389" Type="http://schemas.openxmlformats.org/officeDocument/2006/relationships/hyperlink" Target="https://azizstan.net/student_image/24603.jpg" TargetMode="External"/><Relationship Id="rId1048" Type="http://schemas.openxmlformats.org/officeDocument/2006/relationships/hyperlink" Target="https://azizstan.net/student_image/24818.jpg" TargetMode="External"/><Relationship Id="rId2379" Type="http://schemas.openxmlformats.org/officeDocument/2006/relationships/hyperlink" Target="https://azizstan.net/student_image/23058.jpg" TargetMode="External"/><Relationship Id="rId1049" Type="http://schemas.openxmlformats.org/officeDocument/2006/relationships/hyperlink" Target="https://azizstan.net/student_image/24834.jpg" TargetMode="External"/><Relationship Id="rId217" Type="http://schemas.openxmlformats.org/officeDocument/2006/relationships/hyperlink" Target="https://azizstan.net/student_image/26360.jpg" TargetMode="External"/><Relationship Id="rId216" Type="http://schemas.openxmlformats.org/officeDocument/2006/relationships/hyperlink" Target="https://azizstan.net/student_image/26352.jpg" TargetMode="External"/><Relationship Id="rId215" Type="http://schemas.openxmlformats.org/officeDocument/2006/relationships/hyperlink" Target="https://azizstan.net/student_image/26351.jpg" TargetMode="External"/><Relationship Id="rId699" Type="http://schemas.openxmlformats.org/officeDocument/2006/relationships/hyperlink" Target="https://azizstan.net/student_image/25942.jpg" TargetMode="External"/><Relationship Id="rId214" Type="http://schemas.openxmlformats.org/officeDocument/2006/relationships/hyperlink" Target="https://azizstan.net/student_image/26316.jpg" TargetMode="External"/><Relationship Id="rId698" Type="http://schemas.openxmlformats.org/officeDocument/2006/relationships/hyperlink" Target="https://azizstan.net/student_image/25934.jpg" TargetMode="External"/><Relationship Id="rId219" Type="http://schemas.openxmlformats.org/officeDocument/2006/relationships/hyperlink" Target="https://azizstan.net/student_image/26399.jpg" TargetMode="External"/><Relationship Id="rId218" Type="http://schemas.openxmlformats.org/officeDocument/2006/relationships/hyperlink" Target="https://azizstan.net/student_image/26391.jpg" TargetMode="External"/><Relationship Id="rId2370" Type="http://schemas.openxmlformats.org/officeDocument/2006/relationships/hyperlink" Target="https://azizstan.net/student_image/22800.jpg" TargetMode="External"/><Relationship Id="rId693" Type="http://schemas.openxmlformats.org/officeDocument/2006/relationships/hyperlink" Target="https://azizstan.net/student_image/25687.jpg" TargetMode="External"/><Relationship Id="rId1040" Type="http://schemas.openxmlformats.org/officeDocument/2006/relationships/hyperlink" Target="https://azizstan.net/student_image/25349.jpg" TargetMode="External"/><Relationship Id="rId2371" Type="http://schemas.openxmlformats.org/officeDocument/2006/relationships/hyperlink" Target="https://azizstan.net/student_image/22852.jpg" TargetMode="External"/><Relationship Id="rId692" Type="http://schemas.openxmlformats.org/officeDocument/2006/relationships/hyperlink" Target="https://azizstan.net/student_image/25664.jpg" TargetMode="External"/><Relationship Id="rId1041" Type="http://schemas.openxmlformats.org/officeDocument/2006/relationships/hyperlink" Target="https://azizstan.net/student_image/24608.jpg" TargetMode="External"/><Relationship Id="rId2372" Type="http://schemas.openxmlformats.org/officeDocument/2006/relationships/hyperlink" Target="https://azizstan.net/student_image/22906.jpg" TargetMode="External"/><Relationship Id="rId691" Type="http://schemas.openxmlformats.org/officeDocument/2006/relationships/hyperlink" Target="https://azizstan.net/student_image/25662.jpg" TargetMode="External"/><Relationship Id="rId1042" Type="http://schemas.openxmlformats.org/officeDocument/2006/relationships/hyperlink" Target="https://azizstan.net/student_image/24615.jpg" TargetMode="External"/><Relationship Id="rId2373" Type="http://schemas.openxmlformats.org/officeDocument/2006/relationships/hyperlink" Target="https://azizstan.net/student_image/22939.jpg" TargetMode="External"/><Relationship Id="rId690" Type="http://schemas.openxmlformats.org/officeDocument/2006/relationships/hyperlink" Target="https://azizstan.net/student_image/25647.jpg" TargetMode="External"/><Relationship Id="rId1043" Type="http://schemas.openxmlformats.org/officeDocument/2006/relationships/hyperlink" Target="https://azizstan.net/student_image/24665.jpg" TargetMode="External"/><Relationship Id="rId2374" Type="http://schemas.openxmlformats.org/officeDocument/2006/relationships/hyperlink" Target="https://azizstan.net/student_image/22943.jpg" TargetMode="External"/><Relationship Id="rId213" Type="http://schemas.openxmlformats.org/officeDocument/2006/relationships/hyperlink" Target="https://azizstan.net/student_image/26260.jpg" TargetMode="External"/><Relationship Id="rId697" Type="http://schemas.openxmlformats.org/officeDocument/2006/relationships/hyperlink" Target="https://azizstan.net/student_image/25917.jpg" TargetMode="External"/><Relationship Id="rId1044" Type="http://schemas.openxmlformats.org/officeDocument/2006/relationships/hyperlink" Target="https://azizstan.net/student_image/24666.jpg" TargetMode="External"/><Relationship Id="rId2375" Type="http://schemas.openxmlformats.org/officeDocument/2006/relationships/hyperlink" Target="https://azizstan.net/student_image/22949.jpg" TargetMode="External"/><Relationship Id="rId212" Type="http://schemas.openxmlformats.org/officeDocument/2006/relationships/hyperlink" Target="https://azizstan.net/student_image/26243.jpg" TargetMode="External"/><Relationship Id="rId696" Type="http://schemas.openxmlformats.org/officeDocument/2006/relationships/hyperlink" Target="https://azizstan.net/student_image/25836.jpg" TargetMode="External"/><Relationship Id="rId1045" Type="http://schemas.openxmlformats.org/officeDocument/2006/relationships/hyperlink" Target="https://azizstan.net/student_image/24687.jpg" TargetMode="External"/><Relationship Id="rId2376" Type="http://schemas.openxmlformats.org/officeDocument/2006/relationships/hyperlink" Target="https://azizstan.net/student_image/22986.jpg" TargetMode="External"/><Relationship Id="rId211" Type="http://schemas.openxmlformats.org/officeDocument/2006/relationships/hyperlink" Target="https://azizstan.net/student_image/26240.jpg" TargetMode="External"/><Relationship Id="rId695" Type="http://schemas.openxmlformats.org/officeDocument/2006/relationships/hyperlink" Target="https://azizstan.net/student_image/25819.jpg" TargetMode="External"/><Relationship Id="rId1046" Type="http://schemas.openxmlformats.org/officeDocument/2006/relationships/hyperlink" Target="https://azizstan.net/student_image/24700.jpg" TargetMode="External"/><Relationship Id="rId2377" Type="http://schemas.openxmlformats.org/officeDocument/2006/relationships/hyperlink" Target="https://azizstan.net/student_image/22990.jpg" TargetMode="External"/><Relationship Id="rId210" Type="http://schemas.openxmlformats.org/officeDocument/2006/relationships/hyperlink" Target="https://azizstan.net/student_image/26226.jpg" TargetMode="External"/><Relationship Id="rId694" Type="http://schemas.openxmlformats.org/officeDocument/2006/relationships/hyperlink" Target="https://azizstan.net/student_image/25712.jpg" TargetMode="External"/><Relationship Id="rId1047" Type="http://schemas.openxmlformats.org/officeDocument/2006/relationships/hyperlink" Target="https://azizstan.net/student_image/24768.jpg" TargetMode="External"/><Relationship Id="rId2378" Type="http://schemas.openxmlformats.org/officeDocument/2006/relationships/hyperlink" Target="https://azizstan.net/student_image/23044.jpg" TargetMode="External"/><Relationship Id="rId249" Type="http://schemas.openxmlformats.org/officeDocument/2006/relationships/hyperlink" Target="https://azizstan.net/student_image/26334.jpg" TargetMode="External"/><Relationship Id="rId248" Type="http://schemas.openxmlformats.org/officeDocument/2006/relationships/hyperlink" Target="https://azizstan.net/student_image/26323.jpg" TargetMode="External"/><Relationship Id="rId247" Type="http://schemas.openxmlformats.org/officeDocument/2006/relationships/hyperlink" Target="https://azizstan.net/student_image/26296.jpg" TargetMode="External"/><Relationship Id="rId1070" Type="http://schemas.openxmlformats.org/officeDocument/2006/relationships/hyperlink" Target="https://azizstan.net/student_image/25181.jpg" TargetMode="External"/><Relationship Id="rId1071" Type="http://schemas.openxmlformats.org/officeDocument/2006/relationships/hyperlink" Target="https://azizstan.net/student_image/25997.jpg" TargetMode="External"/><Relationship Id="rId1072" Type="http://schemas.openxmlformats.org/officeDocument/2006/relationships/hyperlink" Target="https://azizstan.net/student_image/26006.jpg" TargetMode="External"/><Relationship Id="rId242" Type="http://schemas.openxmlformats.org/officeDocument/2006/relationships/hyperlink" Target="https://azizstan.net/student_image/26155.jpg" TargetMode="External"/><Relationship Id="rId1073" Type="http://schemas.openxmlformats.org/officeDocument/2006/relationships/hyperlink" Target="https://azizstan.net/student_image/26140.jpg" TargetMode="External"/><Relationship Id="rId241" Type="http://schemas.openxmlformats.org/officeDocument/2006/relationships/hyperlink" Target="https://azizstan.net/student_image/26148.jpg" TargetMode="External"/><Relationship Id="rId1074" Type="http://schemas.openxmlformats.org/officeDocument/2006/relationships/hyperlink" Target="https://azizstan.net/student_image/26247.jpg" TargetMode="External"/><Relationship Id="rId240" Type="http://schemas.openxmlformats.org/officeDocument/2006/relationships/hyperlink" Target="https://azizstan.net/student_image/26125.jpg" TargetMode="External"/><Relationship Id="rId1075" Type="http://schemas.openxmlformats.org/officeDocument/2006/relationships/hyperlink" Target="https://azizstan.net/student_image/26494.jpg" TargetMode="External"/><Relationship Id="rId1076" Type="http://schemas.openxmlformats.org/officeDocument/2006/relationships/hyperlink" Target="https://azizstan.net/student_image/26588.jpg" TargetMode="External"/><Relationship Id="rId246" Type="http://schemas.openxmlformats.org/officeDocument/2006/relationships/hyperlink" Target="https://azizstan.net/student_image/26276.jpg" TargetMode="External"/><Relationship Id="rId1077" Type="http://schemas.openxmlformats.org/officeDocument/2006/relationships/hyperlink" Target="https://azizstan.net/student_image/26589.jpg" TargetMode="External"/><Relationship Id="rId245" Type="http://schemas.openxmlformats.org/officeDocument/2006/relationships/hyperlink" Target="https://azizstan.net/student_image/26202.jpg" TargetMode="External"/><Relationship Id="rId1078" Type="http://schemas.openxmlformats.org/officeDocument/2006/relationships/hyperlink" Target="https://azizstan.net/student_image/24161.jpg" TargetMode="External"/><Relationship Id="rId244" Type="http://schemas.openxmlformats.org/officeDocument/2006/relationships/hyperlink" Target="https://azizstan.net/student_image/26178.jpg" TargetMode="External"/><Relationship Id="rId1079" Type="http://schemas.openxmlformats.org/officeDocument/2006/relationships/hyperlink" Target="https://azizstan.net/student_image/24742.jpg" TargetMode="External"/><Relationship Id="rId243" Type="http://schemas.openxmlformats.org/officeDocument/2006/relationships/hyperlink" Target="https://azizstan.net/student_image/26163.jpg" TargetMode="External"/><Relationship Id="rId239" Type="http://schemas.openxmlformats.org/officeDocument/2006/relationships/hyperlink" Target="https://azizstan.net/student_image/26117.jpg" TargetMode="External"/><Relationship Id="rId238" Type="http://schemas.openxmlformats.org/officeDocument/2006/relationships/hyperlink" Target="https://azizstan.net/student_image/26115.jpg" TargetMode="External"/><Relationship Id="rId237" Type="http://schemas.openxmlformats.org/officeDocument/2006/relationships/hyperlink" Target="https://azizstan.net/student_image/26111.jpg" TargetMode="External"/><Relationship Id="rId236" Type="http://schemas.openxmlformats.org/officeDocument/2006/relationships/hyperlink" Target="https://azizstan.net/student_image/26082.jpg" TargetMode="External"/><Relationship Id="rId2390" Type="http://schemas.openxmlformats.org/officeDocument/2006/relationships/hyperlink" Target="https://azizstan.net/student_image/24642.jpg" TargetMode="External"/><Relationship Id="rId1060" Type="http://schemas.openxmlformats.org/officeDocument/2006/relationships/hyperlink" Target="https://azizstan.net/student_image/25004.jpg" TargetMode="External"/><Relationship Id="rId2391" Type="http://schemas.openxmlformats.org/officeDocument/2006/relationships/hyperlink" Target="https://azizstan.net/student_image/24716.jpg" TargetMode="External"/><Relationship Id="rId1061" Type="http://schemas.openxmlformats.org/officeDocument/2006/relationships/hyperlink" Target="https://azizstan.net/student_image/25014.jpg" TargetMode="External"/><Relationship Id="rId2392" Type="http://schemas.openxmlformats.org/officeDocument/2006/relationships/hyperlink" Target="https://azizstan.net/student_image/24827.jpg" TargetMode="External"/><Relationship Id="rId231" Type="http://schemas.openxmlformats.org/officeDocument/2006/relationships/hyperlink" Target="https://azizstan.net/student_image/26662.jpg" TargetMode="External"/><Relationship Id="rId1062" Type="http://schemas.openxmlformats.org/officeDocument/2006/relationships/hyperlink" Target="https://azizstan.net/student_image/25053.jpg" TargetMode="External"/><Relationship Id="rId2393" Type="http://schemas.openxmlformats.org/officeDocument/2006/relationships/hyperlink" Target="https://azizstan.net/student_image/24871.jpg" TargetMode="External"/><Relationship Id="rId230" Type="http://schemas.openxmlformats.org/officeDocument/2006/relationships/hyperlink" Target="https://azizstan.net/student_image/26660.jpg" TargetMode="External"/><Relationship Id="rId1063" Type="http://schemas.openxmlformats.org/officeDocument/2006/relationships/hyperlink" Target="https://azizstan.net/student_image/25062.jpg" TargetMode="External"/><Relationship Id="rId2394" Type="http://schemas.openxmlformats.org/officeDocument/2006/relationships/hyperlink" Target="https://azizstan.net/student_image/24876.jpg" TargetMode="External"/><Relationship Id="rId1064" Type="http://schemas.openxmlformats.org/officeDocument/2006/relationships/hyperlink" Target="https://azizstan.net/student_image/25064.jpg" TargetMode="External"/><Relationship Id="rId2395" Type="http://schemas.openxmlformats.org/officeDocument/2006/relationships/hyperlink" Target="https://azizstan.net/student_image/24955.jpg" TargetMode="External"/><Relationship Id="rId1065" Type="http://schemas.openxmlformats.org/officeDocument/2006/relationships/hyperlink" Target="https://azizstan.net/student_image/25070.jpg" TargetMode="External"/><Relationship Id="rId2396" Type="http://schemas.openxmlformats.org/officeDocument/2006/relationships/hyperlink" Target="https://azizstan.net/student_image/25107.jpg" TargetMode="External"/><Relationship Id="rId235" Type="http://schemas.openxmlformats.org/officeDocument/2006/relationships/hyperlink" Target="https://azizstan.net/student_image/26037.jpg" TargetMode="External"/><Relationship Id="rId1066" Type="http://schemas.openxmlformats.org/officeDocument/2006/relationships/hyperlink" Target="https://azizstan.net/student_image/25099.jpg" TargetMode="External"/><Relationship Id="rId2397" Type="http://schemas.openxmlformats.org/officeDocument/2006/relationships/hyperlink" Target="https://azizstan.net/student_image/25113.jpg" TargetMode="External"/><Relationship Id="rId234" Type="http://schemas.openxmlformats.org/officeDocument/2006/relationships/hyperlink" Target="https://azizstan.net/student_image/26780.jpg" TargetMode="External"/><Relationship Id="rId1067" Type="http://schemas.openxmlformats.org/officeDocument/2006/relationships/hyperlink" Target="https://azizstan.net/student_image/25118.jpg" TargetMode="External"/><Relationship Id="rId2398" Type="http://schemas.openxmlformats.org/officeDocument/2006/relationships/hyperlink" Target="https://azizstan.net/student_image/25115.jpg" TargetMode="External"/><Relationship Id="rId233" Type="http://schemas.openxmlformats.org/officeDocument/2006/relationships/hyperlink" Target="https://azizstan.net/student_image/26727.jpg" TargetMode="External"/><Relationship Id="rId1068" Type="http://schemas.openxmlformats.org/officeDocument/2006/relationships/hyperlink" Target="https://azizstan.net/student_image/25131.jpg" TargetMode="External"/><Relationship Id="rId2399" Type="http://schemas.openxmlformats.org/officeDocument/2006/relationships/hyperlink" Target="https://azizstan.net/student_image/25180.jpg" TargetMode="External"/><Relationship Id="rId232" Type="http://schemas.openxmlformats.org/officeDocument/2006/relationships/hyperlink" Target="https://azizstan.net/student_image/26672.jpg" TargetMode="External"/><Relationship Id="rId1069" Type="http://schemas.openxmlformats.org/officeDocument/2006/relationships/hyperlink" Target="https://azizstan.net/student_image/25132.jpg" TargetMode="External"/><Relationship Id="rId1015" Type="http://schemas.openxmlformats.org/officeDocument/2006/relationships/hyperlink" Target="https://azizstan.net/student_image/24845.jpg" TargetMode="External"/><Relationship Id="rId1499" Type="http://schemas.openxmlformats.org/officeDocument/2006/relationships/hyperlink" Target="https://azizstan.net/student_image/26566.jpg" TargetMode="External"/><Relationship Id="rId2346" Type="http://schemas.openxmlformats.org/officeDocument/2006/relationships/hyperlink" Target="https://azizstan.net/student_image/23137.jpg" TargetMode="External"/><Relationship Id="rId1016" Type="http://schemas.openxmlformats.org/officeDocument/2006/relationships/hyperlink" Target="https://azizstan.net/student_image/24848.jpg" TargetMode="External"/><Relationship Id="rId2347" Type="http://schemas.openxmlformats.org/officeDocument/2006/relationships/hyperlink" Target="https://azizstan.net/student_image/23169.jpg" TargetMode="External"/><Relationship Id="rId1017" Type="http://schemas.openxmlformats.org/officeDocument/2006/relationships/hyperlink" Target="https://azizstan.net/student_image/24860.jpg" TargetMode="External"/><Relationship Id="rId2348" Type="http://schemas.openxmlformats.org/officeDocument/2006/relationships/hyperlink" Target="https://azizstan.net/student_image/23183.jpg" TargetMode="External"/><Relationship Id="rId1018" Type="http://schemas.openxmlformats.org/officeDocument/2006/relationships/hyperlink" Target="https://azizstan.net/student_image/24951.jpg" TargetMode="External"/><Relationship Id="rId2349" Type="http://schemas.openxmlformats.org/officeDocument/2006/relationships/hyperlink" Target="https://azizstan.net/student_image/23318.jpg" TargetMode="External"/><Relationship Id="rId1019" Type="http://schemas.openxmlformats.org/officeDocument/2006/relationships/hyperlink" Target="https://azizstan.net/student_image/24982.jpg" TargetMode="External"/><Relationship Id="rId668" Type="http://schemas.openxmlformats.org/officeDocument/2006/relationships/hyperlink" Target="https://azizstan.net/student_image/26542.jpg" TargetMode="External"/><Relationship Id="rId667" Type="http://schemas.openxmlformats.org/officeDocument/2006/relationships/hyperlink" Target="https://azizstan.net/student_image/26129.jpg" TargetMode="External"/><Relationship Id="rId666" Type="http://schemas.openxmlformats.org/officeDocument/2006/relationships/hyperlink" Target="https://azizstan.net/student_image/25967.jpg" TargetMode="External"/><Relationship Id="rId665" Type="http://schemas.openxmlformats.org/officeDocument/2006/relationships/hyperlink" Target="https://azizstan.net/student_image/25918.jpg" TargetMode="External"/><Relationship Id="rId669" Type="http://schemas.openxmlformats.org/officeDocument/2006/relationships/hyperlink" Target="https://azizstan.net/student_image/26719.jpg" TargetMode="External"/><Relationship Id="rId1490" Type="http://schemas.openxmlformats.org/officeDocument/2006/relationships/hyperlink" Target="https://azizstan.net/student_image/26381.jpg" TargetMode="External"/><Relationship Id="rId660" Type="http://schemas.openxmlformats.org/officeDocument/2006/relationships/hyperlink" Target="https://azizstan.net/student_image/25830.jpg" TargetMode="External"/><Relationship Id="rId1491" Type="http://schemas.openxmlformats.org/officeDocument/2006/relationships/hyperlink" Target="https://azizstan.net/student_image/26404.jpg" TargetMode="External"/><Relationship Id="rId1492" Type="http://schemas.openxmlformats.org/officeDocument/2006/relationships/hyperlink" Target="https://azizstan.net/student_image/26419.jpg" TargetMode="External"/><Relationship Id="rId1493" Type="http://schemas.openxmlformats.org/officeDocument/2006/relationships/hyperlink" Target="https://azizstan.net/student_image/26471.jpg" TargetMode="External"/><Relationship Id="rId2340" Type="http://schemas.openxmlformats.org/officeDocument/2006/relationships/hyperlink" Target="https://azizstan.net/student_image/22980.jpg" TargetMode="External"/><Relationship Id="rId1010" Type="http://schemas.openxmlformats.org/officeDocument/2006/relationships/hyperlink" Target="https://azizstan.net/student_image/24753.jpg" TargetMode="External"/><Relationship Id="rId1494" Type="http://schemas.openxmlformats.org/officeDocument/2006/relationships/hyperlink" Target="https://azizstan.net/student_image/26480.jpg" TargetMode="External"/><Relationship Id="rId2341" Type="http://schemas.openxmlformats.org/officeDocument/2006/relationships/hyperlink" Target="https://azizstan.net/student_image/22992.jpg" TargetMode="External"/><Relationship Id="rId664" Type="http://schemas.openxmlformats.org/officeDocument/2006/relationships/hyperlink" Target="https://azizstan.net/student_image/25906.jpg" TargetMode="External"/><Relationship Id="rId1011" Type="http://schemas.openxmlformats.org/officeDocument/2006/relationships/hyperlink" Target="https://azizstan.net/student_image/24754.jpg" TargetMode="External"/><Relationship Id="rId1495" Type="http://schemas.openxmlformats.org/officeDocument/2006/relationships/hyperlink" Target="https://azizstan.net/student_image/26527.jpg" TargetMode="External"/><Relationship Id="rId2342" Type="http://schemas.openxmlformats.org/officeDocument/2006/relationships/hyperlink" Target="https://azizstan.net/student_image/22995.jpg" TargetMode="External"/><Relationship Id="rId663" Type="http://schemas.openxmlformats.org/officeDocument/2006/relationships/hyperlink" Target="https://azizstan.net/student_image/25887.jpg" TargetMode="External"/><Relationship Id="rId1012" Type="http://schemas.openxmlformats.org/officeDocument/2006/relationships/hyperlink" Target="https://azizstan.net/student_image/24798.jpg" TargetMode="External"/><Relationship Id="rId1496" Type="http://schemas.openxmlformats.org/officeDocument/2006/relationships/hyperlink" Target="https://azizstan.net/student_image/26541.jpg" TargetMode="External"/><Relationship Id="rId2343" Type="http://schemas.openxmlformats.org/officeDocument/2006/relationships/hyperlink" Target="https://azizstan.net/student_image/23029.jpg" TargetMode="External"/><Relationship Id="rId662" Type="http://schemas.openxmlformats.org/officeDocument/2006/relationships/hyperlink" Target="https://azizstan.net/student_image/25869.jpg" TargetMode="External"/><Relationship Id="rId1013" Type="http://schemas.openxmlformats.org/officeDocument/2006/relationships/hyperlink" Target="https://azizstan.net/student_image/24801.jpg" TargetMode="External"/><Relationship Id="rId1497" Type="http://schemas.openxmlformats.org/officeDocument/2006/relationships/hyperlink" Target="https://azizstan.net/student_image/26543.jpg" TargetMode="External"/><Relationship Id="rId2344" Type="http://schemas.openxmlformats.org/officeDocument/2006/relationships/hyperlink" Target="https://azizstan.net/student_image/23051.jpg" TargetMode="External"/><Relationship Id="rId661" Type="http://schemas.openxmlformats.org/officeDocument/2006/relationships/hyperlink" Target="https://azizstan.net/student_image/25858.jpg" TargetMode="External"/><Relationship Id="rId1014" Type="http://schemas.openxmlformats.org/officeDocument/2006/relationships/hyperlink" Target="https://azizstan.net/student_image/24844.jpg" TargetMode="External"/><Relationship Id="rId1498" Type="http://schemas.openxmlformats.org/officeDocument/2006/relationships/hyperlink" Target="https://azizstan.net/student_image/26553.jpg" TargetMode="External"/><Relationship Id="rId2345" Type="http://schemas.openxmlformats.org/officeDocument/2006/relationships/hyperlink" Target="https://azizstan.net/student_image/23052.jpg" TargetMode="External"/><Relationship Id="rId1004" Type="http://schemas.openxmlformats.org/officeDocument/2006/relationships/hyperlink" Target="https://azizstan.net/student_image/24681.jpg" TargetMode="External"/><Relationship Id="rId1488" Type="http://schemas.openxmlformats.org/officeDocument/2006/relationships/hyperlink" Target="https://azizstan.net/student_image/26340.jpg" TargetMode="External"/><Relationship Id="rId2335" Type="http://schemas.openxmlformats.org/officeDocument/2006/relationships/hyperlink" Target="https://azizstan.net/student_image/22924.jpg" TargetMode="External"/><Relationship Id="rId1005" Type="http://schemas.openxmlformats.org/officeDocument/2006/relationships/hyperlink" Target="https://azizstan.net/student_image/24689.jpg" TargetMode="External"/><Relationship Id="rId1489" Type="http://schemas.openxmlformats.org/officeDocument/2006/relationships/hyperlink" Target="https://azizstan.net/student_image/26359.jpg" TargetMode="External"/><Relationship Id="rId2336" Type="http://schemas.openxmlformats.org/officeDocument/2006/relationships/hyperlink" Target="https://azizstan.net/student_image/22959.jpg" TargetMode="External"/><Relationship Id="rId1006" Type="http://schemas.openxmlformats.org/officeDocument/2006/relationships/hyperlink" Target="https://azizstan.net/student_image/24705.jpg" TargetMode="External"/><Relationship Id="rId2337" Type="http://schemas.openxmlformats.org/officeDocument/2006/relationships/hyperlink" Target="https://azizstan.net/student_image/22966.jpg" TargetMode="External"/><Relationship Id="rId1007" Type="http://schemas.openxmlformats.org/officeDocument/2006/relationships/hyperlink" Target="https://azizstan.net/student_image/24732.jpg" TargetMode="External"/><Relationship Id="rId2338" Type="http://schemas.openxmlformats.org/officeDocument/2006/relationships/hyperlink" Target="https://azizstan.net/student_image/22967.jpg" TargetMode="External"/><Relationship Id="rId1008" Type="http://schemas.openxmlformats.org/officeDocument/2006/relationships/hyperlink" Target="https://azizstan.net/student_image/24735.jpg" TargetMode="External"/><Relationship Id="rId2339" Type="http://schemas.openxmlformats.org/officeDocument/2006/relationships/hyperlink" Target="https://azizstan.net/student_image/22979.jpg" TargetMode="External"/><Relationship Id="rId1009" Type="http://schemas.openxmlformats.org/officeDocument/2006/relationships/hyperlink" Target="https://azizstan.net/student_image/24736.jpg" TargetMode="External"/><Relationship Id="rId657" Type="http://schemas.openxmlformats.org/officeDocument/2006/relationships/hyperlink" Target="https://azizstan.net/student_image/25767.jpg" TargetMode="External"/><Relationship Id="rId656" Type="http://schemas.openxmlformats.org/officeDocument/2006/relationships/hyperlink" Target="https://azizstan.net/student_image/25754.jpg" TargetMode="External"/><Relationship Id="rId655" Type="http://schemas.openxmlformats.org/officeDocument/2006/relationships/hyperlink" Target="https://azizstan.net/student_image/25738.jpg" TargetMode="External"/><Relationship Id="rId654" Type="http://schemas.openxmlformats.org/officeDocument/2006/relationships/hyperlink" Target="https://azizstan.net/student_image/25735.jpg" TargetMode="External"/><Relationship Id="rId659" Type="http://schemas.openxmlformats.org/officeDocument/2006/relationships/hyperlink" Target="https://azizstan.net/student_image/25787.jpg" TargetMode="External"/><Relationship Id="rId658" Type="http://schemas.openxmlformats.org/officeDocument/2006/relationships/hyperlink" Target="https://azizstan.net/student_image/25786.jpg" TargetMode="External"/><Relationship Id="rId1480" Type="http://schemas.openxmlformats.org/officeDocument/2006/relationships/hyperlink" Target="https://azizstan.net/student_image/26046.jpg" TargetMode="External"/><Relationship Id="rId1481" Type="http://schemas.openxmlformats.org/officeDocument/2006/relationships/hyperlink" Target="https://azizstan.net/student_image/26120.jpg" TargetMode="External"/><Relationship Id="rId1482" Type="http://schemas.openxmlformats.org/officeDocument/2006/relationships/hyperlink" Target="https://azizstan.net/student_image/26124.jpg" TargetMode="External"/><Relationship Id="rId1483" Type="http://schemas.openxmlformats.org/officeDocument/2006/relationships/hyperlink" Target="https://azizstan.net/student_image/26159.jpg" TargetMode="External"/><Relationship Id="rId2330" Type="http://schemas.openxmlformats.org/officeDocument/2006/relationships/hyperlink" Target="https://azizstan.net/student_image/22786.jpg" TargetMode="External"/><Relationship Id="rId653" Type="http://schemas.openxmlformats.org/officeDocument/2006/relationships/hyperlink" Target="https://azizstan.net/student_image/25717.jpg" TargetMode="External"/><Relationship Id="rId1000" Type="http://schemas.openxmlformats.org/officeDocument/2006/relationships/hyperlink" Target="https://azizstan.net/student_image/25865.jpg" TargetMode="External"/><Relationship Id="rId1484" Type="http://schemas.openxmlformats.org/officeDocument/2006/relationships/hyperlink" Target="https://azizstan.net/student_image/26196.jpg" TargetMode="External"/><Relationship Id="rId2331" Type="http://schemas.openxmlformats.org/officeDocument/2006/relationships/hyperlink" Target="https://azizstan.net/student_image/22791.jpg" TargetMode="External"/><Relationship Id="rId652" Type="http://schemas.openxmlformats.org/officeDocument/2006/relationships/hyperlink" Target="https://azizstan.net/student_image/25645.jpg" TargetMode="External"/><Relationship Id="rId1001" Type="http://schemas.openxmlformats.org/officeDocument/2006/relationships/hyperlink" Target="https://azizstan.net/student_image/24602.jpg" TargetMode="External"/><Relationship Id="rId1485" Type="http://schemas.openxmlformats.org/officeDocument/2006/relationships/hyperlink" Target="https://azizstan.net/student_image/26249.jpg" TargetMode="External"/><Relationship Id="rId2332" Type="http://schemas.openxmlformats.org/officeDocument/2006/relationships/hyperlink" Target="https://azizstan.net/student_image/22802.jpg" TargetMode="External"/><Relationship Id="rId651" Type="http://schemas.openxmlformats.org/officeDocument/2006/relationships/hyperlink" Target="https://azizstan.net/student_image/25633.jpg" TargetMode="External"/><Relationship Id="rId1002" Type="http://schemas.openxmlformats.org/officeDocument/2006/relationships/hyperlink" Target="https://azizstan.net/student_image/24656.jpg" TargetMode="External"/><Relationship Id="rId1486" Type="http://schemas.openxmlformats.org/officeDocument/2006/relationships/hyperlink" Target="https://azizstan.net/student_image/26266.jpg" TargetMode="External"/><Relationship Id="rId2333" Type="http://schemas.openxmlformats.org/officeDocument/2006/relationships/hyperlink" Target="https://azizstan.net/student_image/22897.jpg" TargetMode="External"/><Relationship Id="rId650" Type="http://schemas.openxmlformats.org/officeDocument/2006/relationships/hyperlink" Target="https://azizstan.net/student_image/25629.jpg" TargetMode="External"/><Relationship Id="rId1003" Type="http://schemas.openxmlformats.org/officeDocument/2006/relationships/hyperlink" Target="https://azizstan.net/student_image/24675.jpg" TargetMode="External"/><Relationship Id="rId1487" Type="http://schemas.openxmlformats.org/officeDocument/2006/relationships/hyperlink" Target="https://azizstan.net/student_image/26338.jpg" TargetMode="External"/><Relationship Id="rId2334" Type="http://schemas.openxmlformats.org/officeDocument/2006/relationships/hyperlink" Target="https://azizstan.net/student_image/22923.jpg" TargetMode="External"/><Relationship Id="rId1037" Type="http://schemas.openxmlformats.org/officeDocument/2006/relationships/hyperlink" Target="https://azizstan.net/student_image/25257.jpg" TargetMode="External"/><Relationship Id="rId2368" Type="http://schemas.openxmlformats.org/officeDocument/2006/relationships/hyperlink" Target="https://azizstan.net/student_image/22652.jpg" TargetMode="External"/><Relationship Id="rId1038" Type="http://schemas.openxmlformats.org/officeDocument/2006/relationships/hyperlink" Target="https://azizstan.net/student_image/25322.jpg" TargetMode="External"/><Relationship Id="rId2369" Type="http://schemas.openxmlformats.org/officeDocument/2006/relationships/hyperlink" Target="https://azizstan.net/student_image/22769.jpg" TargetMode="External"/><Relationship Id="rId1039" Type="http://schemas.openxmlformats.org/officeDocument/2006/relationships/hyperlink" Target="https://azizstan.net/student_image/25330.jpg" TargetMode="External"/><Relationship Id="rId206" Type="http://schemas.openxmlformats.org/officeDocument/2006/relationships/hyperlink" Target="https://azizstan.net/student_image/26192.jpg" TargetMode="External"/><Relationship Id="rId205" Type="http://schemas.openxmlformats.org/officeDocument/2006/relationships/hyperlink" Target="https://azizstan.net/student_image/26177.jpg" TargetMode="External"/><Relationship Id="rId689" Type="http://schemas.openxmlformats.org/officeDocument/2006/relationships/hyperlink" Target="https://azizstan.net/student_image/25646.jpg" TargetMode="External"/><Relationship Id="rId204" Type="http://schemas.openxmlformats.org/officeDocument/2006/relationships/hyperlink" Target="https://azizstan.net/student_image/26153.jpg" TargetMode="External"/><Relationship Id="rId688" Type="http://schemas.openxmlformats.org/officeDocument/2006/relationships/hyperlink" Target="https://azizstan.net/student_image/25619.jpg" TargetMode="External"/><Relationship Id="rId203" Type="http://schemas.openxmlformats.org/officeDocument/2006/relationships/hyperlink" Target="https://azizstan.net/student_image/26137.jpg" TargetMode="External"/><Relationship Id="rId687" Type="http://schemas.openxmlformats.org/officeDocument/2006/relationships/hyperlink" Target="https://azizstan.net/student_image/25615.jpg" TargetMode="External"/><Relationship Id="rId209" Type="http://schemas.openxmlformats.org/officeDocument/2006/relationships/hyperlink" Target="https://azizstan.net/student_image/26216.jpg" TargetMode="External"/><Relationship Id="rId208" Type="http://schemas.openxmlformats.org/officeDocument/2006/relationships/hyperlink" Target="https://azizstan.net/student_image/26209.jpg" TargetMode="External"/><Relationship Id="rId207" Type="http://schemas.openxmlformats.org/officeDocument/2006/relationships/hyperlink" Target="https://azizstan.net/student_image/26193.jpg" TargetMode="External"/><Relationship Id="rId682" Type="http://schemas.openxmlformats.org/officeDocument/2006/relationships/hyperlink" Target="https://azizstan.net/student_image/25528.jpg" TargetMode="External"/><Relationship Id="rId2360" Type="http://schemas.openxmlformats.org/officeDocument/2006/relationships/hyperlink" Target="https://azizstan.net/student_image/25175.jpg" TargetMode="External"/><Relationship Id="rId681" Type="http://schemas.openxmlformats.org/officeDocument/2006/relationships/hyperlink" Target="https://azizstan.net/student_image/25525.jpg" TargetMode="External"/><Relationship Id="rId1030" Type="http://schemas.openxmlformats.org/officeDocument/2006/relationships/hyperlink" Target="https://azizstan.net/student_image/25193.jpg" TargetMode="External"/><Relationship Id="rId2361" Type="http://schemas.openxmlformats.org/officeDocument/2006/relationships/hyperlink" Target="https://azizstan.net/student_image/25202.jpg" TargetMode="External"/><Relationship Id="rId680" Type="http://schemas.openxmlformats.org/officeDocument/2006/relationships/hyperlink" Target="https://azizstan.net/student_image/25494.jpg" TargetMode="External"/><Relationship Id="rId1031" Type="http://schemas.openxmlformats.org/officeDocument/2006/relationships/hyperlink" Target="https://azizstan.net/student_image/25196.jpg" TargetMode="External"/><Relationship Id="rId2362" Type="http://schemas.openxmlformats.org/officeDocument/2006/relationships/hyperlink" Target="https://azizstan.net/student_image/25231.jpg" TargetMode="External"/><Relationship Id="rId1032" Type="http://schemas.openxmlformats.org/officeDocument/2006/relationships/hyperlink" Target="https://azizstan.net/student_image/25197.jpg" TargetMode="External"/><Relationship Id="rId2363" Type="http://schemas.openxmlformats.org/officeDocument/2006/relationships/hyperlink" Target="https://azizstan.net/student_image/25246.jpg" TargetMode="External"/><Relationship Id="rId202" Type="http://schemas.openxmlformats.org/officeDocument/2006/relationships/hyperlink" Target="https://azizstan.net/student_image/26130.jpg" TargetMode="External"/><Relationship Id="rId686" Type="http://schemas.openxmlformats.org/officeDocument/2006/relationships/hyperlink" Target="https://azizstan.net/student_image/25603.jpg" TargetMode="External"/><Relationship Id="rId1033" Type="http://schemas.openxmlformats.org/officeDocument/2006/relationships/hyperlink" Target="https://azizstan.net/student_image/25215.jpg" TargetMode="External"/><Relationship Id="rId2364" Type="http://schemas.openxmlformats.org/officeDocument/2006/relationships/hyperlink" Target="https://azizstan.net/student_image/25326.jpg" TargetMode="External"/><Relationship Id="rId201" Type="http://schemas.openxmlformats.org/officeDocument/2006/relationships/hyperlink" Target="https://azizstan.net/student_image/26100.jpg" TargetMode="External"/><Relationship Id="rId685" Type="http://schemas.openxmlformats.org/officeDocument/2006/relationships/hyperlink" Target="https://azizstan.net/student_image/25594.jpg" TargetMode="External"/><Relationship Id="rId1034" Type="http://schemas.openxmlformats.org/officeDocument/2006/relationships/hyperlink" Target="https://azizstan.net/student_image/25238.jpg" TargetMode="External"/><Relationship Id="rId2365" Type="http://schemas.openxmlformats.org/officeDocument/2006/relationships/hyperlink" Target="https://azizstan.net/student_image/25332.jpg" TargetMode="External"/><Relationship Id="rId200" Type="http://schemas.openxmlformats.org/officeDocument/2006/relationships/hyperlink" Target="https://azizstan.net/student_image/26099.jpg" TargetMode="External"/><Relationship Id="rId684" Type="http://schemas.openxmlformats.org/officeDocument/2006/relationships/hyperlink" Target="https://azizstan.net/student_image/25576.jpg" TargetMode="External"/><Relationship Id="rId1035" Type="http://schemas.openxmlformats.org/officeDocument/2006/relationships/hyperlink" Target="https://azizstan.net/student_image/25249.jpg" TargetMode="External"/><Relationship Id="rId2366" Type="http://schemas.openxmlformats.org/officeDocument/2006/relationships/hyperlink" Target="https://azizstan.net/student_image/25354.jpg" TargetMode="External"/><Relationship Id="rId683" Type="http://schemas.openxmlformats.org/officeDocument/2006/relationships/hyperlink" Target="https://azizstan.net/student_image/25556.jpg" TargetMode="External"/><Relationship Id="rId1036" Type="http://schemas.openxmlformats.org/officeDocument/2006/relationships/hyperlink" Target="https://azizstan.net/student_image/25252.jpg" TargetMode="External"/><Relationship Id="rId2367" Type="http://schemas.openxmlformats.org/officeDocument/2006/relationships/hyperlink" Target="https://azizstan.net/student_image/25763.jpg" TargetMode="External"/><Relationship Id="rId1026" Type="http://schemas.openxmlformats.org/officeDocument/2006/relationships/hyperlink" Target="https://azizstan.net/student_image/25159.jpg" TargetMode="External"/><Relationship Id="rId2357" Type="http://schemas.openxmlformats.org/officeDocument/2006/relationships/hyperlink" Target="https://azizstan.net/student_image/24973.jpg" TargetMode="External"/><Relationship Id="rId1027" Type="http://schemas.openxmlformats.org/officeDocument/2006/relationships/hyperlink" Target="https://azizstan.net/student_image/25163.jpg" TargetMode="External"/><Relationship Id="rId2358" Type="http://schemas.openxmlformats.org/officeDocument/2006/relationships/hyperlink" Target="https://azizstan.net/student_image/25121.jpg" TargetMode="External"/><Relationship Id="rId1028" Type="http://schemas.openxmlformats.org/officeDocument/2006/relationships/hyperlink" Target="https://azizstan.net/student_image/25166.jpg" TargetMode="External"/><Relationship Id="rId2359" Type="http://schemas.openxmlformats.org/officeDocument/2006/relationships/hyperlink" Target="https://azizstan.net/student_image/25126.jpg" TargetMode="External"/><Relationship Id="rId1029" Type="http://schemas.openxmlformats.org/officeDocument/2006/relationships/hyperlink" Target="https://azizstan.net/student_image/25186.jpg" TargetMode="External"/><Relationship Id="rId679" Type="http://schemas.openxmlformats.org/officeDocument/2006/relationships/hyperlink" Target="https://azizstan.net/student_image/25489.jpg" TargetMode="External"/><Relationship Id="rId678" Type="http://schemas.openxmlformats.org/officeDocument/2006/relationships/hyperlink" Target="https://azizstan.net/student_image/25479.jpg" TargetMode="External"/><Relationship Id="rId677" Type="http://schemas.openxmlformats.org/officeDocument/2006/relationships/hyperlink" Target="https://azizstan.net/student_image/25478.jpg" TargetMode="External"/><Relationship Id="rId676" Type="http://schemas.openxmlformats.org/officeDocument/2006/relationships/hyperlink" Target="https://azizstan.net/student_image/25473.jpg" TargetMode="External"/><Relationship Id="rId671" Type="http://schemas.openxmlformats.org/officeDocument/2006/relationships/hyperlink" Target="https://azizstan.net/student_image/25409.jpg" TargetMode="External"/><Relationship Id="rId670" Type="http://schemas.openxmlformats.org/officeDocument/2006/relationships/hyperlink" Target="https://azizstan.net/student_image/25383.jpg" TargetMode="External"/><Relationship Id="rId2350" Type="http://schemas.openxmlformats.org/officeDocument/2006/relationships/hyperlink" Target="https://azizstan.net/student_image/24596.jpg" TargetMode="External"/><Relationship Id="rId1020" Type="http://schemas.openxmlformats.org/officeDocument/2006/relationships/hyperlink" Target="https://azizstan.net/student_image/25001.jpg" TargetMode="External"/><Relationship Id="rId2351" Type="http://schemas.openxmlformats.org/officeDocument/2006/relationships/hyperlink" Target="https://azizstan.net/student_image/24684.jpg" TargetMode="External"/><Relationship Id="rId1021" Type="http://schemas.openxmlformats.org/officeDocument/2006/relationships/hyperlink" Target="https://azizstan.net/student_image/25005.jpg" TargetMode="External"/><Relationship Id="rId2352" Type="http://schemas.openxmlformats.org/officeDocument/2006/relationships/hyperlink" Target="https://azizstan.net/student_image/24710.jpg" TargetMode="External"/><Relationship Id="rId675" Type="http://schemas.openxmlformats.org/officeDocument/2006/relationships/hyperlink" Target="https://azizstan.net/student_image/25469.jpg" TargetMode="External"/><Relationship Id="rId1022" Type="http://schemas.openxmlformats.org/officeDocument/2006/relationships/hyperlink" Target="https://azizstan.net/student_image/25022.jpg" TargetMode="External"/><Relationship Id="rId2353" Type="http://schemas.openxmlformats.org/officeDocument/2006/relationships/hyperlink" Target="https://azizstan.net/student_image/24826.jpg" TargetMode="External"/><Relationship Id="rId674" Type="http://schemas.openxmlformats.org/officeDocument/2006/relationships/hyperlink" Target="https://azizstan.net/student_image/25455.jpg" TargetMode="External"/><Relationship Id="rId1023" Type="http://schemas.openxmlformats.org/officeDocument/2006/relationships/hyperlink" Target="https://azizstan.net/student_image/25091.jpg" TargetMode="External"/><Relationship Id="rId2354" Type="http://schemas.openxmlformats.org/officeDocument/2006/relationships/hyperlink" Target="https://azizstan.net/student_image/24915.jpg" TargetMode="External"/><Relationship Id="rId673" Type="http://schemas.openxmlformats.org/officeDocument/2006/relationships/hyperlink" Target="https://azizstan.net/student_image/25437.jpg" TargetMode="External"/><Relationship Id="rId1024" Type="http://schemas.openxmlformats.org/officeDocument/2006/relationships/hyperlink" Target="https://azizstan.net/student_image/25123.jpg" TargetMode="External"/><Relationship Id="rId2355" Type="http://schemas.openxmlformats.org/officeDocument/2006/relationships/hyperlink" Target="https://azizstan.net/student_image/24918.jpg" TargetMode="External"/><Relationship Id="rId672" Type="http://schemas.openxmlformats.org/officeDocument/2006/relationships/hyperlink" Target="https://azizstan.net/student_image/25416.jpg" TargetMode="External"/><Relationship Id="rId1025" Type="http://schemas.openxmlformats.org/officeDocument/2006/relationships/hyperlink" Target="https://azizstan.net/student_image/25145.jpg" TargetMode="External"/><Relationship Id="rId2356" Type="http://schemas.openxmlformats.org/officeDocument/2006/relationships/hyperlink" Target="https://azizstan.net/student_image/24969.jpg" TargetMode="External"/><Relationship Id="rId190" Type="http://schemas.openxmlformats.org/officeDocument/2006/relationships/hyperlink" Target="https://azizstan.net/student_image/26729.jpg" TargetMode="External"/><Relationship Id="rId194" Type="http://schemas.openxmlformats.org/officeDocument/2006/relationships/hyperlink" Target="https://azizstan.net/student_image/26053.jpg" TargetMode="External"/><Relationship Id="rId193" Type="http://schemas.openxmlformats.org/officeDocument/2006/relationships/hyperlink" Target="https://azizstan.net/student_image/26806.jpg" TargetMode="External"/><Relationship Id="rId192" Type="http://schemas.openxmlformats.org/officeDocument/2006/relationships/hyperlink" Target="https://azizstan.net/student_image/26777.jpg" TargetMode="External"/><Relationship Id="rId191" Type="http://schemas.openxmlformats.org/officeDocument/2006/relationships/hyperlink" Target="https://azizstan.net/student_image/26748.jpg" TargetMode="External"/><Relationship Id="rId187" Type="http://schemas.openxmlformats.org/officeDocument/2006/relationships/hyperlink" Target="https://azizstan.net/student_image/26604.jpg" TargetMode="External"/><Relationship Id="rId186" Type="http://schemas.openxmlformats.org/officeDocument/2006/relationships/hyperlink" Target="https://azizstan.net/student_image/26598.jpg" TargetMode="External"/><Relationship Id="rId185" Type="http://schemas.openxmlformats.org/officeDocument/2006/relationships/hyperlink" Target="https://azizstan.net/student_image/26529.jpg" TargetMode="External"/><Relationship Id="rId184" Type="http://schemas.openxmlformats.org/officeDocument/2006/relationships/hyperlink" Target="https://azizstan.net/student_image/26524.jpg" TargetMode="External"/><Relationship Id="rId189" Type="http://schemas.openxmlformats.org/officeDocument/2006/relationships/hyperlink" Target="https://azizstan.net/student_image/26717.jpg" TargetMode="External"/><Relationship Id="rId188" Type="http://schemas.openxmlformats.org/officeDocument/2006/relationships/hyperlink" Target="https://azizstan.net/student_image/26708.jpg" TargetMode="External"/><Relationship Id="rId183" Type="http://schemas.openxmlformats.org/officeDocument/2006/relationships/hyperlink" Target="https://azizstan.net/student_image/26520.jpg" TargetMode="External"/><Relationship Id="rId182" Type="http://schemas.openxmlformats.org/officeDocument/2006/relationships/hyperlink" Target="https://azizstan.net/student_image/26504.jpg" TargetMode="External"/><Relationship Id="rId181" Type="http://schemas.openxmlformats.org/officeDocument/2006/relationships/hyperlink" Target="https://azizstan.net/student_image/26475.jpg" TargetMode="External"/><Relationship Id="rId180" Type="http://schemas.openxmlformats.org/officeDocument/2006/relationships/hyperlink" Target="https://azizstan.net/student_image/26459.jpg" TargetMode="External"/><Relationship Id="rId176" Type="http://schemas.openxmlformats.org/officeDocument/2006/relationships/hyperlink" Target="https://azizstan.net/student_image/26447.jpg" TargetMode="External"/><Relationship Id="rId175" Type="http://schemas.openxmlformats.org/officeDocument/2006/relationships/hyperlink" Target="https://azizstan.net/student_image/26436.jpg" TargetMode="External"/><Relationship Id="rId174" Type="http://schemas.openxmlformats.org/officeDocument/2006/relationships/hyperlink" Target="https://azizstan.net/student_image/26417.jpg" TargetMode="External"/><Relationship Id="rId173" Type="http://schemas.openxmlformats.org/officeDocument/2006/relationships/hyperlink" Target="https://azizstan.net/student_image/26345.jpg" TargetMode="External"/><Relationship Id="rId179" Type="http://schemas.openxmlformats.org/officeDocument/2006/relationships/hyperlink" Target="https://azizstan.net/student_image/26454.jpg" TargetMode="External"/><Relationship Id="rId178" Type="http://schemas.openxmlformats.org/officeDocument/2006/relationships/hyperlink" Target="https://azizstan.net/student_image/26450.jpg" TargetMode="External"/><Relationship Id="rId177" Type="http://schemas.openxmlformats.org/officeDocument/2006/relationships/hyperlink" Target="https://azizstan.net/student_image/26448.jpg" TargetMode="External"/><Relationship Id="rId1910" Type="http://schemas.openxmlformats.org/officeDocument/2006/relationships/hyperlink" Target="https://azizstan.net/student_image/25703.jpg" TargetMode="External"/><Relationship Id="rId1911" Type="http://schemas.openxmlformats.org/officeDocument/2006/relationships/hyperlink" Target="https://azizstan.net/student_image/25757.jpg" TargetMode="External"/><Relationship Id="rId1912" Type="http://schemas.openxmlformats.org/officeDocument/2006/relationships/hyperlink" Target="https://azizstan.net/student_image/25800.jpg" TargetMode="External"/><Relationship Id="rId1913" Type="http://schemas.openxmlformats.org/officeDocument/2006/relationships/hyperlink" Target="https://azizstan.net/student_image/23344.jpg" TargetMode="External"/><Relationship Id="rId1914" Type="http://schemas.openxmlformats.org/officeDocument/2006/relationships/hyperlink" Target="https://azizstan.net/student_image/23347.jpg" TargetMode="External"/><Relationship Id="rId1915" Type="http://schemas.openxmlformats.org/officeDocument/2006/relationships/hyperlink" Target="https://azizstan.net/student_image/23350.jpg" TargetMode="External"/><Relationship Id="rId1916" Type="http://schemas.openxmlformats.org/officeDocument/2006/relationships/hyperlink" Target="https://azizstan.net/student_image/23378.jpg" TargetMode="External"/><Relationship Id="rId1917" Type="http://schemas.openxmlformats.org/officeDocument/2006/relationships/hyperlink" Target="https://azizstan.net/student_image/23379.jpg" TargetMode="External"/><Relationship Id="rId1918" Type="http://schemas.openxmlformats.org/officeDocument/2006/relationships/hyperlink" Target="https://azizstan.net/student_image/23381.jpg" TargetMode="External"/><Relationship Id="rId1919" Type="http://schemas.openxmlformats.org/officeDocument/2006/relationships/hyperlink" Target="https://azizstan.net/student_image/23383.jpg" TargetMode="External"/><Relationship Id="rId1900" Type="http://schemas.openxmlformats.org/officeDocument/2006/relationships/hyperlink" Target="https://azizstan.net/student_image/23778.jpg" TargetMode="External"/><Relationship Id="rId1901" Type="http://schemas.openxmlformats.org/officeDocument/2006/relationships/hyperlink" Target="https://azizstan.net/student_image/23788.jpg" TargetMode="External"/><Relationship Id="rId1902" Type="http://schemas.openxmlformats.org/officeDocument/2006/relationships/hyperlink" Target="https://azizstan.net/student_image/23877.jpg" TargetMode="External"/><Relationship Id="rId1903" Type="http://schemas.openxmlformats.org/officeDocument/2006/relationships/hyperlink" Target="https://azizstan.net/student_image/23888.jpg" TargetMode="External"/><Relationship Id="rId1904" Type="http://schemas.openxmlformats.org/officeDocument/2006/relationships/hyperlink" Target="https://azizstan.net/student_image/23934.jpg" TargetMode="External"/><Relationship Id="rId1905" Type="http://schemas.openxmlformats.org/officeDocument/2006/relationships/hyperlink" Target="https://azizstan.net/student_image/25535.jpg" TargetMode="External"/><Relationship Id="rId1906" Type="http://schemas.openxmlformats.org/officeDocument/2006/relationships/hyperlink" Target="https://azizstan.net/student_image/25575.jpg" TargetMode="External"/><Relationship Id="rId1907" Type="http://schemas.openxmlformats.org/officeDocument/2006/relationships/hyperlink" Target="https://azizstan.net/student_image/25598.jpg" TargetMode="External"/><Relationship Id="rId1908" Type="http://schemas.openxmlformats.org/officeDocument/2006/relationships/hyperlink" Target="https://azizstan.net/student_image/25658.jpg" TargetMode="External"/><Relationship Id="rId1909" Type="http://schemas.openxmlformats.org/officeDocument/2006/relationships/hyperlink" Target="https://azizstan.net/student_image/25700.jpg" TargetMode="External"/><Relationship Id="rId198" Type="http://schemas.openxmlformats.org/officeDocument/2006/relationships/hyperlink" Target="https://azizstan.net/student_image/26071.jpg" TargetMode="External"/><Relationship Id="rId197" Type="http://schemas.openxmlformats.org/officeDocument/2006/relationships/hyperlink" Target="https://azizstan.net/student_image/26069.jpg" TargetMode="External"/><Relationship Id="rId196" Type="http://schemas.openxmlformats.org/officeDocument/2006/relationships/hyperlink" Target="https://azizstan.net/student_image/26059.jpg" TargetMode="External"/><Relationship Id="rId195" Type="http://schemas.openxmlformats.org/officeDocument/2006/relationships/hyperlink" Target="https://azizstan.net/student_image/26054.jpg" TargetMode="External"/><Relationship Id="rId199" Type="http://schemas.openxmlformats.org/officeDocument/2006/relationships/hyperlink" Target="https://azizstan.net/student_image/26086.jpg" TargetMode="External"/><Relationship Id="rId150" Type="http://schemas.openxmlformats.org/officeDocument/2006/relationships/hyperlink" Target="https://azizstan.net/student_image/26680.jpg" TargetMode="External"/><Relationship Id="rId149" Type="http://schemas.openxmlformats.org/officeDocument/2006/relationships/hyperlink" Target="https://azizstan.net/student_image/26658.jpg" TargetMode="External"/><Relationship Id="rId148" Type="http://schemas.openxmlformats.org/officeDocument/2006/relationships/hyperlink" Target="https://azizstan.net/student_image/26650.jpg" TargetMode="External"/><Relationship Id="rId1090" Type="http://schemas.openxmlformats.org/officeDocument/2006/relationships/hyperlink" Target="https://azizstan.net/student_image/25019.jpg" TargetMode="External"/><Relationship Id="rId1091" Type="http://schemas.openxmlformats.org/officeDocument/2006/relationships/hyperlink" Target="https://azizstan.net/student_image/25033.jpg" TargetMode="External"/><Relationship Id="rId1092" Type="http://schemas.openxmlformats.org/officeDocument/2006/relationships/hyperlink" Target="https://azizstan.net/student_image/25052.jpg" TargetMode="External"/><Relationship Id="rId1093" Type="http://schemas.openxmlformats.org/officeDocument/2006/relationships/hyperlink" Target="https://azizstan.net/student_image/25071.jpg" TargetMode="External"/><Relationship Id="rId1094" Type="http://schemas.openxmlformats.org/officeDocument/2006/relationships/hyperlink" Target="https://azizstan.net/student_image/25076.jpg" TargetMode="External"/><Relationship Id="rId143" Type="http://schemas.openxmlformats.org/officeDocument/2006/relationships/hyperlink" Target="https://azizstan.net/student_image/26600.jpg" TargetMode="External"/><Relationship Id="rId1095" Type="http://schemas.openxmlformats.org/officeDocument/2006/relationships/hyperlink" Target="https://azizstan.net/student_image/25077.jpg" TargetMode="External"/><Relationship Id="rId142" Type="http://schemas.openxmlformats.org/officeDocument/2006/relationships/hyperlink" Target="https://azizstan.net/student_image/26592.jpg" TargetMode="External"/><Relationship Id="rId1096" Type="http://schemas.openxmlformats.org/officeDocument/2006/relationships/hyperlink" Target="https://azizstan.net/student_image/25081.jpg" TargetMode="External"/><Relationship Id="rId141" Type="http://schemas.openxmlformats.org/officeDocument/2006/relationships/hyperlink" Target="https://azizstan.net/student_image/26585.jpg" TargetMode="External"/><Relationship Id="rId1097" Type="http://schemas.openxmlformats.org/officeDocument/2006/relationships/hyperlink" Target="https://azizstan.net/student_image/25097.jpg" TargetMode="External"/><Relationship Id="rId140" Type="http://schemas.openxmlformats.org/officeDocument/2006/relationships/hyperlink" Target="https://azizstan.net/student_image/26571.jpg" TargetMode="External"/><Relationship Id="rId1098" Type="http://schemas.openxmlformats.org/officeDocument/2006/relationships/hyperlink" Target="https://azizstan.net/student_image/25098.jpg" TargetMode="External"/><Relationship Id="rId147" Type="http://schemas.openxmlformats.org/officeDocument/2006/relationships/hyperlink" Target="https://azizstan.net/student_image/26644.jpg" TargetMode="External"/><Relationship Id="rId1099" Type="http://schemas.openxmlformats.org/officeDocument/2006/relationships/hyperlink" Target="https://azizstan.net/student_image/25100.jpg" TargetMode="External"/><Relationship Id="rId146" Type="http://schemas.openxmlformats.org/officeDocument/2006/relationships/hyperlink" Target="https://azizstan.net/student_image/26621.jpg" TargetMode="External"/><Relationship Id="rId145" Type="http://schemas.openxmlformats.org/officeDocument/2006/relationships/hyperlink" Target="https://azizstan.net/student_image/26618.jpg" TargetMode="External"/><Relationship Id="rId144" Type="http://schemas.openxmlformats.org/officeDocument/2006/relationships/hyperlink" Target="https://azizstan.net/student_image/26617.jpg" TargetMode="External"/><Relationship Id="rId139" Type="http://schemas.openxmlformats.org/officeDocument/2006/relationships/hyperlink" Target="https://azizstan.net/student_image/26559.jpg" TargetMode="External"/><Relationship Id="rId138" Type="http://schemas.openxmlformats.org/officeDocument/2006/relationships/hyperlink" Target="https://azizstan.net/student_image/26512.jpg" TargetMode="External"/><Relationship Id="rId137" Type="http://schemas.openxmlformats.org/officeDocument/2006/relationships/hyperlink" Target="https://azizstan.net/student_image/26492.jpg" TargetMode="External"/><Relationship Id="rId1080" Type="http://schemas.openxmlformats.org/officeDocument/2006/relationships/hyperlink" Target="https://azizstan.net/student_image/24779.jpg" TargetMode="External"/><Relationship Id="rId1081" Type="http://schemas.openxmlformats.org/officeDocument/2006/relationships/hyperlink" Target="https://azizstan.net/student_image/24837.jpg" TargetMode="External"/><Relationship Id="rId1082" Type="http://schemas.openxmlformats.org/officeDocument/2006/relationships/hyperlink" Target="https://azizstan.net/student_image/24847.jpg" TargetMode="External"/><Relationship Id="rId1083" Type="http://schemas.openxmlformats.org/officeDocument/2006/relationships/hyperlink" Target="https://azizstan.net/student_image/24849.jpg" TargetMode="External"/><Relationship Id="rId132" Type="http://schemas.openxmlformats.org/officeDocument/2006/relationships/hyperlink" Target="https://azizstan.net/student_image/26301.jpg" TargetMode="External"/><Relationship Id="rId1084" Type="http://schemas.openxmlformats.org/officeDocument/2006/relationships/hyperlink" Target="https://azizstan.net/student_image/24857.jpg" TargetMode="External"/><Relationship Id="rId131" Type="http://schemas.openxmlformats.org/officeDocument/2006/relationships/hyperlink" Target="https://azizstan.net/student_image/26295.jpg" TargetMode="External"/><Relationship Id="rId1085" Type="http://schemas.openxmlformats.org/officeDocument/2006/relationships/hyperlink" Target="https://azizstan.net/student_image/24863.jpg" TargetMode="External"/><Relationship Id="rId130" Type="http://schemas.openxmlformats.org/officeDocument/2006/relationships/hyperlink" Target="https://azizstan.net/student_image/26275.jpg" TargetMode="External"/><Relationship Id="rId1086" Type="http://schemas.openxmlformats.org/officeDocument/2006/relationships/hyperlink" Target="https://azizstan.net/student_image/24870.jpg" TargetMode="External"/><Relationship Id="rId1087" Type="http://schemas.openxmlformats.org/officeDocument/2006/relationships/hyperlink" Target="https://azizstan.net/student_image/24873.jpg" TargetMode="External"/><Relationship Id="rId136" Type="http://schemas.openxmlformats.org/officeDocument/2006/relationships/hyperlink" Target="https://azizstan.net/student_image/26476.jpg" TargetMode="External"/><Relationship Id="rId1088" Type="http://schemas.openxmlformats.org/officeDocument/2006/relationships/hyperlink" Target="https://azizstan.net/student_image/24963.jpg" TargetMode="External"/><Relationship Id="rId135" Type="http://schemas.openxmlformats.org/officeDocument/2006/relationships/hyperlink" Target="https://azizstan.net/student_image/26365.jpg" TargetMode="External"/><Relationship Id="rId1089" Type="http://schemas.openxmlformats.org/officeDocument/2006/relationships/hyperlink" Target="https://azizstan.net/student_image/24999.jpg" TargetMode="External"/><Relationship Id="rId134" Type="http://schemas.openxmlformats.org/officeDocument/2006/relationships/hyperlink" Target="https://azizstan.net/student_image/26343.jpg" TargetMode="External"/><Relationship Id="rId133" Type="http://schemas.openxmlformats.org/officeDocument/2006/relationships/hyperlink" Target="https://azizstan.net/student_image/26330.jpg" TargetMode="External"/><Relationship Id="rId172" Type="http://schemas.openxmlformats.org/officeDocument/2006/relationships/hyperlink" Target="https://azizstan.net/student_image/26284.jpg" TargetMode="External"/><Relationship Id="rId171" Type="http://schemas.openxmlformats.org/officeDocument/2006/relationships/hyperlink" Target="https://azizstan.net/student_image/26252.jpg" TargetMode="External"/><Relationship Id="rId170" Type="http://schemas.openxmlformats.org/officeDocument/2006/relationships/hyperlink" Target="https://azizstan.net/student_image/26251.jpg" TargetMode="External"/><Relationship Id="rId165" Type="http://schemas.openxmlformats.org/officeDocument/2006/relationships/hyperlink" Target="https://azizstan.net/student_image/26180.jpg" TargetMode="External"/><Relationship Id="rId164" Type="http://schemas.openxmlformats.org/officeDocument/2006/relationships/hyperlink" Target="https://azizstan.net/student_image/26175.jpg" TargetMode="External"/><Relationship Id="rId163" Type="http://schemas.openxmlformats.org/officeDocument/2006/relationships/hyperlink" Target="https://azizstan.net/student_image/26173.jpg" TargetMode="External"/><Relationship Id="rId162" Type="http://schemas.openxmlformats.org/officeDocument/2006/relationships/hyperlink" Target="https://azizstan.net/student_image/26134.jpg" TargetMode="External"/><Relationship Id="rId169" Type="http://schemas.openxmlformats.org/officeDocument/2006/relationships/hyperlink" Target="https://azizstan.net/student_image/26237.jpg" TargetMode="External"/><Relationship Id="rId168" Type="http://schemas.openxmlformats.org/officeDocument/2006/relationships/hyperlink" Target="https://azizstan.net/student_image/26233.jpg" TargetMode="External"/><Relationship Id="rId167" Type="http://schemas.openxmlformats.org/officeDocument/2006/relationships/hyperlink" Target="https://azizstan.net/student_image/26211.jpg" TargetMode="External"/><Relationship Id="rId166" Type="http://schemas.openxmlformats.org/officeDocument/2006/relationships/hyperlink" Target="https://azizstan.net/student_image/26181.jpg" TargetMode="External"/><Relationship Id="rId161" Type="http://schemas.openxmlformats.org/officeDocument/2006/relationships/hyperlink" Target="https://azizstan.net/student_image/26098.jpg" TargetMode="External"/><Relationship Id="rId160" Type="http://schemas.openxmlformats.org/officeDocument/2006/relationships/hyperlink" Target="https://azizstan.net/student_image/26072.jpg" TargetMode="External"/><Relationship Id="rId159" Type="http://schemas.openxmlformats.org/officeDocument/2006/relationships/hyperlink" Target="https://azizstan.net/student_image/26057.jpg" TargetMode="External"/><Relationship Id="rId154" Type="http://schemas.openxmlformats.org/officeDocument/2006/relationships/hyperlink" Target="https://azizstan.net/student_image/26756.jpg" TargetMode="External"/><Relationship Id="rId153" Type="http://schemas.openxmlformats.org/officeDocument/2006/relationships/hyperlink" Target="https://azizstan.net/student_image/26733.jpg" TargetMode="External"/><Relationship Id="rId152" Type="http://schemas.openxmlformats.org/officeDocument/2006/relationships/hyperlink" Target="https://azizstan.net/student_image/26698.jpg" TargetMode="External"/><Relationship Id="rId151" Type="http://schemas.openxmlformats.org/officeDocument/2006/relationships/hyperlink" Target="https://azizstan.net/student_image/26697.jpg" TargetMode="External"/><Relationship Id="rId158" Type="http://schemas.openxmlformats.org/officeDocument/2006/relationships/hyperlink" Target="https://azizstan.net/student_image/26794.jpg" TargetMode="External"/><Relationship Id="rId157" Type="http://schemas.openxmlformats.org/officeDocument/2006/relationships/hyperlink" Target="https://azizstan.net/student_image/26770.jpg" TargetMode="External"/><Relationship Id="rId156" Type="http://schemas.openxmlformats.org/officeDocument/2006/relationships/hyperlink" Target="https://azizstan.net/student_image/26769.jpg" TargetMode="External"/><Relationship Id="rId155" Type="http://schemas.openxmlformats.org/officeDocument/2006/relationships/hyperlink" Target="https://azizstan.net/student_image/26764.jpg" TargetMode="External"/><Relationship Id="rId1972" Type="http://schemas.openxmlformats.org/officeDocument/2006/relationships/hyperlink" Target="https://azizstan.net/student_image/23397.jpg" TargetMode="External"/><Relationship Id="rId1973" Type="http://schemas.openxmlformats.org/officeDocument/2006/relationships/hyperlink" Target="https://azizstan.net/student_image/23404.jpg" TargetMode="External"/><Relationship Id="rId1974" Type="http://schemas.openxmlformats.org/officeDocument/2006/relationships/hyperlink" Target="https://azizstan.net/student_image/23411.jpg" TargetMode="External"/><Relationship Id="rId1975" Type="http://schemas.openxmlformats.org/officeDocument/2006/relationships/hyperlink" Target="https://azizstan.net/student_image/23437.jpg" TargetMode="External"/><Relationship Id="rId1976" Type="http://schemas.openxmlformats.org/officeDocument/2006/relationships/hyperlink" Target="https://azizstan.net/student_image/23475.jpg" TargetMode="External"/><Relationship Id="rId1977" Type="http://schemas.openxmlformats.org/officeDocument/2006/relationships/hyperlink" Target="https://azizstan.net/student_image/23487.jpg" TargetMode="External"/><Relationship Id="rId1978" Type="http://schemas.openxmlformats.org/officeDocument/2006/relationships/hyperlink" Target="https://azizstan.net/student_image/23508.jpg" TargetMode="External"/><Relationship Id="rId1979" Type="http://schemas.openxmlformats.org/officeDocument/2006/relationships/hyperlink" Target="https://azizstan.net/student_image/23513.jpg" TargetMode="External"/><Relationship Id="rId1970" Type="http://schemas.openxmlformats.org/officeDocument/2006/relationships/hyperlink" Target="https://azizstan.net/student_image/23372.jpg" TargetMode="External"/><Relationship Id="rId1971" Type="http://schemas.openxmlformats.org/officeDocument/2006/relationships/hyperlink" Target="https://azizstan.net/student_image/23380.jpg" TargetMode="External"/><Relationship Id="rId1961" Type="http://schemas.openxmlformats.org/officeDocument/2006/relationships/hyperlink" Target="https://azizstan.net/student_image/24756.jpg" TargetMode="External"/><Relationship Id="rId1962" Type="http://schemas.openxmlformats.org/officeDocument/2006/relationships/hyperlink" Target="https://azizstan.net/student_image/25462.jpg" TargetMode="External"/><Relationship Id="rId1963" Type="http://schemas.openxmlformats.org/officeDocument/2006/relationships/hyperlink" Target="https://azizstan.net/student_image/25722.jpg" TargetMode="External"/><Relationship Id="rId1964" Type="http://schemas.openxmlformats.org/officeDocument/2006/relationships/hyperlink" Target="https://azizstan.net/student_image/25900.jpg" TargetMode="External"/><Relationship Id="rId1965" Type="http://schemas.openxmlformats.org/officeDocument/2006/relationships/hyperlink" Target="https://azizstan.net/student_image/25937.jpg" TargetMode="External"/><Relationship Id="rId1966" Type="http://schemas.openxmlformats.org/officeDocument/2006/relationships/hyperlink" Target="https://azizstan.net/student_image/26028.jpg" TargetMode="External"/><Relationship Id="rId1967" Type="http://schemas.openxmlformats.org/officeDocument/2006/relationships/hyperlink" Target="https://azizstan.net/student_image/26373.jpg" TargetMode="External"/><Relationship Id="rId1968" Type="http://schemas.openxmlformats.org/officeDocument/2006/relationships/hyperlink" Target="https://azizstan.net/student_image/26752.jpg" TargetMode="External"/><Relationship Id="rId1969" Type="http://schemas.openxmlformats.org/officeDocument/2006/relationships/hyperlink" Target="https://azizstan.net/student_image/26799.jpg" TargetMode="External"/><Relationship Id="rId1960" Type="http://schemas.openxmlformats.org/officeDocument/2006/relationships/hyperlink" Target="https://azizstan.net/student_image/24528.jpg" TargetMode="External"/><Relationship Id="rId1510" Type="http://schemas.openxmlformats.org/officeDocument/2006/relationships/hyperlink" Target="https://azizstan.net/student_image/24004.jpg" TargetMode="External"/><Relationship Id="rId1994" Type="http://schemas.openxmlformats.org/officeDocument/2006/relationships/hyperlink" Target="https://azizstan.net/student_image/25683.jpg" TargetMode="External"/><Relationship Id="rId1511" Type="http://schemas.openxmlformats.org/officeDocument/2006/relationships/hyperlink" Target="https://azizstan.net/student_image/24020.jpg" TargetMode="External"/><Relationship Id="rId1995" Type="http://schemas.openxmlformats.org/officeDocument/2006/relationships/hyperlink" Target="https://azizstan.net/student_image/25698.jpg" TargetMode="External"/><Relationship Id="rId1512" Type="http://schemas.openxmlformats.org/officeDocument/2006/relationships/hyperlink" Target="https://azizstan.net/student_image/24036.jpg" TargetMode="External"/><Relationship Id="rId1996" Type="http://schemas.openxmlformats.org/officeDocument/2006/relationships/hyperlink" Target="https://azizstan.net/student_image/25704.jpg" TargetMode="External"/><Relationship Id="rId1513" Type="http://schemas.openxmlformats.org/officeDocument/2006/relationships/hyperlink" Target="https://azizstan.net/student_image/24042.jpg" TargetMode="External"/><Relationship Id="rId1997" Type="http://schemas.openxmlformats.org/officeDocument/2006/relationships/hyperlink" Target="https://azizstan.net/student_image/25714.jpg" TargetMode="External"/><Relationship Id="rId1514" Type="http://schemas.openxmlformats.org/officeDocument/2006/relationships/hyperlink" Target="https://azizstan.net/student_image/24064.jpg" TargetMode="External"/><Relationship Id="rId1998" Type="http://schemas.openxmlformats.org/officeDocument/2006/relationships/hyperlink" Target="https://azizstan.net/student_image/25772.jpg" TargetMode="External"/><Relationship Id="rId1515" Type="http://schemas.openxmlformats.org/officeDocument/2006/relationships/hyperlink" Target="https://azizstan.net/student_image/24068.jpg" TargetMode="External"/><Relationship Id="rId1999" Type="http://schemas.openxmlformats.org/officeDocument/2006/relationships/hyperlink" Target="https://azizstan.net/student_image/25925.jpg" TargetMode="External"/><Relationship Id="rId1516" Type="http://schemas.openxmlformats.org/officeDocument/2006/relationships/hyperlink" Target="https://azizstan.net/student_image/24076.jpg" TargetMode="External"/><Relationship Id="rId1517" Type="http://schemas.openxmlformats.org/officeDocument/2006/relationships/hyperlink" Target="https://azizstan.net/student_image/24082.jpg" TargetMode="External"/><Relationship Id="rId1518" Type="http://schemas.openxmlformats.org/officeDocument/2006/relationships/hyperlink" Target="https://azizstan.net/student_image/24093.jpg" TargetMode="External"/><Relationship Id="rId1519" Type="http://schemas.openxmlformats.org/officeDocument/2006/relationships/hyperlink" Target="https://azizstan.net/student_image/24155.jpg" TargetMode="External"/><Relationship Id="rId1990" Type="http://schemas.openxmlformats.org/officeDocument/2006/relationships/hyperlink" Target="https://azizstan.net/student_image/23986.jpg" TargetMode="External"/><Relationship Id="rId1991" Type="http://schemas.openxmlformats.org/officeDocument/2006/relationships/hyperlink" Target="https://azizstan.net/student_image/25364.jpg" TargetMode="External"/><Relationship Id="rId1992" Type="http://schemas.openxmlformats.org/officeDocument/2006/relationships/hyperlink" Target="https://azizstan.net/student_image/25536.jpg" TargetMode="External"/><Relationship Id="rId1993" Type="http://schemas.openxmlformats.org/officeDocument/2006/relationships/hyperlink" Target="https://azizstan.net/student_image/25682.jpg" TargetMode="External"/><Relationship Id="rId1983" Type="http://schemas.openxmlformats.org/officeDocument/2006/relationships/hyperlink" Target="https://azizstan.net/student_image/23606.jpg" TargetMode="External"/><Relationship Id="rId1500" Type="http://schemas.openxmlformats.org/officeDocument/2006/relationships/hyperlink" Target="https://azizstan.net/student_image/26570.jpg" TargetMode="External"/><Relationship Id="rId1984" Type="http://schemas.openxmlformats.org/officeDocument/2006/relationships/hyperlink" Target="https://azizstan.net/student_image/23656.jpg" TargetMode="External"/><Relationship Id="rId1501" Type="http://schemas.openxmlformats.org/officeDocument/2006/relationships/hyperlink" Target="https://azizstan.net/student_image/26602.jpg" TargetMode="External"/><Relationship Id="rId1985" Type="http://schemas.openxmlformats.org/officeDocument/2006/relationships/hyperlink" Target="https://azizstan.net/student_image/23671.jpg" TargetMode="External"/><Relationship Id="rId1502" Type="http://schemas.openxmlformats.org/officeDocument/2006/relationships/hyperlink" Target="https://azizstan.net/student_image/26607.jpg" TargetMode="External"/><Relationship Id="rId1986" Type="http://schemas.openxmlformats.org/officeDocument/2006/relationships/hyperlink" Target="https://azizstan.net/student_image/23734.jpg" TargetMode="External"/><Relationship Id="rId1503" Type="http://schemas.openxmlformats.org/officeDocument/2006/relationships/hyperlink" Target="https://azizstan.net/student_image/26661.jpg" TargetMode="External"/><Relationship Id="rId1987" Type="http://schemas.openxmlformats.org/officeDocument/2006/relationships/hyperlink" Target="https://azizstan.net/student_image/23771.jpg" TargetMode="External"/><Relationship Id="rId1504" Type="http://schemas.openxmlformats.org/officeDocument/2006/relationships/hyperlink" Target="https://azizstan.net/student_image/26685.jpg" TargetMode="External"/><Relationship Id="rId1988" Type="http://schemas.openxmlformats.org/officeDocument/2006/relationships/hyperlink" Target="https://azizstan.net/student_image/23948.jpg" TargetMode="External"/><Relationship Id="rId1505" Type="http://schemas.openxmlformats.org/officeDocument/2006/relationships/hyperlink" Target="https://azizstan.net/student_image/26699.jpg" TargetMode="External"/><Relationship Id="rId1989" Type="http://schemas.openxmlformats.org/officeDocument/2006/relationships/hyperlink" Target="https://azizstan.net/student_image/23974.jpg" TargetMode="External"/><Relationship Id="rId1506" Type="http://schemas.openxmlformats.org/officeDocument/2006/relationships/hyperlink" Target="https://azizstan.net/student_image/26734.jpg" TargetMode="External"/><Relationship Id="rId1507" Type="http://schemas.openxmlformats.org/officeDocument/2006/relationships/hyperlink" Target="https://azizstan.net/student_image/26773.jpg" TargetMode="External"/><Relationship Id="rId1508" Type="http://schemas.openxmlformats.org/officeDocument/2006/relationships/hyperlink" Target="https://azizstan.net/student_image/26775.jpg" TargetMode="External"/><Relationship Id="rId1509" Type="http://schemas.openxmlformats.org/officeDocument/2006/relationships/hyperlink" Target="https://azizstan.net/student_image/26776.jpg" TargetMode="External"/><Relationship Id="rId1980" Type="http://schemas.openxmlformats.org/officeDocument/2006/relationships/hyperlink" Target="https://azizstan.net/student_image/23545.jpg" TargetMode="External"/><Relationship Id="rId1981" Type="http://schemas.openxmlformats.org/officeDocument/2006/relationships/hyperlink" Target="https://azizstan.net/student_image/23580.jpg" TargetMode="External"/><Relationship Id="rId1982" Type="http://schemas.openxmlformats.org/officeDocument/2006/relationships/hyperlink" Target="https://azizstan.net/student_image/23597.jpg" TargetMode="External"/><Relationship Id="rId1930" Type="http://schemas.openxmlformats.org/officeDocument/2006/relationships/hyperlink" Target="https://azizstan.net/student_image/23644.jpg" TargetMode="External"/><Relationship Id="rId1931" Type="http://schemas.openxmlformats.org/officeDocument/2006/relationships/hyperlink" Target="https://azizstan.net/student_image/23739.jpg" TargetMode="External"/><Relationship Id="rId1932" Type="http://schemas.openxmlformats.org/officeDocument/2006/relationships/hyperlink" Target="https://azizstan.net/student_image/23762.jpg" TargetMode="External"/><Relationship Id="rId1933" Type="http://schemas.openxmlformats.org/officeDocument/2006/relationships/hyperlink" Target="https://azizstan.net/student_image/23806.jpg" TargetMode="External"/><Relationship Id="rId1934" Type="http://schemas.openxmlformats.org/officeDocument/2006/relationships/hyperlink" Target="https://azizstan.net/student_image/23858.jpg" TargetMode="External"/><Relationship Id="rId1935" Type="http://schemas.openxmlformats.org/officeDocument/2006/relationships/hyperlink" Target="https://azizstan.net/student_image/25707.jpg" TargetMode="External"/><Relationship Id="rId1936" Type="http://schemas.openxmlformats.org/officeDocument/2006/relationships/hyperlink" Target="https://azizstan.net/student_image/23368.jpg" TargetMode="External"/><Relationship Id="rId1937" Type="http://schemas.openxmlformats.org/officeDocument/2006/relationships/hyperlink" Target="https://azizstan.net/student_image/23390.jpg" TargetMode="External"/><Relationship Id="rId1938" Type="http://schemas.openxmlformats.org/officeDocument/2006/relationships/hyperlink" Target="https://azizstan.net/student_image/23400.jpg" TargetMode="External"/><Relationship Id="rId1939" Type="http://schemas.openxmlformats.org/officeDocument/2006/relationships/hyperlink" Target="https://azizstan.net/student_image/23407.jpg" TargetMode="External"/><Relationship Id="rId1920" Type="http://schemas.openxmlformats.org/officeDocument/2006/relationships/hyperlink" Target="https://azizstan.net/student_image/23432.jpg" TargetMode="External"/><Relationship Id="rId1921" Type="http://schemas.openxmlformats.org/officeDocument/2006/relationships/hyperlink" Target="https://azizstan.net/student_image/23454.jpg" TargetMode="External"/><Relationship Id="rId1922" Type="http://schemas.openxmlformats.org/officeDocument/2006/relationships/hyperlink" Target="https://azizstan.net/student_image/23488.jpg" TargetMode="External"/><Relationship Id="rId1923" Type="http://schemas.openxmlformats.org/officeDocument/2006/relationships/hyperlink" Target="https://azizstan.net/student_image/23500.jpg" TargetMode="External"/><Relationship Id="rId1924" Type="http://schemas.openxmlformats.org/officeDocument/2006/relationships/hyperlink" Target="https://azizstan.net/student_image/23501.jpg" TargetMode="External"/><Relationship Id="rId1925" Type="http://schemas.openxmlformats.org/officeDocument/2006/relationships/hyperlink" Target="https://azizstan.net/student_image/23523.jpg" TargetMode="External"/><Relationship Id="rId1926" Type="http://schemas.openxmlformats.org/officeDocument/2006/relationships/hyperlink" Target="https://azizstan.net/student_image/23536.jpg" TargetMode="External"/><Relationship Id="rId1927" Type="http://schemas.openxmlformats.org/officeDocument/2006/relationships/hyperlink" Target="https://azizstan.net/student_image/23537.jpg" TargetMode="External"/><Relationship Id="rId1928" Type="http://schemas.openxmlformats.org/officeDocument/2006/relationships/hyperlink" Target="https://azizstan.net/student_image/23630.jpg" TargetMode="External"/><Relationship Id="rId1929" Type="http://schemas.openxmlformats.org/officeDocument/2006/relationships/hyperlink" Target="https://azizstan.net/student_image/23636.jpg" TargetMode="External"/><Relationship Id="rId1950" Type="http://schemas.openxmlformats.org/officeDocument/2006/relationships/hyperlink" Target="https://azizstan.net/student_image/23554.jpg" TargetMode="External"/><Relationship Id="rId1951" Type="http://schemas.openxmlformats.org/officeDocument/2006/relationships/hyperlink" Target="https://azizstan.net/student_image/23564.jpg" TargetMode="External"/><Relationship Id="rId1952" Type="http://schemas.openxmlformats.org/officeDocument/2006/relationships/hyperlink" Target="https://azizstan.net/student_image/23601.jpg" TargetMode="External"/><Relationship Id="rId1953" Type="http://schemas.openxmlformats.org/officeDocument/2006/relationships/hyperlink" Target="https://azizstan.net/student_image/23605.jpg" TargetMode="External"/><Relationship Id="rId1954" Type="http://schemas.openxmlformats.org/officeDocument/2006/relationships/hyperlink" Target="https://azizstan.net/student_image/23611.jpg" TargetMode="External"/><Relationship Id="rId1955" Type="http://schemas.openxmlformats.org/officeDocument/2006/relationships/hyperlink" Target="https://azizstan.net/student_image/23681.jpg" TargetMode="External"/><Relationship Id="rId1956" Type="http://schemas.openxmlformats.org/officeDocument/2006/relationships/hyperlink" Target="https://azizstan.net/student_image/23707.jpg" TargetMode="External"/><Relationship Id="rId1957" Type="http://schemas.openxmlformats.org/officeDocument/2006/relationships/hyperlink" Target="https://azizstan.net/student_image/23759.jpg" TargetMode="External"/><Relationship Id="rId1958" Type="http://schemas.openxmlformats.org/officeDocument/2006/relationships/hyperlink" Target="https://azizstan.net/student_image/23867.jpg" TargetMode="External"/><Relationship Id="rId1959" Type="http://schemas.openxmlformats.org/officeDocument/2006/relationships/hyperlink" Target="https://azizstan.net/student_image/23937.jpg" TargetMode="External"/><Relationship Id="rId1940" Type="http://schemas.openxmlformats.org/officeDocument/2006/relationships/hyperlink" Target="https://azizstan.net/student_image/23434.jpg" TargetMode="External"/><Relationship Id="rId1941" Type="http://schemas.openxmlformats.org/officeDocument/2006/relationships/hyperlink" Target="https://azizstan.net/student_image/23439.jpg" TargetMode="External"/><Relationship Id="rId1942" Type="http://schemas.openxmlformats.org/officeDocument/2006/relationships/hyperlink" Target="https://azizstan.net/student_image/23446.jpg" TargetMode="External"/><Relationship Id="rId1943" Type="http://schemas.openxmlformats.org/officeDocument/2006/relationships/hyperlink" Target="https://azizstan.net/student_image/23448.jpg" TargetMode="External"/><Relationship Id="rId1944" Type="http://schemas.openxmlformats.org/officeDocument/2006/relationships/hyperlink" Target="https://azizstan.net/student_image/23455.jpg" TargetMode="External"/><Relationship Id="rId1945" Type="http://schemas.openxmlformats.org/officeDocument/2006/relationships/hyperlink" Target="https://azizstan.net/student_image/23478.jpg" TargetMode="External"/><Relationship Id="rId1946" Type="http://schemas.openxmlformats.org/officeDocument/2006/relationships/hyperlink" Target="https://azizstan.net/student_image/23505.jpg" TargetMode="External"/><Relationship Id="rId1947" Type="http://schemas.openxmlformats.org/officeDocument/2006/relationships/hyperlink" Target="https://azizstan.net/student_image/23506.jpg" TargetMode="External"/><Relationship Id="rId1948" Type="http://schemas.openxmlformats.org/officeDocument/2006/relationships/hyperlink" Target="https://azizstan.net/student_image/23524.jpg" TargetMode="External"/><Relationship Id="rId1949" Type="http://schemas.openxmlformats.org/officeDocument/2006/relationships/hyperlink" Target="https://azizstan.net/student_image/23549.jpg" TargetMode="External"/><Relationship Id="rId1576" Type="http://schemas.openxmlformats.org/officeDocument/2006/relationships/hyperlink" Target="https://azizstan.net/student_image/26766.jpg" TargetMode="External"/><Relationship Id="rId2423" Type="http://schemas.openxmlformats.org/officeDocument/2006/relationships/hyperlink" Target="https://azizstan.net/student_image/23165.jpg" TargetMode="External"/><Relationship Id="rId1577" Type="http://schemas.openxmlformats.org/officeDocument/2006/relationships/hyperlink" Target="https://azizstan.net/student_image/26817.jpg" TargetMode="External"/><Relationship Id="rId2424" Type="http://schemas.openxmlformats.org/officeDocument/2006/relationships/hyperlink" Target="https://azizstan.net/student_image/23188.jpg" TargetMode="External"/><Relationship Id="rId1578" Type="http://schemas.openxmlformats.org/officeDocument/2006/relationships/hyperlink" Target="https://azizstan.net/student_image/24008.jpg" TargetMode="External"/><Relationship Id="rId2425" Type="http://schemas.openxmlformats.org/officeDocument/2006/relationships/hyperlink" Target="https://azizstan.net/student_image/23258.jpg" TargetMode="External"/><Relationship Id="rId1579" Type="http://schemas.openxmlformats.org/officeDocument/2006/relationships/hyperlink" Target="https://azizstan.net/student_image/24018.jpg" TargetMode="External"/><Relationship Id="rId2426" Type="http://schemas.openxmlformats.org/officeDocument/2006/relationships/hyperlink" Target="https://azizstan.net/student_image/24690.jpg" TargetMode="External"/><Relationship Id="rId2427" Type="http://schemas.openxmlformats.org/officeDocument/2006/relationships/hyperlink" Target="https://azizstan.net/student_image/24795.jpg" TargetMode="External"/><Relationship Id="rId2428" Type="http://schemas.openxmlformats.org/officeDocument/2006/relationships/hyperlink" Target="https://azizstan.net/student_image/24967.jpg" TargetMode="External"/><Relationship Id="rId2429" Type="http://schemas.openxmlformats.org/officeDocument/2006/relationships/hyperlink" Target="https://azizstan.net/student_image/24986.jpg" TargetMode="External"/><Relationship Id="rId509" Type="http://schemas.openxmlformats.org/officeDocument/2006/relationships/hyperlink" Target="https://azizstan.net/student_image/26406.jpg" TargetMode="External"/><Relationship Id="rId508" Type="http://schemas.openxmlformats.org/officeDocument/2006/relationships/hyperlink" Target="https://azizstan.net/student_image/26398.jpg" TargetMode="External"/><Relationship Id="rId503" Type="http://schemas.openxmlformats.org/officeDocument/2006/relationships/hyperlink" Target="https://azizstan.net/student_image/26256.jpg" TargetMode="External"/><Relationship Id="rId987" Type="http://schemas.openxmlformats.org/officeDocument/2006/relationships/hyperlink" Target="https://azizstan.net/student_image/25114.jpg" TargetMode="External"/><Relationship Id="rId502" Type="http://schemas.openxmlformats.org/officeDocument/2006/relationships/hyperlink" Target="https://azizstan.net/student_image/26210.jpg" TargetMode="External"/><Relationship Id="rId986" Type="http://schemas.openxmlformats.org/officeDocument/2006/relationships/hyperlink" Target="https://azizstan.net/student_image/25101.jpg" TargetMode="External"/><Relationship Id="rId501" Type="http://schemas.openxmlformats.org/officeDocument/2006/relationships/hyperlink" Target="https://azizstan.net/student_image/26122.jpg" TargetMode="External"/><Relationship Id="rId985" Type="http://schemas.openxmlformats.org/officeDocument/2006/relationships/hyperlink" Target="https://azizstan.net/student_image/25094.jpg" TargetMode="External"/><Relationship Id="rId500" Type="http://schemas.openxmlformats.org/officeDocument/2006/relationships/hyperlink" Target="https://azizstan.net/student_image/26112.jpg" TargetMode="External"/><Relationship Id="rId984" Type="http://schemas.openxmlformats.org/officeDocument/2006/relationships/hyperlink" Target="https://azizstan.net/student_image/25063.jpg" TargetMode="External"/><Relationship Id="rId507" Type="http://schemas.openxmlformats.org/officeDocument/2006/relationships/hyperlink" Target="https://azizstan.net/student_image/26389.jpg" TargetMode="External"/><Relationship Id="rId506" Type="http://schemas.openxmlformats.org/officeDocument/2006/relationships/hyperlink" Target="https://azizstan.net/student_image/26374.jpg" TargetMode="External"/><Relationship Id="rId505" Type="http://schemas.openxmlformats.org/officeDocument/2006/relationships/hyperlink" Target="https://azizstan.net/student_image/26282.jpg" TargetMode="External"/><Relationship Id="rId989" Type="http://schemas.openxmlformats.org/officeDocument/2006/relationships/hyperlink" Target="https://azizstan.net/student_image/25141.jpg" TargetMode="External"/><Relationship Id="rId504" Type="http://schemas.openxmlformats.org/officeDocument/2006/relationships/hyperlink" Target="https://azizstan.net/student_image/26280.jpg" TargetMode="External"/><Relationship Id="rId988" Type="http://schemas.openxmlformats.org/officeDocument/2006/relationships/hyperlink" Target="https://azizstan.net/student_image/25130.jpg" TargetMode="External"/><Relationship Id="rId1570" Type="http://schemas.openxmlformats.org/officeDocument/2006/relationships/hyperlink" Target="https://azizstan.net/student_image/24549.jpg" TargetMode="External"/><Relationship Id="rId1571" Type="http://schemas.openxmlformats.org/officeDocument/2006/relationships/hyperlink" Target="https://azizstan.net/student_image/25222.jpg" TargetMode="External"/><Relationship Id="rId983" Type="http://schemas.openxmlformats.org/officeDocument/2006/relationships/hyperlink" Target="https://azizstan.net/student_image/25049.jpg" TargetMode="External"/><Relationship Id="rId1572" Type="http://schemas.openxmlformats.org/officeDocument/2006/relationships/hyperlink" Target="https://azizstan.net/student_image/26062.jpg" TargetMode="External"/><Relationship Id="rId982" Type="http://schemas.openxmlformats.org/officeDocument/2006/relationships/hyperlink" Target="https://azizstan.net/student_image/25017.jpg" TargetMode="External"/><Relationship Id="rId1573" Type="http://schemas.openxmlformats.org/officeDocument/2006/relationships/hyperlink" Target="https://azizstan.net/student_image/26171.jpg" TargetMode="External"/><Relationship Id="rId2420" Type="http://schemas.openxmlformats.org/officeDocument/2006/relationships/hyperlink" Target="https://azizstan.net/student_image/23023.jpg" TargetMode="External"/><Relationship Id="rId981" Type="http://schemas.openxmlformats.org/officeDocument/2006/relationships/hyperlink" Target="https://azizstan.net/student_image/24984.jpg" TargetMode="External"/><Relationship Id="rId1574" Type="http://schemas.openxmlformats.org/officeDocument/2006/relationships/hyperlink" Target="https://azizstan.net/student_image/26219.jpg" TargetMode="External"/><Relationship Id="rId2421" Type="http://schemas.openxmlformats.org/officeDocument/2006/relationships/hyperlink" Target="https://azizstan.net/student_image/23075.jpg" TargetMode="External"/><Relationship Id="rId980" Type="http://schemas.openxmlformats.org/officeDocument/2006/relationships/hyperlink" Target="https://azizstan.net/student_image/24977.jpg" TargetMode="External"/><Relationship Id="rId1575" Type="http://schemas.openxmlformats.org/officeDocument/2006/relationships/hyperlink" Target="https://azizstan.net/student_image/26456.jpg" TargetMode="External"/><Relationship Id="rId2422" Type="http://schemas.openxmlformats.org/officeDocument/2006/relationships/hyperlink" Target="https://azizstan.net/student_image/23122.jpg" TargetMode="External"/><Relationship Id="rId1565" Type="http://schemas.openxmlformats.org/officeDocument/2006/relationships/hyperlink" Target="https://azizstan.net/student_image/24366.jpg" TargetMode="External"/><Relationship Id="rId2412" Type="http://schemas.openxmlformats.org/officeDocument/2006/relationships/hyperlink" Target="https://azizstan.net/student_image/22820.jpg" TargetMode="External"/><Relationship Id="rId1566" Type="http://schemas.openxmlformats.org/officeDocument/2006/relationships/hyperlink" Target="https://azizstan.net/student_image/24451.jpg" TargetMode="External"/><Relationship Id="rId2413" Type="http://schemas.openxmlformats.org/officeDocument/2006/relationships/hyperlink" Target="https://azizstan.net/student_image/22829.jpg" TargetMode="External"/><Relationship Id="rId1567" Type="http://schemas.openxmlformats.org/officeDocument/2006/relationships/hyperlink" Target="https://azizstan.net/student_image/24466.jpg" TargetMode="External"/><Relationship Id="rId2414" Type="http://schemas.openxmlformats.org/officeDocument/2006/relationships/hyperlink" Target="https://azizstan.net/student_image/22842.jpg" TargetMode="External"/><Relationship Id="rId1568" Type="http://schemas.openxmlformats.org/officeDocument/2006/relationships/hyperlink" Target="https://azizstan.net/student_image/24518.jpg" TargetMode="External"/><Relationship Id="rId2415" Type="http://schemas.openxmlformats.org/officeDocument/2006/relationships/hyperlink" Target="https://azizstan.net/student_image/22850.jpg" TargetMode="External"/><Relationship Id="rId1569" Type="http://schemas.openxmlformats.org/officeDocument/2006/relationships/hyperlink" Target="https://azizstan.net/student_image/24539.jpg" TargetMode="External"/><Relationship Id="rId2416" Type="http://schemas.openxmlformats.org/officeDocument/2006/relationships/hyperlink" Target="https://azizstan.net/student_image/22920.jpg" TargetMode="External"/><Relationship Id="rId2417" Type="http://schemas.openxmlformats.org/officeDocument/2006/relationships/hyperlink" Target="https://azizstan.net/student_image/22931.jpg" TargetMode="External"/><Relationship Id="rId2418" Type="http://schemas.openxmlformats.org/officeDocument/2006/relationships/hyperlink" Target="https://azizstan.net/student_image/22983.jpg" TargetMode="External"/><Relationship Id="rId2419" Type="http://schemas.openxmlformats.org/officeDocument/2006/relationships/hyperlink" Target="https://azizstan.net/student_image/22993.jpg" TargetMode="External"/><Relationship Id="rId976" Type="http://schemas.openxmlformats.org/officeDocument/2006/relationships/hyperlink" Target="https://azizstan.net/student_image/24902.jpg" TargetMode="External"/><Relationship Id="rId975" Type="http://schemas.openxmlformats.org/officeDocument/2006/relationships/hyperlink" Target="https://azizstan.net/student_image/24881.jpg" TargetMode="External"/><Relationship Id="rId974" Type="http://schemas.openxmlformats.org/officeDocument/2006/relationships/hyperlink" Target="https://azizstan.net/student_image/24864.jpg" TargetMode="External"/><Relationship Id="rId973" Type="http://schemas.openxmlformats.org/officeDocument/2006/relationships/hyperlink" Target="https://azizstan.net/student_image/24819.jpg" TargetMode="External"/><Relationship Id="rId979" Type="http://schemas.openxmlformats.org/officeDocument/2006/relationships/hyperlink" Target="https://azizstan.net/student_image/24939.jpg" TargetMode="External"/><Relationship Id="rId978" Type="http://schemas.openxmlformats.org/officeDocument/2006/relationships/hyperlink" Target="https://azizstan.net/student_image/24925.jpg" TargetMode="External"/><Relationship Id="rId977" Type="http://schemas.openxmlformats.org/officeDocument/2006/relationships/hyperlink" Target="https://azizstan.net/student_image/24920.jpg" TargetMode="External"/><Relationship Id="rId1560" Type="http://schemas.openxmlformats.org/officeDocument/2006/relationships/hyperlink" Target="https://azizstan.net/student_image/24282.jpg" TargetMode="External"/><Relationship Id="rId972" Type="http://schemas.openxmlformats.org/officeDocument/2006/relationships/hyperlink" Target="https://azizstan.net/student_image/24817.jpg" TargetMode="External"/><Relationship Id="rId1561" Type="http://schemas.openxmlformats.org/officeDocument/2006/relationships/hyperlink" Target="https://azizstan.net/student_image/24300.jpg" TargetMode="External"/><Relationship Id="rId971" Type="http://schemas.openxmlformats.org/officeDocument/2006/relationships/hyperlink" Target="https://azizstan.net/student_image/24800.jpg" TargetMode="External"/><Relationship Id="rId1562" Type="http://schemas.openxmlformats.org/officeDocument/2006/relationships/hyperlink" Target="https://azizstan.net/student_image/24301.jpg" TargetMode="External"/><Relationship Id="rId970" Type="http://schemas.openxmlformats.org/officeDocument/2006/relationships/hyperlink" Target="https://azizstan.net/student_image/24767.jpg" TargetMode="External"/><Relationship Id="rId1563" Type="http://schemas.openxmlformats.org/officeDocument/2006/relationships/hyperlink" Target="https://azizstan.net/student_image/24307.jpg" TargetMode="External"/><Relationship Id="rId2410" Type="http://schemas.openxmlformats.org/officeDocument/2006/relationships/hyperlink" Target="https://azizstan.net/student_image/22762.jpg" TargetMode="External"/><Relationship Id="rId1564" Type="http://schemas.openxmlformats.org/officeDocument/2006/relationships/hyperlink" Target="https://azizstan.net/student_image/24355.jpg" TargetMode="External"/><Relationship Id="rId2411" Type="http://schemas.openxmlformats.org/officeDocument/2006/relationships/hyperlink" Target="https://azizstan.net/student_image/22788.jpg" TargetMode="External"/><Relationship Id="rId1114" Type="http://schemas.openxmlformats.org/officeDocument/2006/relationships/hyperlink" Target="https://azizstan.net/student_image/25606.jpg" TargetMode="External"/><Relationship Id="rId1598" Type="http://schemas.openxmlformats.org/officeDocument/2006/relationships/hyperlink" Target="https://azizstan.net/student_image/24453.jpg" TargetMode="External"/><Relationship Id="rId2445" Type="http://schemas.openxmlformats.org/officeDocument/2006/relationships/hyperlink" Target="https://azizstan.net/student_image/22911.jpg" TargetMode="External"/><Relationship Id="rId1115" Type="http://schemas.openxmlformats.org/officeDocument/2006/relationships/hyperlink" Target="https://azizstan.net/student_image/24587.jpg" TargetMode="External"/><Relationship Id="rId1599" Type="http://schemas.openxmlformats.org/officeDocument/2006/relationships/hyperlink" Target="https://azizstan.net/student_image/24577.jpg" TargetMode="External"/><Relationship Id="rId2446" Type="http://schemas.openxmlformats.org/officeDocument/2006/relationships/hyperlink" Target="https://azizstan.net/student_image/22955.jpg" TargetMode="External"/><Relationship Id="rId1116" Type="http://schemas.openxmlformats.org/officeDocument/2006/relationships/hyperlink" Target="https://azizstan.net/student_image/24598.jpg" TargetMode="External"/><Relationship Id="rId2447" Type="http://schemas.openxmlformats.org/officeDocument/2006/relationships/hyperlink" Target="https://azizstan.net/student_image/23078.jpg" TargetMode="External"/><Relationship Id="rId1117" Type="http://schemas.openxmlformats.org/officeDocument/2006/relationships/hyperlink" Target="https://azizstan.net/student_image/24643.jpg" TargetMode="External"/><Relationship Id="rId2448" Type="http://schemas.openxmlformats.org/officeDocument/2006/relationships/hyperlink" Target="https://azizstan.net/student_image/23117.jpg" TargetMode="External"/><Relationship Id="rId1118" Type="http://schemas.openxmlformats.org/officeDocument/2006/relationships/hyperlink" Target="https://azizstan.net/student_image/24679.jpg" TargetMode="External"/><Relationship Id="rId2449" Type="http://schemas.openxmlformats.org/officeDocument/2006/relationships/hyperlink" Target="https://azizstan.net/student_image/23161.jpg" TargetMode="External"/><Relationship Id="rId1119" Type="http://schemas.openxmlformats.org/officeDocument/2006/relationships/hyperlink" Target="https://azizstan.net/student_image/24712.jpg" TargetMode="External"/><Relationship Id="rId525" Type="http://schemas.openxmlformats.org/officeDocument/2006/relationships/hyperlink" Target="https://azizstan.net/student_image/26688.jpg" TargetMode="External"/><Relationship Id="rId524" Type="http://schemas.openxmlformats.org/officeDocument/2006/relationships/hyperlink" Target="https://azizstan.net/student_image/26655.jpg" TargetMode="External"/><Relationship Id="rId523" Type="http://schemas.openxmlformats.org/officeDocument/2006/relationships/hyperlink" Target="https://azizstan.net/student_image/26628.jpg" TargetMode="External"/><Relationship Id="rId522" Type="http://schemas.openxmlformats.org/officeDocument/2006/relationships/hyperlink" Target="https://azizstan.net/student_image/26619.jpg" TargetMode="External"/><Relationship Id="rId529" Type="http://schemas.openxmlformats.org/officeDocument/2006/relationships/hyperlink" Target="https://azizstan.net/student_image/25160.jpg" TargetMode="External"/><Relationship Id="rId528" Type="http://schemas.openxmlformats.org/officeDocument/2006/relationships/hyperlink" Target="https://azizstan.net/student_image/26743.jpg" TargetMode="External"/><Relationship Id="rId527" Type="http://schemas.openxmlformats.org/officeDocument/2006/relationships/hyperlink" Target="https://azizstan.net/student_image/26723.jpg" TargetMode="External"/><Relationship Id="rId526" Type="http://schemas.openxmlformats.org/officeDocument/2006/relationships/hyperlink" Target="https://azizstan.net/student_image/26715.jpg" TargetMode="External"/><Relationship Id="rId1590" Type="http://schemas.openxmlformats.org/officeDocument/2006/relationships/hyperlink" Target="https://azizstan.net/student_image/24196.jpg" TargetMode="External"/><Relationship Id="rId1591" Type="http://schemas.openxmlformats.org/officeDocument/2006/relationships/hyperlink" Target="https://azizstan.net/student_image/24235.jpg" TargetMode="External"/><Relationship Id="rId1592" Type="http://schemas.openxmlformats.org/officeDocument/2006/relationships/hyperlink" Target="https://azizstan.net/student_image/24249.jpg" TargetMode="External"/><Relationship Id="rId1593" Type="http://schemas.openxmlformats.org/officeDocument/2006/relationships/hyperlink" Target="https://azizstan.net/student_image/24250.jpg" TargetMode="External"/><Relationship Id="rId2440" Type="http://schemas.openxmlformats.org/officeDocument/2006/relationships/hyperlink" Target="https://azizstan.net/student_image/22783.jpg" TargetMode="External"/><Relationship Id="rId521" Type="http://schemas.openxmlformats.org/officeDocument/2006/relationships/hyperlink" Target="https://azizstan.net/student_image/26614.jpg" TargetMode="External"/><Relationship Id="rId1110" Type="http://schemas.openxmlformats.org/officeDocument/2006/relationships/hyperlink" Target="https://azizstan.net/student_image/25294.jpg" TargetMode="External"/><Relationship Id="rId1594" Type="http://schemas.openxmlformats.org/officeDocument/2006/relationships/hyperlink" Target="https://azizstan.net/student_image/24261.jpg" TargetMode="External"/><Relationship Id="rId2441" Type="http://schemas.openxmlformats.org/officeDocument/2006/relationships/hyperlink" Target="https://azizstan.net/student_image/22833.jpg" TargetMode="External"/><Relationship Id="rId520" Type="http://schemas.openxmlformats.org/officeDocument/2006/relationships/hyperlink" Target="https://azizstan.net/student_image/26609.jpg" TargetMode="External"/><Relationship Id="rId1111" Type="http://schemas.openxmlformats.org/officeDocument/2006/relationships/hyperlink" Target="https://azizstan.net/student_image/25344.jpg" TargetMode="External"/><Relationship Id="rId1595" Type="http://schemas.openxmlformats.org/officeDocument/2006/relationships/hyperlink" Target="https://azizstan.net/student_image/24353.jpg" TargetMode="External"/><Relationship Id="rId2442" Type="http://schemas.openxmlformats.org/officeDocument/2006/relationships/hyperlink" Target="https://azizstan.net/student_image/22851.jpg" TargetMode="External"/><Relationship Id="rId1112" Type="http://schemas.openxmlformats.org/officeDocument/2006/relationships/hyperlink" Target="https://azizstan.net/student_image/25369.jpg" TargetMode="External"/><Relationship Id="rId1596" Type="http://schemas.openxmlformats.org/officeDocument/2006/relationships/hyperlink" Target="https://azizstan.net/student_image/24425.jpg" TargetMode="External"/><Relationship Id="rId2443" Type="http://schemas.openxmlformats.org/officeDocument/2006/relationships/hyperlink" Target="https://azizstan.net/student_image/22887.jpg" TargetMode="External"/><Relationship Id="rId1113" Type="http://schemas.openxmlformats.org/officeDocument/2006/relationships/hyperlink" Target="https://azizstan.net/student_image/25540.jpg" TargetMode="External"/><Relationship Id="rId1597" Type="http://schemas.openxmlformats.org/officeDocument/2006/relationships/hyperlink" Target="https://azizstan.net/student_image/24443.jpg" TargetMode="External"/><Relationship Id="rId2444" Type="http://schemas.openxmlformats.org/officeDocument/2006/relationships/hyperlink" Target="https://azizstan.net/student_image/22900.jpg" TargetMode="External"/><Relationship Id="rId1103" Type="http://schemas.openxmlformats.org/officeDocument/2006/relationships/hyperlink" Target="https://azizstan.net/student_image/25191.jpg" TargetMode="External"/><Relationship Id="rId1587" Type="http://schemas.openxmlformats.org/officeDocument/2006/relationships/hyperlink" Target="https://azizstan.net/student_image/24167.jpg" TargetMode="External"/><Relationship Id="rId2434" Type="http://schemas.openxmlformats.org/officeDocument/2006/relationships/hyperlink" Target="https://azizstan.net/student_image/25274.jpg" TargetMode="External"/><Relationship Id="rId1104" Type="http://schemas.openxmlformats.org/officeDocument/2006/relationships/hyperlink" Target="https://azizstan.net/student_image/25194.jpg" TargetMode="External"/><Relationship Id="rId1588" Type="http://schemas.openxmlformats.org/officeDocument/2006/relationships/hyperlink" Target="https://azizstan.net/student_image/24176.jpg" TargetMode="External"/><Relationship Id="rId2435" Type="http://schemas.openxmlformats.org/officeDocument/2006/relationships/hyperlink" Target="https://azizstan.net/student_image/25292.jpg" TargetMode="External"/><Relationship Id="rId1105" Type="http://schemas.openxmlformats.org/officeDocument/2006/relationships/hyperlink" Target="https://azizstan.net/student_image/25223.jpg" TargetMode="External"/><Relationship Id="rId1589" Type="http://schemas.openxmlformats.org/officeDocument/2006/relationships/hyperlink" Target="https://azizstan.net/student_image/24181.jpg" TargetMode="External"/><Relationship Id="rId2436" Type="http://schemas.openxmlformats.org/officeDocument/2006/relationships/hyperlink" Target="https://azizstan.net/student_image/26800.jpg" TargetMode="External"/><Relationship Id="rId1106" Type="http://schemas.openxmlformats.org/officeDocument/2006/relationships/hyperlink" Target="https://azizstan.net/student_image/25226.jpg" TargetMode="External"/><Relationship Id="rId2437" Type="http://schemas.openxmlformats.org/officeDocument/2006/relationships/hyperlink" Target="https://azizstan.net/student_image/22651.jpg" TargetMode="External"/><Relationship Id="rId1107" Type="http://schemas.openxmlformats.org/officeDocument/2006/relationships/hyperlink" Target="https://azizstan.net/student_image/25234.jpg" TargetMode="External"/><Relationship Id="rId2438" Type="http://schemas.openxmlformats.org/officeDocument/2006/relationships/hyperlink" Target="https://azizstan.net/student_image/22659.jpg" TargetMode="External"/><Relationship Id="rId1108" Type="http://schemas.openxmlformats.org/officeDocument/2006/relationships/hyperlink" Target="https://azizstan.net/student_image/25239.jpg" TargetMode="External"/><Relationship Id="rId2439" Type="http://schemas.openxmlformats.org/officeDocument/2006/relationships/hyperlink" Target="https://azizstan.net/student_image/22678.jpg" TargetMode="External"/><Relationship Id="rId1109" Type="http://schemas.openxmlformats.org/officeDocument/2006/relationships/hyperlink" Target="https://azizstan.net/student_image/25278.jpg" TargetMode="External"/><Relationship Id="rId519" Type="http://schemas.openxmlformats.org/officeDocument/2006/relationships/hyperlink" Target="https://azizstan.net/student_image/26608.jpg" TargetMode="External"/><Relationship Id="rId514" Type="http://schemas.openxmlformats.org/officeDocument/2006/relationships/hyperlink" Target="https://azizstan.net/student_image/26501.jpg" TargetMode="External"/><Relationship Id="rId998" Type="http://schemas.openxmlformats.org/officeDocument/2006/relationships/hyperlink" Target="https://azizstan.net/student_image/25314.jpg" TargetMode="External"/><Relationship Id="rId513" Type="http://schemas.openxmlformats.org/officeDocument/2006/relationships/hyperlink" Target="https://azizstan.net/student_image/26485.jpg" TargetMode="External"/><Relationship Id="rId997" Type="http://schemas.openxmlformats.org/officeDocument/2006/relationships/hyperlink" Target="https://azizstan.net/student_image/25313.jpg" TargetMode="External"/><Relationship Id="rId512" Type="http://schemas.openxmlformats.org/officeDocument/2006/relationships/hyperlink" Target="https://azizstan.net/student_image/26483.jpg" TargetMode="External"/><Relationship Id="rId996" Type="http://schemas.openxmlformats.org/officeDocument/2006/relationships/hyperlink" Target="https://azizstan.net/student_image/25310.jpg" TargetMode="External"/><Relationship Id="rId511" Type="http://schemas.openxmlformats.org/officeDocument/2006/relationships/hyperlink" Target="https://azizstan.net/student_image/26465.jpg" TargetMode="External"/><Relationship Id="rId995" Type="http://schemas.openxmlformats.org/officeDocument/2006/relationships/hyperlink" Target="https://azizstan.net/student_image/25258.jpg" TargetMode="External"/><Relationship Id="rId518" Type="http://schemas.openxmlformats.org/officeDocument/2006/relationships/hyperlink" Target="https://azizstan.net/student_image/26605.jpg" TargetMode="External"/><Relationship Id="rId517" Type="http://schemas.openxmlformats.org/officeDocument/2006/relationships/hyperlink" Target="https://azizstan.net/student_image/26580.jpg" TargetMode="External"/><Relationship Id="rId516" Type="http://schemas.openxmlformats.org/officeDocument/2006/relationships/hyperlink" Target="https://azizstan.net/student_image/26568.jpg" TargetMode="External"/><Relationship Id="rId515" Type="http://schemas.openxmlformats.org/officeDocument/2006/relationships/hyperlink" Target="https://azizstan.net/student_image/26514.jpg" TargetMode="External"/><Relationship Id="rId999" Type="http://schemas.openxmlformats.org/officeDocument/2006/relationships/hyperlink" Target="https://azizstan.net/student_image/25329.jpg" TargetMode="External"/><Relationship Id="rId990" Type="http://schemas.openxmlformats.org/officeDocument/2006/relationships/hyperlink" Target="https://azizstan.net/student_image/25177.jpg" TargetMode="External"/><Relationship Id="rId1580" Type="http://schemas.openxmlformats.org/officeDocument/2006/relationships/hyperlink" Target="https://azizstan.net/student_image/24039.jpg" TargetMode="External"/><Relationship Id="rId1581" Type="http://schemas.openxmlformats.org/officeDocument/2006/relationships/hyperlink" Target="https://azizstan.net/student_image/24060.jpg" TargetMode="External"/><Relationship Id="rId1582" Type="http://schemas.openxmlformats.org/officeDocument/2006/relationships/hyperlink" Target="https://azizstan.net/student_image/24074.jpg" TargetMode="External"/><Relationship Id="rId510" Type="http://schemas.openxmlformats.org/officeDocument/2006/relationships/hyperlink" Target="https://azizstan.net/student_image/26411.jpg" TargetMode="External"/><Relationship Id="rId994" Type="http://schemas.openxmlformats.org/officeDocument/2006/relationships/hyperlink" Target="https://azizstan.net/student_image/25244.jpg" TargetMode="External"/><Relationship Id="rId1583" Type="http://schemas.openxmlformats.org/officeDocument/2006/relationships/hyperlink" Target="https://azizstan.net/student_image/24127.jpg" TargetMode="External"/><Relationship Id="rId2430" Type="http://schemas.openxmlformats.org/officeDocument/2006/relationships/hyperlink" Target="https://azizstan.net/student_image/25009.jpg" TargetMode="External"/><Relationship Id="rId993" Type="http://schemas.openxmlformats.org/officeDocument/2006/relationships/hyperlink" Target="https://azizstan.net/student_image/25210.jpg" TargetMode="External"/><Relationship Id="rId1100" Type="http://schemas.openxmlformats.org/officeDocument/2006/relationships/hyperlink" Target="https://azizstan.net/student_image/25134.jpg" TargetMode="External"/><Relationship Id="rId1584" Type="http://schemas.openxmlformats.org/officeDocument/2006/relationships/hyperlink" Target="https://azizstan.net/student_image/24144.jpg" TargetMode="External"/><Relationship Id="rId2431" Type="http://schemas.openxmlformats.org/officeDocument/2006/relationships/hyperlink" Target="https://azizstan.net/student_image/25010.jpg" TargetMode="External"/><Relationship Id="rId992" Type="http://schemas.openxmlformats.org/officeDocument/2006/relationships/hyperlink" Target="https://azizstan.net/student_image/25190.jpg" TargetMode="External"/><Relationship Id="rId1101" Type="http://schemas.openxmlformats.org/officeDocument/2006/relationships/hyperlink" Target="https://azizstan.net/student_image/25152.jpg" TargetMode="External"/><Relationship Id="rId1585" Type="http://schemas.openxmlformats.org/officeDocument/2006/relationships/hyperlink" Target="https://azizstan.net/student_image/24156.jpg" TargetMode="External"/><Relationship Id="rId2432" Type="http://schemas.openxmlformats.org/officeDocument/2006/relationships/hyperlink" Target="https://azizstan.net/student_image/25108.jpg" TargetMode="External"/><Relationship Id="rId991" Type="http://schemas.openxmlformats.org/officeDocument/2006/relationships/hyperlink" Target="https://azizstan.net/student_image/25182.jpg" TargetMode="External"/><Relationship Id="rId1102" Type="http://schemas.openxmlformats.org/officeDocument/2006/relationships/hyperlink" Target="https://azizstan.net/student_image/25176.jpg" TargetMode="External"/><Relationship Id="rId1586" Type="http://schemas.openxmlformats.org/officeDocument/2006/relationships/hyperlink" Target="https://azizstan.net/student_image/24159.jpg" TargetMode="External"/><Relationship Id="rId2433" Type="http://schemas.openxmlformats.org/officeDocument/2006/relationships/hyperlink" Target="https://azizstan.net/student_image/25183.jpg" TargetMode="External"/><Relationship Id="rId1532" Type="http://schemas.openxmlformats.org/officeDocument/2006/relationships/hyperlink" Target="https://azizstan.net/student_image/24256.jpg" TargetMode="External"/><Relationship Id="rId1533" Type="http://schemas.openxmlformats.org/officeDocument/2006/relationships/hyperlink" Target="https://azizstan.net/student_image/24257.jpg" TargetMode="External"/><Relationship Id="rId1534" Type="http://schemas.openxmlformats.org/officeDocument/2006/relationships/hyperlink" Target="https://azizstan.net/student_image/24376.jpg" TargetMode="External"/><Relationship Id="rId1535" Type="http://schemas.openxmlformats.org/officeDocument/2006/relationships/hyperlink" Target="https://azizstan.net/student_image/24393.jpg" TargetMode="External"/><Relationship Id="rId1536" Type="http://schemas.openxmlformats.org/officeDocument/2006/relationships/hyperlink" Target="https://azizstan.net/student_image/24399.jpg" TargetMode="External"/><Relationship Id="rId1537" Type="http://schemas.openxmlformats.org/officeDocument/2006/relationships/hyperlink" Target="https://azizstan.net/student_image/24424.jpg" TargetMode="External"/><Relationship Id="rId1538" Type="http://schemas.openxmlformats.org/officeDocument/2006/relationships/hyperlink" Target="https://azizstan.net/student_image/26203.jpg" TargetMode="External"/><Relationship Id="rId1539" Type="http://schemas.openxmlformats.org/officeDocument/2006/relationships/hyperlink" Target="https://azizstan.net/student_image/26484.jpg" TargetMode="External"/><Relationship Id="rId949" Type="http://schemas.openxmlformats.org/officeDocument/2006/relationships/hyperlink" Target="https://azizstan.net/student_image/25592.jpg" TargetMode="External"/><Relationship Id="rId948" Type="http://schemas.openxmlformats.org/officeDocument/2006/relationships/hyperlink" Target="https://azizstan.net/student_image/25577.jpg" TargetMode="External"/><Relationship Id="rId943" Type="http://schemas.openxmlformats.org/officeDocument/2006/relationships/hyperlink" Target="https://azizstan.net/student_image/25538.jpg" TargetMode="External"/><Relationship Id="rId942" Type="http://schemas.openxmlformats.org/officeDocument/2006/relationships/hyperlink" Target="https://azizstan.net/student_image/25537.jpg" TargetMode="External"/><Relationship Id="rId941" Type="http://schemas.openxmlformats.org/officeDocument/2006/relationships/hyperlink" Target="https://azizstan.net/student_image/25519.jpg" TargetMode="External"/><Relationship Id="rId940" Type="http://schemas.openxmlformats.org/officeDocument/2006/relationships/hyperlink" Target="https://azizstan.net/student_image/25518.jpg" TargetMode="External"/><Relationship Id="rId947" Type="http://schemas.openxmlformats.org/officeDocument/2006/relationships/hyperlink" Target="https://azizstan.net/student_image/25568.jpg" TargetMode="External"/><Relationship Id="rId946" Type="http://schemas.openxmlformats.org/officeDocument/2006/relationships/hyperlink" Target="https://azizstan.net/student_image/25561.jpg" TargetMode="External"/><Relationship Id="rId945" Type="http://schemas.openxmlformats.org/officeDocument/2006/relationships/hyperlink" Target="https://azizstan.net/student_image/25559.jpg" TargetMode="External"/><Relationship Id="rId944" Type="http://schemas.openxmlformats.org/officeDocument/2006/relationships/hyperlink" Target="https://azizstan.net/student_image/25552.jpg" TargetMode="External"/><Relationship Id="rId1530" Type="http://schemas.openxmlformats.org/officeDocument/2006/relationships/hyperlink" Target="https://azizstan.net/student_image/24223.jpg" TargetMode="External"/><Relationship Id="rId1531" Type="http://schemas.openxmlformats.org/officeDocument/2006/relationships/hyperlink" Target="https://azizstan.net/student_image/24224.jpg" TargetMode="External"/><Relationship Id="rId1521" Type="http://schemas.openxmlformats.org/officeDocument/2006/relationships/hyperlink" Target="https://azizstan.net/student_image/24158.jpg" TargetMode="External"/><Relationship Id="rId1522" Type="http://schemas.openxmlformats.org/officeDocument/2006/relationships/hyperlink" Target="https://azizstan.net/student_image/24170.jpg" TargetMode="External"/><Relationship Id="rId1523" Type="http://schemas.openxmlformats.org/officeDocument/2006/relationships/hyperlink" Target="https://azizstan.net/student_image/24174.jpg" TargetMode="External"/><Relationship Id="rId1524" Type="http://schemas.openxmlformats.org/officeDocument/2006/relationships/hyperlink" Target="https://azizstan.net/student_image/24177.jpg" TargetMode="External"/><Relationship Id="rId1525" Type="http://schemas.openxmlformats.org/officeDocument/2006/relationships/hyperlink" Target="https://azizstan.net/student_image/24187.jpg" TargetMode="External"/><Relationship Id="rId1526" Type="http://schemas.openxmlformats.org/officeDocument/2006/relationships/hyperlink" Target="https://azizstan.net/student_image/24205.jpg" TargetMode="External"/><Relationship Id="rId1527" Type="http://schemas.openxmlformats.org/officeDocument/2006/relationships/hyperlink" Target="https://azizstan.net/student_image/24214.jpg" TargetMode="External"/><Relationship Id="rId1528" Type="http://schemas.openxmlformats.org/officeDocument/2006/relationships/hyperlink" Target="https://azizstan.net/student_image/24220.jpg" TargetMode="External"/><Relationship Id="rId1529" Type="http://schemas.openxmlformats.org/officeDocument/2006/relationships/hyperlink" Target="https://azizstan.net/student_image/24222.jpg" TargetMode="External"/><Relationship Id="rId939" Type="http://schemas.openxmlformats.org/officeDocument/2006/relationships/hyperlink" Target="https://azizstan.net/student_image/25514.jpg" TargetMode="External"/><Relationship Id="rId938" Type="http://schemas.openxmlformats.org/officeDocument/2006/relationships/hyperlink" Target="https://azizstan.net/student_image/25474.jpg" TargetMode="External"/><Relationship Id="rId937" Type="http://schemas.openxmlformats.org/officeDocument/2006/relationships/hyperlink" Target="https://azizstan.net/student_image/25470.jpg" TargetMode="External"/><Relationship Id="rId932" Type="http://schemas.openxmlformats.org/officeDocument/2006/relationships/hyperlink" Target="https://azizstan.net/student_image/25384.jpg" TargetMode="External"/><Relationship Id="rId931" Type="http://schemas.openxmlformats.org/officeDocument/2006/relationships/hyperlink" Target="https://azizstan.net/student_image/25382.jpg" TargetMode="External"/><Relationship Id="rId930" Type="http://schemas.openxmlformats.org/officeDocument/2006/relationships/hyperlink" Target="https://azizstan.net/student_image/25368.jpg" TargetMode="External"/><Relationship Id="rId936" Type="http://schemas.openxmlformats.org/officeDocument/2006/relationships/hyperlink" Target="https://azizstan.net/student_image/25426.jpg" TargetMode="External"/><Relationship Id="rId935" Type="http://schemas.openxmlformats.org/officeDocument/2006/relationships/hyperlink" Target="https://azizstan.net/student_image/25422.jpg" TargetMode="External"/><Relationship Id="rId934" Type="http://schemas.openxmlformats.org/officeDocument/2006/relationships/hyperlink" Target="https://azizstan.net/student_image/25418.jpg" TargetMode="External"/><Relationship Id="rId933" Type="http://schemas.openxmlformats.org/officeDocument/2006/relationships/hyperlink" Target="https://azizstan.net/student_image/25401.jpg" TargetMode="External"/><Relationship Id="rId1520" Type="http://schemas.openxmlformats.org/officeDocument/2006/relationships/hyperlink" Target="https://azizstan.net/student_image/24157.jpg" TargetMode="External"/><Relationship Id="rId1554" Type="http://schemas.openxmlformats.org/officeDocument/2006/relationships/hyperlink" Target="https://azizstan.net/student_image/24234.jpg" TargetMode="External"/><Relationship Id="rId2401" Type="http://schemas.openxmlformats.org/officeDocument/2006/relationships/hyperlink" Target="https://azizstan.net/student_image/25216.jpg" TargetMode="External"/><Relationship Id="rId1555" Type="http://schemas.openxmlformats.org/officeDocument/2006/relationships/hyperlink" Target="https://azizstan.net/student_image/24238.jpg" TargetMode="External"/><Relationship Id="rId2402" Type="http://schemas.openxmlformats.org/officeDocument/2006/relationships/hyperlink" Target="https://azizstan.net/student_image/25217.jpg" TargetMode="External"/><Relationship Id="rId1556" Type="http://schemas.openxmlformats.org/officeDocument/2006/relationships/hyperlink" Target="https://azizstan.net/student_image/24244.jpg" TargetMode="External"/><Relationship Id="rId2403" Type="http://schemas.openxmlformats.org/officeDocument/2006/relationships/hyperlink" Target="https://azizstan.net/student_image/25241.jpg" TargetMode="External"/><Relationship Id="rId1557" Type="http://schemas.openxmlformats.org/officeDocument/2006/relationships/hyperlink" Target="https://azizstan.net/student_image/24273.jpg" TargetMode="External"/><Relationship Id="rId2404" Type="http://schemas.openxmlformats.org/officeDocument/2006/relationships/hyperlink" Target="https://azizstan.net/student_image/25281.jpg" TargetMode="External"/><Relationship Id="rId1558" Type="http://schemas.openxmlformats.org/officeDocument/2006/relationships/hyperlink" Target="https://azizstan.net/student_image/24275.jpg" TargetMode="External"/><Relationship Id="rId2405" Type="http://schemas.openxmlformats.org/officeDocument/2006/relationships/hyperlink" Target="https://azizstan.net/student_image/25340.jpg" TargetMode="External"/><Relationship Id="rId1559" Type="http://schemas.openxmlformats.org/officeDocument/2006/relationships/hyperlink" Target="https://azizstan.net/student_image/24279.jpg" TargetMode="External"/><Relationship Id="rId2406" Type="http://schemas.openxmlformats.org/officeDocument/2006/relationships/hyperlink" Target="https://azizstan.net/student_image/25753.jpg" TargetMode="External"/><Relationship Id="rId2407" Type="http://schemas.openxmlformats.org/officeDocument/2006/relationships/hyperlink" Target="https://azizstan.net/student_image/22674.jpg" TargetMode="External"/><Relationship Id="rId2408" Type="http://schemas.openxmlformats.org/officeDocument/2006/relationships/hyperlink" Target="https://azizstan.net/student_image/22698.jpg" TargetMode="External"/><Relationship Id="rId2409" Type="http://schemas.openxmlformats.org/officeDocument/2006/relationships/hyperlink" Target="https://azizstan.net/student_image/22748.jpg" TargetMode="External"/><Relationship Id="rId965" Type="http://schemas.openxmlformats.org/officeDocument/2006/relationships/hyperlink" Target="https://azizstan.net/student_image/24663.jpg" TargetMode="External"/><Relationship Id="rId964" Type="http://schemas.openxmlformats.org/officeDocument/2006/relationships/hyperlink" Target="https://azizstan.net/student_image/24650.jpg" TargetMode="External"/><Relationship Id="rId963" Type="http://schemas.openxmlformats.org/officeDocument/2006/relationships/hyperlink" Target="https://azizstan.net/student_image/24622.jpg" TargetMode="External"/><Relationship Id="rId962" Type="http://schemas.openxmlformats.org/officeDocument/2006/relationships/hyperlink" Target="https://azizstan.net/student_image/24618.jpg" TargetMode="External"/><Relationship Id="rId969" Type="http://schemas.openxmlformats.org/officeDocument/2006/relationships/hyperlink" Target="https://azizstan.net/student_image/24737.jpg" TargetMode="External"/><Relationship Id="rId968" Type="http://schemas.openxmlformats.org/officeDocument/2006/relationships/hyperlink" Target="https://azizstan.net/student_image/24706.jpg" TargetMode="External"/><Relationship Id="rId967" Type="http://schemas.openxmlformats.org/officeDocument/2006/relationships/hyperlink" Target="https://azizstan.net/student_image/24696.jpg" TargetMode="External"/><Relationship Id="rId966" Type="http://schemas.openxmlformats.org/officeDocument/2006/relationships/hyperlink" Target="https://azizstan.net/student_image/24664.jpg" TargetMode="External"/><Relationship Id="rId961" Type="http://schemas.openxmlformats.org/officeDocument/2006/relationships/hyperlink" Target="https://azizstan.net/student_image/24592.jpg" TargetMode="External"/><Relationship Id="rId1550" Type="http://schemas.openxmlformats.org/officeDocument/2006/relationships/hyperlink" Target="https://azizstan.net/student_image/24135.jpg" TargetMode="External"/><Relationship Id="rId960" Type="http://schemas.openxmlformats.org/officeDocument/2006/relationships/hyperlink" Target="https://azizstan.net/student_image/25995.jpg" TargetMode="External"/><Relationship Id="rId1551" Type="http://schemas.openxmlformats.org/officeDocument/2006/relationships/hyperlink" Target="https://azizstan.net/student_image/24141.jpg" TargetMode="External"/><Relationship Id="rId1552" Type="http://schemas.openxmlformats.org/officeDocument/2006/relationships/hyperlink" Target="https://azizstan.net/student_image/24164.jpg" TargetMode="External"/><Relationship Id="rId1553" Type="http://schemas.openxmlformats.org/officeDocument/2006/relationships/hyperlink" Target="https://azizstan.net/student_image/24233.jpg" TargetMode="External"/><Relationship Id="rId2400" Type="http://schemas.openxmlformats.org/officeDocument/2006/relationships/hyperlink" Target="https://azizstan.net/student_image/25212.jpg" TargetMode="External"/><Relationship Id="rId1543" Type="http://schemas.openxmlformats.org/officeDocument/2006/relationships/hyperlink" Target="https://azizstan.net/student_image/26724.jpg" TargetMode="External"/><Relationship Id="rId1544" Type="http://schemas.openxmlformats.org/officeDocument/2006/relationships/hyperlink" Target="https://azizstan.net/student_image/24019.jpg" TargetMode="External"/><Relationship Id="rId1545" Type="http://schemas.openxmlformats.org/officeDocument/2006/relationships/hyperlink" Target="https://azizstan.net/student_image/24044.jpg" TargetMode="External"/><Relationship Id="rId1546" Type="http://schemas.openxmlformats.org/officeDocument/2006/relationships/hyperlink" Target="https://azizstan.net/student_image/24061.jpg" TargetMode="External"/><Relationship Id="rId1547" Type="http://schemas.openxmlformats.org/officeDocument/2006/relationships/hyperlink" Target="https://azizstan.net/student_image/24088.jpg" TargetMode="External"/><Relationship Id="rId1548" Type="http://schemas.openxmlformats.org/officeDocument/2006/relationships/hyperlink" Target="https://azizstan.net/student_image/24094.jpg" TargetMode="External"/><Relationship Id="rId1549" Type="http://schemas.openxmlformats.org/officeDocument/2006/relationships/hyperlink" Target="https://azizstan.net/student_image/24121.jpg" TargetMode="External"/><Relationship Id="rId959" Type="http://schemas.openxmlformats.org/officeDocument/2006/relationships/hyperlink" Target="https://azizstan.net/student_image/25882.jpg" TargetMode="External"/><Relationship Id="rId954" Type="http://schemas.openxmlformats.org/officeDocument/2006/relationships/hyperlink" Target="https://azizstan.net/student_image/25706.jpg" TargetMode="External"/><Relationship Id="rId953" Type="http://schemas.openxmlformats.org/officeDocument/2006/relationships/hyperlink" Target="https://azizstan.net/student_image/25677.jpg" TargetMode="External"/><Relationship Id="rId952" Type="http://schemas.openxmlformats.org/officeDocument/2006/relationships/hyperlink" Target="https://azizstan.net/student_image/25663.jpg" TargetMode="External"/><Relationship Id="rId951" Type="http://schemas.openxmlformats.org/officeDocument/2006/relationships/hyperlink" Target="https://azizstan.net/student_image/25644.jpg" TargetMode="External"/><Relationship Id="rId958" Type="http://schemas.openxmlformats.org/officeDocument/2006/relationships/hyperlink" Target="https://azizstan.net/student_image/25827.jpg" TargetMode="External"/><Relationship Id="rId957" Type="http://schemas.openxmlformats.org/officeDocument/2006/relationships/hyperlink" Target="https://azizstan.net/student_image/25809.jpg" TargetMode="External"/><Relationship Id="rId956" Type="http://schemas.openxmlformats.org/officeDocument/2006/relationships/hyperlink" Target="https://azizstan.net/student_image/25768.jpg" TargetMode="External"/><Relationship Id="rId955" Type="http://schemas.openxmlformats.org/officeDocument/2006/relationships/hyperlink" Target="https://azizstan.net/student_image/25708.jpg" TargetMode="External"/><Relationship Id="rId950" Type="http://schemas.openxmlformats.org/officeDocument/2006/relationships/hyperlink" Target="https://azizstan.net/student_image/25618.jpg" TargetMode="External"/><Relationship Id="rId1540" Type="http://schemas.openxmlformats.org/officeDocument/2006/relationships/hyperlink" Target="https://azizstan.net/student_image/26503.jpg" TargetMode="External"/><Relationship Id="rId1541" Type="http://schemas.openxmlformats.org/officeDocument/2006/relationships/hyperlink" Target="https://azizstan.net/student_image/26696.jpg" TargetMode="External"/><Relationship Id="rId1542" Type="http://schemas.openxmlformats.org/officeDocument/2006/relationships/hyperlink" Target="https://azizstan.net/student_image/26707.jpg" TargetMode="External"/><Relationship Id="rId2027" Type="http://schemas.openxmlformats.org/officeDocument/2006/relationships/hyperlink" Target="https://azizstan.net/student_image/25531.jpg" TargetMode="External"/><Relationship Id="rId2028" Type="http://schemas.openxmlformats.org/officeDocument/2006/relationships/hyperlink" Target="https://azizstan.net/student_image/25534.jpg" TargetMode="External"/><Relationship Id="rId2029" Type="http://schemas.openxmlformats.org/officeDocument/2006/relationships/hyperlink" Target="https://azizstan.net/student_image/25622.jpg" TargetMode="External"/><Relationship Id="rId590" Type="http://schemas.openxmlformats.org/officeDocument/2006/relationships/hyperlink" Target="https://azizstan.net/student_image/25710.jpg" TargetMode="External"/><Relationship Id="rId107" Type="http://schemas.openxmlformats.org/officeDocument/2006/relationships/hyperlink" Target="https://azizstan.net/student_image/26383.jpg" TargetMode="External"/><Relationship Id="rId106" Type="http://schemas.openxmlformats.org/officeDocument/2006/relationships/hyperlink" Target="https://azizstan.net/student_image/26382.jpg" TargetMode="External"/><Relationship Id="rId105" Type="http://schemas.openxmlformats.org/officeDocument/2006/relationships/hyperlink" Target="https://azizstan.net/student_image/26380.jpg" TargetMode="External"/><Relationship Id="rId589" Type="http://schemas.openxmlformats.org/officeDocument/2006/relationships/hyperlink" Target="https://azizstan.net/student_image/25695.jpg" TargetMode="External"/><Relationship Id="rId104" Type="http://schemas.openxmlformats.org/officeDocument/2006/relationships/hyperlink" Target="https://azizstan.net/student_image/26378.jpg" TargetMode="External"/><Relationship Id="rId588" Type="http://schemas.openxmlformats.org/officeDocument/2006/relationships/hyperlink" Target="https://azizstan.net/student_image/25678.jpg" TargetMode="External"/><Relationship Id="rId109" Type="http://schemas.openxmlformats.org/officeDocument/2006/relationships/hyperlink" Target="https://azizstan.net/student_image/26386.jpg" TargetMode="External"/><Relationship Id="rId1170" Type="http://schemas.openxmlformats.org/officeDocument/2006/relationships/hyperlink" Target="https://azizstan.net/student_image/24933.jpg" TargetMode="External"/><Relationship Id="rId108" Type="http://schemas.openxmlformats.org/officeDocument/2006/relationships/hyperlink" Target="https://azizstan.net/student_image/26384.jpg" TargetMode="External"/><Relationship Id="rId1171" Type="http://schemas.openxmlformats.org/officeDocument/2006/relationships/hyperlink" Target="https://azizstan.net/student_image/24934.jpg" TargetMode="External"/><Relationship Id="rId583" Type="http://schemas.openxmlformats.org/officeDocument/2006/relationships/hyperlink" Target="https://azizstan.net/student_image/25639.jpg" TargetMode="External"/><Relationship Id="rId1172" Type="http://schemas.openxmlformats.org/officeDocument/2006/relationships/hyperlink" Target="https://azizstan.net/student_image/24935.jpg" TargetMode="External"/><Relationship Id="rId582" Type="http://schemas.openxmlformats.org/officeDocument/2006/relationships/hyperlink" Target="https://azizstan.net/student_image/25621.jpg" TargetMode="External"/><Relationship Id="rId1173" Type="http://schemas.openxmlformats.org/officeDocument/2006/relationships/hyperlink" Target="https://azizstan.net/student_image/24978.jpg" TargetMode="External"/><Relationship Id="rId2020" Type="http://schemas.openxmlformats.org/officeDocument/2006/relationships/hyperlink" Target="https://azizstan.net/student_image/25204.jpg" TargetMode="External"/><Relationship Id="rId581" Type="http://schemas.openxmlformats.org/officeDocument/2006/relationships/hyperlink" Target="https://azizstan.net/student_image/25586.jpg" TargetMode="External"/><Relationship Id="rId1174" Type="http://schemas.openxmlformats.org/officeDocument/2006/relationships/hyperlink" Target="https://azizstan.net/student_image/25032.jpg" TargetMode="External"/><Relationship Id="rId2021" Type="http://schemas.openxmlformats.org/officeDocument/2006/relationships/hyperlink" Target="https://azizstan.net/student_image/25335.jpg" TargetMode="External"/><Relationship Id="rId580" Type="http://schemas.openxmlformats.org/officeDocument/2006/relationships/hyperlink" Target="https://azizstan.net/student_image/25565.jpg" TargetMode="External"/><Relationship Id="rId1175" Type="http://schemas.openxmlformats.org/officeDocument/2006/relationships/hyperlink" Target="https://azizstan.net/student_image/25095.jpg" TargetMode="External"/><Relationship Id="rId2022" Type="http://schemas.openxmlformats.org/officeDocument/2006/relationships/hyperlink" Target="https://azizstan.net/student_image/25355.jpg" TargetMode="External"/><Relationship Id="rId103" Type="http://schemas.openxmlformats.org/officeDocument/2006/relationships/hyperlink" Target="https://azizstan.net/student_image/26377.jpg" TargetMode="External"/><Relationship Id="rId587" Type="http://schemas.openxmlformats.org/officeDocument/2006/relationships/hyperlink" Target="https://azizstan.net/student_image/25669.jpg" TargetMode="External"/><Relationship Id="rId1176" Type="http://schemas.openxmlformats.org/officeDocument/2006/relationships/hyperlink" Target="https://azizstan.net/student_image/25096.jpg" TargetMode="External"/><Relationship Id="rId2023" Type="http://schemas.openxmlformats.org/officeDocument/2006/relationships/hyperlink" Target="https://azizstan.net/student_image/25403.jpg" TargetMode="External"/><Relationship Id="rId102" Type="http://schemas.openxmlformats.org/officeDocument/2006/relationships/hyperlink" Target="https://azizstan.net/student_image/26363.jpg" TargetMode="External"/><Relationship Id="rId586" Type="http://schemas.openxmlformats.org/officeDocument/2006/relationships/hyperlink" Target="https://azizstan.net/student_image/25665.jpg" TargetMode="External"/><Relationship Id="rId1177" Type="http://schemas.openxmlformats.org/officeDocument/2006/relationships/hyperlink" Target="https://azizstan.net/student_image/25143.jpg" TargetMode="External"/><Relationship Id="rId2024" Type="http://schemas.openxmlformats.org/officeDocument/2006/relationships/hyperlink" Target="https://azizstan.net/student_image/25467.jpg" TargetMode="External"/><Relationship Id="rId101" Type="http://schemas.openxmlformats.org/officeDocument/2006/relationships/hyperlink" Target="https://azizstan.net/student_image/26361.jpg" TargetMode="External"/><Relationship Id="rId585" Type="http://schemas.openxmlformats.org/officeDocument/2006/relationships/hyperlink" Target="https://azizstan.net/student_image/25656.jpg" TargetMode="External"/><Relationship Id="rId1178" Type="http://schemas.openxmlformats.org/officeDocument/2006/relationships/hyperlink" Target="https://azizstan.net/student_image/25158.jpg" TargetMode="External"/><Relationship Id="rId2025" Type="http://schemas.openxmlformats.org/officeDocument/2006/relationships/hyperlink" Target="https://azizstan.net/student_image/25468.jpg" TargetMode="External"/><Relationship Id="rId100" Type="http://schemas.openxmlformats.org/officeDocument/2006/relationships/hyperlink" Target="https://azizstan.net/student_image/26356.jpg" TargetMode="External"/><Relationship Id="rId584" Type="http://schemas.openxmlformats.org/officeDocument/2006/relationships/hyperlink" Target="https://azizstan.net/student_image/25643.jpg" TargetMode="External"/><Relationship Id="rId1179" Type="http://schemas.openxmlformats.org/officeDocument/2006/relationships/hyperlink" Target="https://azizstan.net/student_image/25289.jpg" TargetMode="External"/><Relationship Id="rId2026" Type="http://schemas.openxmlformats.org/officeDocument/2006/relationships/hyperlink" Target="https://azizstan.net/student_image/25508.jpg" TargetMode="External"/><Relationship Id="rId1169" Type="http://schemas.openxmlformats.org/officeDocument/2006/relationships/hyperlink" Target="https://azizstan.net/student_image/24895.jpg" TargetMode="External"/><Relationship Id="rId2016" Type="http://schemas.openxmlformats.org/officeDocument/2006/relationships/hyperlink" Target="https://azizstan.net/student_image/23886.jpg" TargetMode="External"/><Relationship Id="rId2017" Type="http://schemas.openxmlformats.org/officeDocument/2006/relationships/hyperlink" Target="https://azizstan.net/student_image/23965.jpg" TargetMode="External"/><Relationship Id="rId2018" Type="http://schemas.openxmlformats.org/officeDocument/2006/relationships/hyperlink" Target="https://azizstan.net/student_image/24776.jpg" TargetMode="External"/><Relationship Id="rId2019" Type="http://schemas.openxmlformats.org/officeDocument/2006/relationships/hyperlink" Target="https://azizstan.net/student_image/25124.jpg" TargetMode="External"/><Relationship Id="rId579" Type="http://schemas.openxmlformats.org/officeDocument/2006/relationships/hyperlink" Target="https://azizstan.net/student_image/25543.jpg" TargetMode="External"/><Relationship Id="rId578" Type="http://schemas.openxmlformats.org/officeDocument/2006/relationships/hyperlink" Target="https://azizstan.net/student_image/25539.jpg" TargetMode="External"/><Relationship Id="rId577" Type="http://schemas.openxmlformats.org/officeDocument/2006/relationships/hyperlink" Target="https://azizstan.net/student_image/25521.jpg" TargetMode="External"/><Relationship Id="rId2490" Type="http://schemas.openxmlformats.org/officeDocument/2006/relationships/hyperlink" Target="https://azizstan.net/student_image_voc/6821910043.jpg" TargetMode="External"/><Relationship Id="rId1160" Type="http://schemas.openxmlformats.org/officeDocument/2006/relationships/hyperlink" Target="https://azizstan.net/student_image/24782.jpg" TargetMode="External"/><Relationship Id="rId2491" Type="http://schemas.openxmlformats.org/officeDocument/2006/relationships/hyperlink" Target="https://azizstan.net/student_image_voc/6821910051.jpg" TargetMode="External"/><Relationship Id="rId572" Type="http://schemas.openxmlformats.org/officeDocument/2006/relationships/hyperlink" Target="https://azizstan.net/student_image/25388.jpg" TargetMode="External"/><Relationship Id="rId1161" Type="http://schemas.openxmlformats.org/officeDocument/2006/relationships/hyperlink" Target="https://azizstan.net/student_image/24790.jpg" TargetMode="External"/><Relationship Id="rId2492" Type="http://schemas.openxmlformats.org/officeDocument/2006/relationships/hyperlink" Target="https://azizstan.net/student_image_voc/6821910052.jpg" TargetMode="External"/><Relationship Id="rId571" Type="http://schemas.openxmlformats.org/officeDocument/2006/relationships/hyperlink" Target="https://azizstan.net/student_image/25365.jpg" TargetMode="External"/><Relationship Id="rId1162" Type="http://schemas.openxmlformats.org/officeDocument/2006/relationships/hyperlink" Target="https://azizstan.net/student_image/24803.jpg" TargetMode="External"/><Relationship Id="rId2493" Type="http://schemas.openxmlformats.org/officeDocument/2006/relationships/hyperlink" Target="https://azizstan.net/student_image_voc/6821910058.jpg" TargetMode="External"/><Relationship Id="rId570" Type="http://schemas.openxmlformats.org/officeDocument/2006/relationships/hyperlink" Target="https://azizstan.net/student_image/25361.jpg" TargetMode="External"/><Relationship Id="rId1163" Type="http://schemas.openxmlformats.org/officeDocument/2006/relationships/hyperlink" Target="https://azizstan.net/student_image/24832.jpg" TargetMode="External"/><Relationship Id="rId2010" Type="http://schemas.openxmlformats.org/officeDocument/2006/relationships/hyperlink" Target="https://azizstan.net/student_image/23655.jpg" TargetMode="External"/><Relationship Id="rId2494" Type="http://schemas.openxmlformats.org/officeDocument/2006/relationships/hyperlink" Target="https://azizstan.net/student_image_voc/6821910061.jpg" TargetMode="External"/><Relationship Id="rId1164" Type="http://schemas.openxmlformats.org/officeDocument/2006/relationships/hyperlink" Target="https://azizstan.net/student_image/24836.jpg" TargetMode="External"/><Relationship Id="rId2011" Type="http://schemas.openxmlformats.org/officeDocument/2006/relationships/hyperlink" Target="https://azizstan.net/student_image/23662.jpg" TargetMode="External"/><Relationship Id="rId2495" Type="http://schemas.openxmlformats.org/officeDocument/2006/relationships/hyperlink" Target="https://azizstan.net/student_image_voc/6821910066.jpg" TargetMode="External"/><Relationship Id="rId576" Type="http://schemas.openxmlformats.org/officeDocument/2006/relationships/hyperlink" Target="https://azizstan.net/student_image/25506.jpg" TargetMode="External"/><Relationship Id="rId1165" Type="http://schemas.openxmlformats.org/officeDocument/2006/relationships/hyperlink" Target="https://azizstan.net/student_image/24839.jpg" TargetMode="External"/><Relationship Id="rId2012" Type="http://schemas.openxmlformats.org/officeDocument/2006/relationships/hyperlink" Target="https://azizstan.net/student_image/23712.jpg" TargetMode="External"/><Relationship Id="rId2496" Type="http://schemas.openxmlformats.org/officeDocument/2006/relationships/hyperlink" Target="https://azizstan.net/student_image_voc/6821910067.jpg" TargetMode="External"/><Relationship Id="rId575" Type="http://schemas.openxmlformats.org/officeDocument/2006/relationships/hyperlink" Target="https://azizstan.net/student_image/25488.jpg" TargetMode="External"/><Relationship Id="rId1166" Type="http://schemas.openxmlformats.org/officeDocument/2006/relationships/hyperlink" Target="https://azizstan.net/student_image/24877.jpg" TargetMode="External"/><Relationship Id="rId2013" Type="http://schemas.openxmlformats.org/officeDocument/2006/relationships/hyperlink" Target="https://azizstan.net/student_image/23752.jpg" TargetMode="External"/><Relationship Id="rId2497" Type="http://schemas.openxmlformats.org/officeDocument/2006/relationships/hyperlink" Target="https://azizstan.net/student_image_voc/6821910068.jpg" TargetMode="External"/><Relationship Id="rId574" Type="http://schemas.openxmlformats.org/officeDocument/2006/relationships/hyperlink" Target="https://azizstan.net/student_image/25453.jpg" TargetMode="External"/><Relationship Id="rId1167" Type="http://schemas.openxmlformats.org/officeDocument/2006/relationships/hyperlink" Target="https://azizstan.net/student_image/24880.jpg" TargetMode="External"/><Relationship Id="rId2014" Type="http://schemas.openxmlformats.org/officeDocument/2006/relationships/hyperlink" Target="https://azizstan.net/student_image/23795.jpg" TargetMode="External"/><Relationship Id="rId2498" Type="http://schemas.openxmlformats.org/officeDocument/2006/relationships/hyperlink" Target="https://azizstan.net/student_image_voc/6821910001.jpg" TargetMode="External"/><Relationship Id="rId573" Type="http://schemas.openxmlformats.org/officeDocument/2006/relationships/hyperlink" Target="https://azizstan.net/student_image/25451.jpg" TargetMode="External"/><Relationship Id="rId1168" Type="http://schemas.openxmlformats.org/officeDocument/2006/relationships/hyperlink" Target="https://azizstan.net/student_image/24891.jpg" TargetMode="External"/><Relationship Id="rId2015" Type="http://schemas.openxmlformats.org/officeDocument/2006/relationships/hyperlink" Target="https://azizstan.net/student_image/23801.jpg" TargetMode="External"/><Relationship Id="rId2499" Type="http://schemas.openxmlformats.org/officeDocument/2006/relationships/hyperlink" Target="https://azizstan.net/student_image_voc/6821910002.jpg" TargetMode="External"/><Relationship Id="rId2049" Type="http://schemas.openxmlformats.org/officeDocument/2006/relationships/hyperlink" Target="https://azizstan.net/student_image/23429.jpg" TargetMode="External"/><Relationship Id="rId129" Type="http://schemas.openxmlformats.org/officeDocument/2006/relationships/hyperlink" Target="https://azizstan.net/student_image/26274.jpg" TargetMode="External"/><Relationship Id="rId128" Type="http://schemas.openxmlformats.org/officeDocument/2006/relationships/hyperlink" Target="https://azizstan.net/student_image/26269.jpg" TargetMode="External"/><Relationship Id="rId127" Type="http://schemas.openxmlformats.org/officeDocument/2006/relationships/hyperlink" Target="https://azizstan.net/student_image/26258.jpg" TargetMode="External"/><Relationship Id="rId126" Type="http://schemas.openxmlformats.org/officeDocument/2006/relationships/hyperlink" Target="https://azizstan.net/student_image/26254.jpg" TargetMode="External"/><Relationship Id="rId1190" Type="http://schemas.openxmlformats.org/officeDocument/2006/relationships/hyperlink" Target="https://azizstan.net/student_image/24761.jpg" TargetMode="External"/><Relationship Id="rId1191" Type="http://schemas.openxmlformats.org/officeDocument/2006/relationships/hyperlink" Target="https://azizstan.net/student_image/24762.jpg" TargetMode="External"/><Relationship Id="rId1192" Type="http://schemas.openxmlformats.org/officeDocument/2006/relationships/hyperlink" Target="https://azizstan.net/student_image/24780.jpg" TargetMode="External"/><Relationship Id="rId1193" Type="http://schemas.openxmlformats.org/officeDocument/2006/relationships/hyperlink" Target="https://azizstan.net/student_image/24791.jpg" TargetMode="External"/><Relationship Id="rId2040" Type="http://schemas.openxmlformats.org/officeDocument/2006/relationships/hyperlink" Target="https://azizstan.net/student_image/25944.jpg" TargetMode="External"/><Relationship Id="rId121" Type="http://schemas.openxmlformats.org/officeDocument/2006/relationships/hyperlink" Target="https://azizstan.net/student_image/26156.jpg" TargetMode="External"/><Relationship Id="rId1194" Type="http://schemas.openxmlformats.org/officeDocument/2006/relationships/hyperlink" Target="https://azizstan.net/student_image/24799.jpg" TargetMode="External"/><Relationship Id="rId2041" Type="http://schemas.openxmlformats.org/officeDocument/2006/relationships/hyperlink" Target="https://azizstan.net/student_image/25959.jpg" TargetMode="External"/><Relationship Id="rId120" Type="http://schemas.openxmlformats.org/officeDocument/2006/relationships/hyperlink" Target="https://azizstan.net/student_image/26102.jpg" TargetMode="External"/><Relationship Id="rId1195" Type="http://schemas.openxmlformats.org/officeDocument/2006/relationships/hyperlink" Target="https://azizstan.net/student_image/24825.jpg" TargetMode="External"/><Relationship Id="rId2042" Type="http://schemas.openxmlformats.org/officeDocument/2006/relationships/hyperlink" Target="https://azizstan.net/student_image/25988.jpg" TargetMode="External"/><Relationship Id="rId1196" Type="http://schemas.openxmlformats.org/officeDocument/2006/relationships/hyperlink" Target="https://azizstan.net/student_image/24850.jpg" TargetMode="External"/><Relationship Id="rId2043" Type="http://schemas.openxmlformats.org/officeDocument/2006/relationships/hyperlink" Target="https://azizstan.net/student_image/26003.jpg" TargetMode="External"/><Relationship Id="rId1197" Type="http://schemas.openxmlformats.org/officeDocument/2006/relationships/hyperlink" Target="https://azizstan.net/student_image/24859.jpg" TargetMode="External"/><Relationship Id="rId2044" Type="http://schemas.openxmlformats.org/officeDocument/2006/relationships/hyperlink" Target="https://azizstan.net/student_image/26031.jpg" TargetMode="External"/><Relationship Id="rId125" Type="http://schemas.openxmlformats.org/officeDocument/2006/relationships/hyperlink" Target="https://azizstan.net/student_image/26206.jpg" TargetMode="External"/><Relationship Id="rId1198" Type="http://schemas.openxmlformats.org/officeDocument/2006/relationships/hyperlink" Target="https://azizstan.net/student_image/24884.jpg" TargetMode="External"/><Relationship Id="rId2045" Type="http://schemas.openxmlformats.org/officeDocument/2006/relationships/hyperlink" Target="https://azizstan.net/student_image/26736.jpg" TargetMode="External"/><Relationship Id="rId124" Type="http://schemas.openxmlformats.org/officeDocument/2006/relationships/hyperlink" Target="https://azizstan.net/student_image/26189.jpg" TargetMode="External"/><Relationship Id="rId1199" Type="http://schemas.openxmlformats.org/officeDocument/2006/relationships/hyperlink" Target="https://azizstan.net/student_image/24885.jpg" TargetMode="External"/><Relationship Id="rId2046" Type="http://schemas.openxmlformats.org/officeDocument/2006/relationships/hyperlink" Target="https://azizstan.net/student_image/26790.jpg" TargetMode="External"/><Relationship Id="rId123" Type="http://schemas.openxmlformats.org/officeDocument/2006/relationships/hyperlink" Target="https://azizstan.net/student_image/26184.jpg" TargetMode="External"/><Relationship Id="rId2047" Type="http://schemas.openxmlformats.org/officeDocument/2006/relationships/hyperlink" Target="https://azizstan.net/student_image/23348.jpg" TargetMode="External"/><Relationship Id="rId122" Type="http://schemas.openxmlformats.org/officeDocument/2006/relationships/hyperlink" Target="https://azizstan.net/student_image/26161.jpg" TargetMode="External"/><Relationship Id="rId2048" Type="http://schemas.openxmlformats.org/officeDocument/2006/relationships/hyperlink" Target="https://azizstan.net/student_image/23418.jpg" TargetMode="External"/><Relationship Id="rId2038" Type="http://schemas.openxmlformats.org/officeDocument/2006/relationships/hyperlink" Target="https://azizstan.net/student_image/25795.jpg" TargetMode="External"/><Relationship Id="rId2039" Type="http://schemas.openxmlformats.org/officeDocument/2006/relationships/hyperlink" Target="https://azizstan.net/student_image/25811.jpg" TargetMode="External"/><Relationship Id="rId118" Type="http://schemas.openxmlformats.org/officeDocument/2006/relationships/hyperlink" Target="https://azizstan.net/student_image/26042.jpg" TargetMode="External"/><Relationship Id="rId117" Type="http://schemas.openxmlformats.org/officeDocument/2006/relationships/hyperlink" Target="https://azizstan.net/student_image/26812.jpg" TargetMode="External"/><Relationship Id="rId116" Type="http://schemas.openxmlformats.org/officeDocument/2006/relationships/hyperlink" Target="https://azizstan.net/student_image/26703.jpg" TargetMode="External"/><Relationship Id="rId115" Type="http://schemas.openxmlformats.org/officeDocument/2006/relationships/hyperlink" Target="https://azizstan.net/student_image/26500.jpg" TargetMode="External"/><Relationship Id="rId599" Type="http://schemas.openxmlformats.org/officeDocument/2006/relationships/hyperlink" Target="https://azizstan.net/student_image/25860.jpg" TargetMode="External"/><Relationship Id="rId1180" Type="http://schemas.openxmlformats.org/officeDocument/2006/relationships/hyperlink" Target="https://azizstan.net/student_image/25303.jpg" TargetMode="External"/><Relationship Id="rId1181" Type="http://schemas.openxmlformats.org/officeDocument/2006/relationships/hyperlink" Target="https://azizstan.net/student_image/25898.jpg" TargetMode="External"/><Relationship Id="rId119" Type="http://schemas.openxmlformats.org/officeDocument/2006/relationships/hyperlink" Target="https://azizstan.net/student_image/26101.jpg" TargetMode="External"/><Relationship Id="rId1182" Type="http://schemas.openxmlformats.org/officeDocument/2006/relationships/hyperlink" Target="https://azizstan.net/student_image/26788.jpg" TargetMode="External"/><Relationship Id="rId110" Type="http://schemas.openxmlformats.org/officeDocument/2006/relationships/hyperlink" Target="https://azizstan.net/student_image/26449.jpg" TargetMode="External"/><Relationship Id="rId594" Type="http://schemas.openxmlformats.org/officeDocument/2006/relationships/hyperlink" Target="https://azizstan.net/student_image/25734.jpg" TargetMode="External"/><Relationship Id="rId1183" Type="http://schemas.openxmlformats.org/officeDocument/2006/relationships/hyperlink" Target="https://azizstan.net/student_image/24591.jpg" TargetMode="External"/><Relationship Id="rId2030" Type="http://schemas.openxmlformats.org/officeDocument/2006/relationships/hyperlink" Target="https://azizstan.net/student_image/25625.jpg" TargetMode="External"/><Relationship Id="rId593" Type="http://schemas.openxmlformats.org/officeDocument/2006/relationships/hyperlink" Target="https://azizstan.net/student_image/25733.jpg" TargetMode="External"/><Relationship Id="rId1184" Type="http://schemas.openxmlformats.org/officeDocument/2006/relationships/hyperlink" Target="https://azizstan.net/student_image/24714.jpg" TargetMode="External"/><Relationship Id="rId2031" Type="http://schemas.openxmlformats.org/officeDocument/2006/relationships/hyperlink" Target="https://azizstan.net/student_image/25628.jpg" TargetMode="External"/><Relationship Id="rId592" Type="http://schemas.openxmlformats.org/officeDocument/2006/relationships/hyperlink" Target="https://azizstan.net/student_image/25731.jpg" TargetMode="External"/><Relationship Id="rId1185" Type="http://schemas.openxmlformats.org/officeDocument/2006/relationships/hyperlink" Target="https://azizstan.net/student_image/24715.jpg" TargetMode="External"/><Relationship Id="rId2032" Type="http://schemas.openxmlformats.org/officeDocument/2006/relationships/hyperlink" Target="https://azizstan.net/student_image/25636.jpg" TargetMode="External"/><Relationship Id="rId591" Type="http://schemas.openxmlformats.org/officeDocument/2006/relationships/hyperlink" Target="https://azizstan.net/student_image/25713.jpg" TargetMode="External"/><Relationship Id="rId1186" Type="http://schemas.openxmlformats.org/officeDocument/2006/relationships/hyperlink" Target="https://azizstan.net/student_image/24723.jpg" TargetMode="External"/><Relationship Id="rId2033" Type="http://schemas.openxmlformats.org/officeDocument/2006/relationships/hyperlink" Target="https://azizstan.net/student_image/25637.jpg" TargetMode="External"/><Relationship Id="rId114" Type="http://schemas.openxmlformats.org/officeDocument/2006/relationships/hyperlink" Target="https://azizstan.net/student_image/26499.jpg" TargetMode="External"/><Relationship Id="rId598" Type="http://schemas.openxmlformats.org/officeDocument/2006/relationships/hyperlink" Target="https://azizstan.net/student_image/25835.jpg" TargetMode="External"/><Relationship Id="rId1187" Type="http://schemas.openxmlformats.org/officeDocument/2006/relationships/hyperlink" Target="https://azizstan.net/student_image/24724.jpg" TargetMode="External"/><Relationship Id="rId2034" Type="http://schemas.openxmlformats.org/officeDocument/2006/relationships/hyperlink" Target="https://azizstan.net/student_image/25653.jpg" TargetMode="External"/><Relationship Id="rId113" Type="http://schemas.openxmlformats.org/officeDocument/2006/relationships/hyperlink" Target="https://azizstan.net/student_image/26498.jpg" TargetMode="External"/><Relationship Id="rId597" Type="http://schemas.openxmlformats.org/officeDocument/2006/relationships/hyperlink" Target="https://azizstan.net/student_image/25834.jpg" TargetMode="External"/><Relationship Id="rId1188" Type="http://schemas.openxmlformats.org/officeDocument/2006/relationships/hyperlink" Target="https://azizstan.net/student_image/24726.jpg" TargetMode="External"/><Relationship Id="rId2035" Type="http://schemas.openxmlformats.org/officeDocument/2006/relationships/hyperlink" Target="https://azizstan.net/student_image/25667.jpg" TargetMode="External"/><Relationship Id="rId112" Type="http://schemas.openxmlformats.org/officeDocument/2006/relationships/hyperlink" Target="https://azizstan.net/student_image/26496.jpg" TargetMode="External"/><Relationship Id="rId596" Type="http://schemas.openxmlformats.org/officeDocument/2006/relationships/hyperlink" Target="https://azizstan.net/student_image/25793.jpg" TargetMode="External"/><Relationship Id="rId1189" Type="http://schemas.openxmlformats.org/officeDocument/2006/relationships/hyperlink" Target="https://azizstan.net/student_image/24738.jpg" TargetMode="External"/><Relationship Id="rId2036" Type="http://schemas.openxmlformats.org/officeDocument/2006/relationships/hyperlink" Target="https://azizstan.net/student_image/25689.jpg" TargetMode="External"/><Relationship Id="rId111" Type="http://schemas.openxmlformats.org/officeDocument/2006/relationships/hyperlink" Target="https://azizstan.net/student_image/26478.jpg" TargetMode="External"/><Relationship Id="rId595" Type="http://schemas.openxmlformats.org/officeDocument/2006/relationships/hyperlink" Target="https://azizstan.net/student_image/25742.jpg" TargetMode="External"/><Relationship Id="rId2037" Type="http://schemas.openxmlformats.org/officeDocument/2006/relationships/hyperlink" Target="https://azizstan.net/student_image/25723.jpg" TargetMode="External"/><Relationship Id="rId1136" Type="http://schemas.openxmlformats.org/officeDocument/2006/relationships/hyperlink" Target="https://azizstan.net/student_image/25187.jpg" TargetMode="External"/><Relationship Id="rId2467" Type="http://schemas.openxmlformats.org/officeDocument/2006/relationships/hyperlink" Target="https://azizstan.net/student_image/25112.jpg" TargetMode="External"/><Relationship Id="rId1137" Type="http://schemas.openxmlformats.org/officeDocument/2006/relationships/hyperlink" Target="https://azizstan.net/student_image/25203.jpg" TargetMode="External"/><Relationship Id="rId2468" Type="http://schemas.openxmlformats.org/officeDocument/2006/relationships/hyperlink" Target="https://azizstan.net/student_image/25146.jpg" TargetMode="External"/><Relationship Id="rId1138" Type="http://schemas.openxmlformats.org/officeDocument/2006/relationships/hyperlink" Target="https://azizstan.net/student_image/25261.jpg" TargetMode="External"/><Relationship Id="rId2469" Type="http://schemas.openxmlformats.org/officeDocument/2006/relationships/hyperlink" Target="https://azizstan.net/student_image/25178.jpg" TargetMode="External"/><Relationship Id="rId1139" Type="http://schemas.openxmlformats.org/officeDocument/2006/relationships/hyperlink" Target="https://azizstan.net/student_image/25808.jpg" TargetMode="External"/><Relationship Id="rId547" Type="http://schemas.openxmlformats.org/officeDocument/2006/relationships/hyperlink" Target="https://azizstan.net/student_image/25696.jpg" TargetMode="External"/><Relationship Id="rId546" Type="http://schemas.openxmlformats.org/officeDocument/2006/relationships/hyperlink" Target="https://azizstan.net/student_image/25693.jpg" TargetMode="External"/><Relationship Id="rId545" Type="http://schemas.openxmlformats.org/officeDocument/2006/relationships/hyperlink" Target="https://azizstan.net/student_image/25661.jpg" TargetMode="External"/><Relationship Id="rId544" Type="http://schemas.openxmlformats.org/officeDocument/2006/relationships/hyperlink" Target="https://azizstan.net/student_image/25651.jpg" TargetMode="External"/><Relationship Id="rId549" Type="http://schemas.openxmlformats.org/officeDocument/2006/relationships/hyperlink" Target="https://azizstan.net/student_image/25715.jpg" TargetMode="External"/><Relationship Id="rId548" Type="http://schemas.openxmlformats.org/officeDocument/2006/relationships/hyperlink" Target="https://azizstan.net/student_image/25711.jpg" TargetMode="External"/><Relationship Id="rId2460" Type="http://schemas.openxmlformats.org/officeDocument/2006/relationships/hyperlink" Target="https://azizstan.net/student_image/24841.jpg" TargetMode="External"/><Relationship Id="rId1130" Type="http://schemas.openxmlformats.org/officeDocument/2006/relationships/hyperlink" Target="https://azizstan.net/student_image/24958.jpg" TargetMode="External"/><Relationship Id="rId2461" Type="http://schemas.openxmlformats.org/officeDocument/2006/relationships/hyperlink" Target="https://azizstan.net/student_image/24842.jpg" TargetMode="External"/><Relationship Id="rId1131" Type="http://schemas.openxmlformats.org/officeDocument/2006/relationships/hyperlink" Target="https://azizstan.net/student_image/25000.jpg" TargetMode="External"/><Relationship Id="rId2462" Type="http://schemas.openxmlformats.org/officeDocument/2006/relationships/hyperlink" Target="https://azizstan.net/student_image/24858.jpg" TargetMode="External"/><Relationship Id="rId543" Type="http://schemas.openxmlformats.org/officeDocument/2006/relationships/hyperlink" Target="https://azizstan.net/student_image/25638.jpg" TargetMode="External"/><Relationship Id="rId1132" Type="http://schemas.openxmlformats.org/officeDocument/2006/relationships/hyperlink" Target="https://azizstan.net/student_image/25055.jpg" TargetMode="External"/><Relationship Id="rId2463" Type="http://schemas.openxmlformats.org/officeDocument/2006/relationships/hyperlink" Target="https://azizstan.net/student_image/24961.jpg" TargetMode="External"/><Relationship Id="rId542" Type="http://schemas.openxmlformats.org/officeDocument/2006/relationships/hyperlink" Target="https://azizstan.net/student_image/25588.jpg" TargetMode="External"/><Relationship Id="rId1133" Type="http://schemas.openxmlformats.org/officeDocument/2006/relationships/hyperlink" Target="https://azizstan.net/student_image/25057.jpg" TargetMode="External"/><Relationship Id="rId2464" Type="http://schemas.openxmlformats.org/officeDocument/2006/relationships/hyperlink" Target="https://azizstan.net/student_image/24966.jpg" TargetMode="External"/><Relationship Id="rId541" Type="http://schemas.openxmlformats.org/officeDocument/2006/relationships/hyperlink" Target="https://azizstan.net/student_image/25562.jpg" TargetMode="External"/><Relationship Id="rId1134" Type="http://schemas.openxmlformats.org/officeDocument/2006/relationships/hyperlink" Target="https://azizstan.net/student_image/25162.jpg" TargetMode="External"/><Relationship Id="rId2465" Type="http://schemas.openxmlformats.org/officeDocument/2006/relationships/hyperlink" Target="https://azizstan.net/student_image/24981.jpg" TargetMode="External"/><Relationship Id="rId540" Type="http://schemas.openxmlformats.org/officeDocument/2006/relationships/hyperlink" Target="https://azizstan.net/student_image/25558.jpg" TargetMode="External"/><Relationship Id="rId1135" Type="http://schemas.openxmlformats.org/officeDocument/2006/relationships/hyperlink" Target="https://azizstan.net/student_image/25185.jpg" TargetMode="External"/><Relationship Id="rId2466" Type="http://schemas.openxmlformats.org/officeDocument/2006/relationships/hyperlink" Target="https://azizstan.net/student_image/25046.jpg" TargetMode="External"/><Relationship Id="rId1125" Type="http://schemas.openxmlformats.org/officeDocument/2006/relationships/hyperlink" Target="https://azizstan.net/student_image/24789.jpg" TargetMode="External"/><Relationship Id="rId2456" Type="http://schemas.openxmlformats.org/officeDocument/2006/relationships/hyperlink" Target="https://azizstan.net/student_image/24686.jpg" TargetMode="External"/><Relationship Id="rId1126" Type="http://schemas.openxmlformats.org/officeDocument/2006/relationships/hyperlink" Target="https://azizstan.net/student_image/24865.jpg" TargetMode="External"/><Relationship Id="rId2457" Type="http://schemas.openxmlformats.org/officeDocument/2006/relationships/hyperlink" Target="https://azizstan.net/student_image/24711.jpg" TargetMode="External"/><Relationship Id="rId1127" Type="http://schemas.openxmlformats.org/officeDocument/2006/relationships/hyperlink" Target="https://azizstan.net/student_image/24868.jpg" TargetMode="External"/><Relationship Id="rId2458" Type="http://schemas.openxmlformats.org/officeDocument/2006/relationships/hyperlink" Target="https://azizstan.net/student_image/24758.jpg" TargetMode="External"/><Relationship Id="rId1128" Type="http://schemas.openxmlformats.org/officeDocument/2006/relationships/hyperlink" Target="https://azizstan.net/student_image/24901.jpg" TargetMode="External"/><Relationship Id="rId2459" Type="http://schemas.openxmlformats.org/officeDocument/2006/relationships/hyperlink" Target="https://azizstan.net/student_image/24840.jpg" TargetMode="External"/><Relationship Id="rId1129" Type="http://schemas.openxmlformats.org/officeDocument/2006/relationships/hyperlink" Target="https://azizstan.net/student_image/24949.jpg" TargetMode="External"/><Relationship Id="rId536" Type="http://schemas.openxmlformats.org/officeDocument/2006/relationships/hyperlink" Target="https://azizstan.net/student_image/25503.jpg" TargetMode="External"/><Relationship Id="rId535" Type="http://schemas.openxmlformats.org/officeDocument/2006/relationships/hyperlink" Target="https://azizstan.net/student_image/25438.jpg" TargetMode="External"/><Relationship Id="rId534" Type="http://schemas.openxmlformats.org/officeDocument/2006/relationships/hyperlink" Target="https://azizstan.net/student_image/25430.jpg" TargetMode="External"/><Relationship Id="rId533" Type="http://schemas.openxmlformats.org/officeDocument/2006/relationships/hyperlink" Target="https://azizstan.net/student_image/25427.jpg" TargetMode="External"/><Relationship Id="rId539" Type="http://schemas.openxmlformats.org/officeDocument/2006/relationships/hyperlink" Target="https://azizstan.net/student_image/25548.jpg" TargetMode="External"/><Relationship Id="rId538" Type="http://schemas.openxmlformats.org/officeDocument/2006/relationships/hyperlink" Target="https://azizstan.net/student_image/25545.jpg" TargetMode="External"/><Relationship Id="rId537" Type="http://schemas.openxmlformats.org/officeDocument/2006/relationships/hyperlink" Target="https://azizstan.net/student_image/25516.jpg" TargetMode="External"/><Relationship Id="rId2450" Type="http://schemas.openxmlformats.org/officeDocument/2006/relationships/hyperlink" Target="https://azizstan.net/student_image/23162.jpg" TargetMode="External"/><Relationship Id="rId1120" Type="http://schemas.openxmlformats.org/officeDocument/2006/relationships/hyperlink" Target="https://azizstan.net/student_image/24727.jpg" TargetMode="External"/><Relationship Id="rId2451" Type="http://schemas.openxmlformats.org/officeDocument/2006/relationships/hyperlink" Target="https://azizstan.net/student_image/23184.jpg" TargetMode="External"/><Relationship Id="rId532" Type="http://schemas.openxmlformats.org/officeDocument/2006/relationships/hyperlink" Target="https://azizstan.net/student_image/25411.jpg" TargetMode="External"/><Relationship Id="rId1121" Type="http://schemas.openxmlformats.org/officeDocument/2006/relationships/hyperlink" Target="https://azizstan.net/student_image/24746.jpg" TargetMode="External"/><Relationship Id="rId2452" Type="http://schemas.openxmlformats.org/officeDocument/2006/relationships/hyperlink" Target="https://azizstan.net/student_image/23214.jpg" TargetMode="External"/><Relationship Id="rId531" Type="http://schemas.openxmlformats.org/officeDocument/2006/relationships/hyperlink" Target="https://azizstan.net/student_image/25375.jpg" TargetMode="External"/><Relationship Id="rId1122" Type="http://schemas.openxmlformats.org/officeDocument/2006/relationships/hyperlink" Target="https://azizstan.net/student_image/24774.jpg" TargetMode="External"/><Relationship Id="rId2453" Type="http://schemas.openxmlformats.org/officeDocument/2006/relationships/hyperlink" Target="https://azizstan.net/student_image/23230.jpg" TargetMode="External"/><Relationship Id="rId530" Type="http://schemas.openxmlformats.org/officeDocument/2006/relationships/hyperlink" Target="https://azizstan.net/student_image/25370.jpg" TargetMode="External"/><Relationship Id="rId1123" Type="http://schemas.openxmlformats.org/officeDocument/2006/relationships/hyperlink" Target="https://azizstan.net/student_image/24783.jpg" TargetMode="External"/><Relationship Id="rId2454" Type="http://schemas.openxmlformats.org/officeDocument/2006/relationships/hyperlink" Target="https://azizstan.net/student_image/23232.jpg" TargetMode="External"/><Relationship Id="rId1124" Type="http://schemas.openxmlformats.org/officeDocument/2006/relationships/hyperlink" Target="https://azizstan.net/student_image/24786.jpg" TargetMode="External"/><Relationship Id="rId2455" Type="http://schemas.openxmlformats.org/officeDocument/2006/relationships/hyperlink" Target="https://azizstan.net/student_image/24607.jpg" TargetMode="External"/><Relationship Id="rId1158" Type="http://schemas.openxmlformats.org/officeDocument/2006/relationships/hyperlink" Target="https://azizstan.net/student_image/24749.jpg" TargetMode="External"/><Relationship Id="rId2005" Type="http://schemas.openxmlformats.org/officeDocument/2006/relationships/hyperlink" Target="https://azizstan.net/student_image/23476.jpg" TargetMode="External"/><Relationship Id="rId2489" Type="http://schemas.openxmlformats.org/officeDocument/2006/relationships/hyperlink" Target="https://azizstan.net/student_image_voc/6821910042.jpg" TargetMode="External"/><Relationship Id="rId1159" Type="http://schemas.openxmlformats.org/officeDocument/2006/relationships/hyperlink" Target="https://azizstan.net/student_image/24752.jpg" TargetMode="External"/><Relationship Id="rId2006" Type="http://schemas.openxmlformats.org/officeDocument/2006/relationships/hyperlink" Target="https://azizstan.net/student_image/23571.jpg" TargetMode="External"/><Relationship Id="rId2007" Type="http://schemas.openxmlformats.org/officeDocument/2006/relationships/hyperlink" Target="https://azizstan.net/student_image/23604.jpg" TargetMode="External"/><Relationship Id="rId2008" Type="http://schemas.openxmlformats.org/officeDocument/2006/relationships/hyperlink" Target="https://azizstan.net/student_image/23612.jpg" TargetMode="External"/><Relationship Id="rId2009" Type="http://schemas.openxmlformats.org/officeDocument/2006/relationships/hyperlink" Target="https://azizstan.net/student_image/23640.jpg" TargetMode="External"/><Relationship Id="rId569" Type="http://schemas.openxmlformats.org/officeDocument/2006/relationships/hyperlink" Target="https://azizstan.net/student_image/26741.jpg" TargetMode="External"/><Relationship Id="rId568" Type="http://schemas.openxmlformats.org/officeDocument/2006/relationships/hyperlink" Target="https://azizstan.net/student_image/26474.jpg" TargetMode="External"/><Relationship Id="rId567" Type="http://schemas.openxmlformats.org/officeDocument/2006/relationships/hyperlink" Target="https://azizstan.net/student_image/26473.jpg" TargetMode="External"/><Relationship Id="rId566" Type="http://schemas.openxmlformats.org/officeDocument/2006/relationships/hyperlink" Target="https://azizstan.net/student_image/26348.jpg" TargetMode="External"/><Relationship Id="rId2480" Type="http://schemas.openxmlformats.org/officeDocument/2006/relationships/hyperlink" Target="https://azizstan.net/student_image_voc/6821910022.jpg" TargetMode="External"/><Relationship Id="rId561" Type="http://schemas.openxmlformats.org/officeDocument/2006/relationships/hyperlink" Target="https://azizstan.net/student_image/25864.jpg" TargetMode="External"/><Relationship Id="rId1150" Type="http://schemas.openxmlformats.org/officeDocument/2006/relationships/hyperlink" Target="https://azizstan.net/student_image/24647.jpg" TargetMode="External"/><Relationship Id="rId2481" Type="http://schemas.openxmlformats.org/officeDocument/2006/relationships/hyperlink" Target="https://azizstan.net/student_image_voc/6821910023.jpg" TargetMode="External"/><Relationship Id="rId560" Type="http://schemas.openxmlformats.org/officeDocument/2006/relationships/hyperlink" Target="https://azizstan.net/student_image/25848.jpg" TargetMode="External"/><Relationship Id="rId1151" Type="http://schemas.openxmlformats.org/officeDocument/2006/relationships/hyperlink" Target="https://azizstan.net/student_image/24657.jpg" TargetMode="External"/><Relationship Id="rId2482" Type="http://schemas.openxmlformats.org/officeDocument/2006/relationships/hyperlink" Target="https://azizstan.net/student_image_voc/6821910026.jpg" TargetMode="External"/><Relationship Id="rId1152" Type="http://schemas.openxmlformats.org/officeDocument/2006/relationships/hyperlink" Target="https://azizstan.net/student_image/24658.jpg" TargetMode="External"/><Relationship Id="rId2483" Type="http://schemas.openxmlformats.org/officeDocument/2006/relationships/hyperlink" Target="https://azizstan.net/student_image_voc/6821910027.jpg" TargetMode="External"/><Relationship Id="rId1153" Type="http://schemas.openxmlformats.org/officeDocument/2006/relationships/hyperlink" Target="https://azizstan.net/student_image/24678.jpg" TargetMode="External"/><Relationship Id="rId2000" Type="http://schemas.openxmlformats.org/officeDocument/2006/relationships/hyperlink" Target="https://azizstan.net/student_image/25938.jpg" TargetMode="External"/><Relationship Id="rId2484" Type="http://schemas.openxmlformats.org/officeDocument/2006/relationships/hyperlink" Target="https://azizstan.net/student_image_voc/6821910028.jpg" TargetMode="External"/><Relationship Id="rId565" Type="http://schemas.openxmlformats.org/officeDocument/2006/relationships/hyperlink" Target="https://azizstan.net/student_image/25979.jpg" TargetMode="External"/><Relationship Id="rId1154" Type="http://schemas.openxmlformats.org/officeDocument/2006/relationships/hyperlink" Target="https://azizstan.net/student_image/24704.jpg" TargetMode="External"/><Relationship Id="rId2001" Type="http://schemas.openxmlformats.org/officeDocument/2006/relationships/hyperlink" Target="https://azizstan.net/student_image/25982.jpg" TargetMode="External"/><Relationship Id="rId2485" Type="http://schemas.openxmlformats.org/officeDocument/2006/relationships/hyperlink" Target="https://azizstan.net/student_image_voc/6821910031.jpg" TargetMode="External"/><Relationship Id="rId564" Type="http://schemas.openxmlformats.org/officeDocument/2006/relationships/hyperlink" Target="https://azizstan.net/student_image/25904.jpg" TargetMode="External"/><Relationship Id="rId1155" Type="http://schemas.openxmlformats.org/officeDocument/2006/relationships/hyperlink" Target="https://azizstan.net/student_image/24713.jpg" TargetMode="External"/><Relationship Id="rId2002" Type="http://schemas.openxmlformats.org/officeDocument/2006/relationships/hyperlink" Target="https://azizstan.net/student_image/26423.jpg" TargetMode="External"/><Relationship Id="rId2486" Type="http://schemas.openxmlformats.org/officeDocument/2006/relationships/hyperlink" Target="https://azizstan.net/student_image_voc/6821910037.jpg" TargetMode="External"/><Relationship Id="rId563" Type="http://schemas.openxmlformats.org/officeDocument/2006/relationships/hyperlink" Target="https://azizstan.net/student_image/25893.jpg" TargetMode="External"/><Relationship Id="rId1156" Type="http://schemas.openxmlformats.org/officeDocument/2006/relationships/hyperlink" Target="https://azizstan.net/student_image/24719.jpg" TargetMode="External"/><Relationship Id="rId2003" Type="http://schemas.openxmlformats.org/officeDocument/2006/relationships/hyperlink" Target="https://azizstan.net/student_image/23364.jpg" TargetMode="External"/><Relationship Id="rId2487" Type="http://schemas.openxmlformats.org/officeDocument/2006/relationships/hyperlink" Target="https://azizstan.net/student_image_voc/6821910040.jpg" TargetMode="External"/><Relationship Id="rId562" Type="http://schemas.openxmlformats.org/officeDocument/2006/relationships/hyperlink" Target="https://azizstan.net/student_image/25888.jpg" TargetMode="External"/><Relationship Id="rId1157" Type="http://schemas.openxmlformats.org/officeDocument/2006/relationships/hyperlink" Target="https://azizstan.net/student_image/24730.jpg" TargetMode="External"/><Relationship Id="rId2004" Type="http://schemas.openxmlformats.org/officeDocument/2006/relationships/hyperlink" Target="https://azizstan.net/student_image/23408.jpg" TargetMode="External"/><Relationship Id="rId2488" Type="http://schemas.openxmlformats.org/officeDocument/2006/relationships/hyperlink" Target="https://azizstan.net/student_image_voc/6821910041.jpg" TargetMode="External"/><Relationship Id="rId1147" Type="http://schemas.openxmlformats.org/officeDocument/2006/relationships/hyperlink" Target="https://azizstan.net/student_image/24628.jpg" TargetMode="External"/><Relationship Id="rId2478" Type="http://schemas.openxmlformats.org/officeDocument/2006/relationships/hyperlink" Target="https://azizstan.net/student_image_voc/6821910016.jpg" TargetMode="External"/><Relationship Id="rId1148" Type="http://schemas.openxmlformats.org/officeDocument/2006/relationships/hyperlink" Target="https://azizstan.net/student_image/24632.jpg" TargetMode="External"/><Relationship Id="rId2479" Type="http://schemas.openxmlformats.org/officeDocument/2006/relationships/hyperlink" Target="https://azizstan.net/student_image_voc/6821910018.jpg" TargetMode="External"/><Relationship Id="rId1149" Type="http://schemas.openxmlformats.org/officeDocument/2006/relationships/hyperlink" Target="https://azizstan.net/student_image/24639.jpg" TargetMode="External"/><Relationship Id="rId558" Type="http://schemas.openxmlformats.org/officeDocument/2006/relationships/hyperlink" Target="https://azizstan.net/student_image/25803.jpg" TargetMode="External"/><Relationship Id="rId557" Type="http://schemas.openxmlformats.org/officeDocument/2006/relationships/hyperlink" Target="https://azizstan.net/student_image/25782.jpg" TargetMode="External"/><Relationship Id="rId556" Type="http://schemas.openxmlformats.org/officeDocument/2006/relationships/hyperlink" Target="https://azizstan.net/student_image/25776.jpg" TargetMode="External"/><Relationship Id="rId555" Type="http://schemas.openxmlformats.org/officeDocument/2006/relationships/hyperlink" Target="https://azizstan.net/student_image/25766.jpg" TargetMode="External"/><Relationship Id="rId559" Type="http://schemas.openxmlformats.org/officeDocument/2006/relationships/hyperlink" Target="https://azizstan.net/student_image/25839.jpg" TargetMode="External"/><Relationship Id="rId550" Type="http://schemas.openxmlformats.org/officeDocument/2006/relationships/hyperlink" Target="https://azizstan.net/student_image/25716.jpg" TargetMode="External"/><Relationship Id="rId2470" Type="http://schemas.openxmlformats.org/officeDocument/2006/relationships/hyperlink" Target="https://azizstan.net/student_image/25308.jpg" TargetMode="External"/><Relationship Id="rId1140" Type="http://schemas.openxmlformats.org/officeDocument/2006/relationships/hyperlink" Target="https://azizstan.net/student_image/26789.jpg" TargetMode="External"/><Relationship Id="rId2471" Type="http://schemas.openxmlformats.org/officeDocument/2006/relationships/hyperlink" Target="https://azizstan.net/student_image/25325.jpg" TargetMode="External"/><Relationship Id="rId1141" Type="http://schemas.openxmlformats.org/officeDocument/2006/relationships/hyperlink" Target="https://azizstan.net/student_image/24597.jpg" TargetMode="External"/><Relationship Id="rId2472" Type="http://schemas.openxmlformats.org/officeDocument/2006/relationships/hyperlink" Target="https://azizstan.net/student_image/25345.jpg" TargetMode="External"/><Relationship Id="rId1142" Type="http://schemas.openxmlformats.org/officeDocument/2006/relationships/hyperlink" Target="https://azizstan.net/student_image/24609.jpg" TargetMode="External"/><Relationship Id="rId2473" Type="http://schemas.openxmlformats.org/officeDocument/2006/relationships/hyperlink" Target="https://azizstan.net/student_image/25926.jpg" TargetMode="External"/><Relationship Id="rId554" Type="http://schemas.openxmlformats.org/officeDocument/2006/relationships/hyperlink" Target="https://azizstan.net/student_image/25750.jpg" TargetMode="External"/><Relationship Id="rId1143" Type="http://schemas.openxmlformats.org/officeDocument/2006/relationships/hyperlink" Target="https://azizstan.net/student_image/24616.jpg" TargetMode="External"/><Relationship Id="rId2474" Type="http://schemas.openxmlformats.org/officeDocument/2006/relationships/hyperlink" Target="https://azizstan.net/student_image/25961.jpg" TargetMode="External"/><Relationship Id="rId553" Type="http://schemas.openxmlformats.org/officeDocument/2006/relationships/hyperlink" Target="https://azizstan.net/student_image/25744.jpg" TargetMode="External"/><Relationship Id="rId1144" Type="http://schemas.openxmlformats.org/officeDocument/2006/relationships/hyperlink" Target="https://azizstan.net/student_image/24624.jpg" TargetMode="External"/><Relationship Id="rId2475" Type="http://schemas.openxmlformats.org/officeDocument/2006/relationships/hyperlink" Target="https://azizstan.net/student_image/25972.jpg" TargetMode="External"/><Relationship Id="rId552" Type="http://schemas.openxmlformats.org/officeDocument/2006/relationships/hyperlink" Target="https://azizstan.net/student_image/25743.jpg" TargetMode="External"/><Relationship Id="rId1145" Type="http://schemas.openxmlformats.org/officeDocument/2006/relationships/hyperlink" Target="https://azizstan.net/student_image/24625.jpg" TargetMode="External"/><Relationship Id="rId2476" Type="http://schemas.openxmlformats.org/officeDocument/2006/relationships/hyperlink" Target="https://azizstan.net/student_image/26002.jpg" TargetMode="External"/><Relationship Id="rId551" Type="http://schemas.openxmlformats.org/officeDocument/2006/relationships/hyperlink" Target="https://azizstan.net/student_image/25721.jpg" TargetMode="External"/><Relationship Id="rId1146" Type="http://schemas.openxmlformats.org/officeDocument/2006/relationships/hyperlink" Target="https://azizstan.net/student_image/24627.jpg" TargetMode="External"/><Relationship Id="rId2477" Type="http://schemas.openxmlformats.org/officeDocument/2006/relationships/hyperlink" Target="https://azizstan.net/student_image/26557.jpg" TargetMode="External"/><Relationship Id="rId2090" Type="http://schemas.openxmlformats.org/officeDocument/2006/relationships/hyperlink" Target="https://azizstan.net/student_image/22050.jpg" TargetMode="External"/><Relationship Id="rId2091" Type="http://schemas.openxmlformats.org/officeDocument/2006/relationships/hyperlink" Target="https://azizstan.net/student_image/22152.jpg" TargetMode="External"/><Relationship Id="rId2092" Type="http://schemas.openxmlformats.org/officeDocument/2006/relationships/hyperlink" Target="https://azizstan.net/student_image/22178.jpg" TargetMode="External"/><Relationship Id="rId2093" Type="http://schemas.openxmlformats.org/officeDocument/2006/relationships/hyperlink" Target="https://azizstan.net/student_image/22195.jpg" TargetMode="External"/><Relationship Id="rId2094" Type="http://schemas.openxmlformats.org/officeDocument/2006/relationships/hyperlink" Target="https://azizstan.net/student_image/22235.jpg" TargetMode="External"/><Relationship Id="rId2095" Type="http://schemas.openxmlformats.org/officeDocument/2006/relationships/hyperlink" Target="https://azizstan.net/student_image/22440.jpg" TargetMode="External"/><Relationship Id="rId2096" Type="http://schemas.openxmlformats.org/officeDocument/2006/relationships/hyperlink" Target="https://azizstan.net/student_image/22526.jpg" TargetMode="External"/><Relationship Id="rId2097" Type="http://schemas.openxmlformats.org/officeDocument/2006/relationships/hyperlink" Target="https://azizstan.net/student_image/23189.jpg" TargetMode="External"/><Relationship Id="rId2098" Type="http://schemas.openxmlformats.org/officeDocument/2006/relationships/hyperlink" Target="https://azizstan.net/student_image/23261.jpg" TargetMode="External"/><Relationship Id="rId2099" Type="http://schemas.openxmlformats.org/officeDocument/2006/relationships/hyperlink" Target="https://azizstan.net/student_image/24095.jpg" TargetMode="External"/><Relationship Id="rId2060" Type="http://schemas.openxmlformats.org/officeDocument/2006/relationships/hyperlink" Target="https://azizstan.net/student_image/23583.jpg" TargetMode="External"/><Relationship Id="rId2061" Type="http://schemas.openxmlformats.org/officeDocument/2006/relationships/hyperlink" Target="https://azizstan.net/student_image/23596.jpg" TargetMode="External"/><Relationship Id="rId2062" Type="http://schemas.openxmlformats.org/officeDocument/2006/relationships/hyperlink" Target="https://azizstan.net/student_image/23609.jpg" TargetMode="External"/><Relationship Id="rId2063" Type="http://schemas.openxmlformats.org/officeDocument/2006/relationships/hyperlink" Target="https://azizstan.net/student_image/23615.jpg" TargetMode="External"/><Relationship Id="rId2064" Type="http://schemas.openxmlformats.org/officeDocument/2006/relationships/hyperlink" Target="https://azizstan.net/student_image/23641.jpg" TargetMode="External"/><Relationship Id="rId2065" Type="http://schemas.openxmlformats.org/officeDocument/2006/relationships/hyperlink" Target="https://azizstan.net/student_image/23659.jpg" TargetMode="External"/><Relationship Id="rId2066" Type="http://schemas.openxmlformats.org/officeDocument/2006/relationships/hyperlink" Target="https://azizstan.net/student_image/23672.jpg" TargetMode="External"/><Relationship Id="rId2067" Type="http://schemas.openxmlformats.org/officeDocument/2006/relationships/hyperlink" Target="https://azizstan.net/student_image/23692.jpg" TargetMode="External"/><Relationship Id="rId2068" Type="http://schemas.openxmlformats.org/officeDocument/2006/relationships/hyperlink" Target="https://azizstan.net/student_image/23760.jpg" TargetMode="External"/><Relationship Id="rId2069" Type="http://schemas.openxmlformats.org/officeDocument/2006/relationships/hyperlink" Target="https://azizstan.net/student_image/23766.jpg" TargetMode="External"/><Relationship Id="rId2050" Type="http://schemas.openxmlformats.org/officeDocument/2006/relationships/hyperlink" Target="https://azizstan.net/student_image/23459.jpg" TargetMode="External"/><Relationship Id="rId2051" Type="http://schemas.openxmlformats.org/officeDocument/2006/relationships/hyperlink" Target="https://azizstan.net/student_image/23491.jpg" TargetMode="External"/><Relationship Id="rId495" Type="http://schemas.openxmlformats.org/officeDocument/2006/relationships/hyperlink" Target="https://azizstan.net/student_image/26744.jpg" TargetMode="External"/><Relationship Id="rId2052" Type="http://schemas.openxmlformats.org/officeDocument/2006/relationships/hyperlink" Target="https://azizstan.net/student_image/23542.jpg" TargetMode="External"/><Relationship Id="rId494" Type="http://schemas.openxmlformats.org/officeDocument/2006/relationships/hyperlink" Target="https://azizstan.net/student_image/26731.jpg" TargetMode="External"/><Relationship Id="rId2053" Type="http://schemas.openxmlformats.org/officeDocument/2006/relationships/hyperlink" Target="https://azizstan.net/student_image/23547.jpg" TargetMode="External"/><Relationship Id="rId493" Type="http://schemas.openxmlformats.org/officeDocument/2006/relationships/hyperlink" Target="https://azizstan.net/student_image/26718.jpg" TargetMode="External"/><Relationship Id="rId2054" Type="http://schemas.openxmlformats.org/officeDocument/2006/relationships/hyperlink" Target="https://azizstan.net/student_image/23555.jpg" TargetMode="External"/><Relationship Id="rId492" Type="http://schemas.openxmlformats.org/officeDocument/2006/relationships/hyperlink" Target="https://azizstan.net/student_image/26689.jpg" TargetMode="External"/><Relationship Id="rId2055" Type="http://schemas.openxmlformats.org/officeDocument/2006/relationships/hyperlink" Target="https://azizstan.net/student_image/23559.jpg" TargetMode="External"/><Relationship Id="rId499" Type="http://schemas.openxmlformats.org/officeDocument/2006/relationships/hyperlink" Target="https://azizstan.net/student_image/26055.jpg" TargetMode="External"/><Relationship Id="rId2056" Type="http://schemas.openxmlformats.org/officeDocument/2006/relationships/hyperlink" Target="https://azizstan.net/student_image/23561.jpg" TargetMode="External"/><Relationship Id="rId498" Type="http://schemas.openxmlformats.org/officeDocument/2006/relationships/hyperlink" Target="https://azizstan.net/student_image/26052.jpg" TargetMode="External"/><Relationship Id="rId2057" Type="http://schemas.openxmlformats.org/officeDocument/2006/relationships/hyperlink" Target="https://azizstan.net/student_image/23565.jpg" TargetMode="External"/><Relationship Id="rId497" Type="http://schemas.openxmlformats.org/officeDocument/2006/relationships/hyperlink" Target="https://azizstan.net/student_image/26050.jpg" TargetMode="External"/><Relationship Id="rId2058" Type="http://schemas.openxmlformats.org/officeDocument/2006/relationships/hyperlink" Target="https://azizstan.net/student_image/23575.jpg" TargetMode="External"/><Relationship Id="rId496" Type="http://schemas.openxmlformats.org/officeDocument/2006/relationships/hyperlink" Target="https://azizstan.net/student_image/26750.jpg" TargetMode="External"/><Relationship Id="rId2059" Type="http://schemas.openxmlformats.org/officeDocument/2006/relationships/hyperlink" Target="https://azizstan.net/student_image/23582.jpg" TargetMode="External"/><Relationship Id="rId2080" Type="http://schemas.openxmlformats.org/officeDocument/2006/relationships/hyperlink" Target="https://azizstan.net/student_image/23970.jpg" TargetMode="External"/><Relationship Id="rId2081" Type="http://schemas.openxmlformats.org/officeDocument/2006/relationships/hyperlink" Target="https://azizstan.net/student_image/25356.jpg" TargetMode="External"/><Relationship Id="rId2082" Type="http://schemas.openxmlformats.org/officeDocument/2006/relationships/hyperlink" Target="https://azizstan.net/student_image/25660.jpg" TargetMode="External"/><Relationship Id="rId2083" Type="http://schemas.openxmlformats.org/officeDocument/2006/relationships/hyperlink" Target="https://azizstan.net/student_image/25668.jpg" TargetMode="External"/><Relationship Id="rId2084" Type="http://schemas.openxmlformats.org/officeDocument/2006/relationships/hyperlink" Target="https://azizstan.net/student_image/25806.jpg" TargetMode="External"/><Relationship Id="rId2085" Type="http://schemas.openxmlformats.org/officeDocument/2006/relationships/hyperlink" Target="https://azizstan.net/student_image/25840.jpg" TargetMode="External"/><Relationship Id="rId2086" Type="http://schemas.openxmlformats.org/officeDocument/2006/relationships/hyperlink" Target="https://azizstan.net/student_image/26004.jpg" TargetMode="External"/><Relationship Id="rId2087" Type="http://schemas.openxmlformats.org/officeDocument/2006/relationships/hyperlink" Target="https://azizstan.net/student_image/21975.jpg" TargetMode="External"/><Relationship Id="rId2088" Type="http://schemas.openxmlformats.org/officeDocument/2006/relationships/hyperlink" Target="https://azizstan.net/student_image/21978.jpg" TargetMode="External"/><Relationship Id="rId2089" Type="http://schemas.openxmlformats.org/officeDocument/2006/relationships/hyperlink" Target="https://azizstan.net/student_image/22041.jpg" TargetMode="External"/><Relationship Id="rId2070" Type="http://schemas.openxmlformats.org/officeDocument/2006/relationships/hyperlink" Target="https://azizstan.net/student_image/23799.jpg" TargetMode="External"/><Relationship Id="rId2071" Type="http://schemas.openxmlformats.org/officeDocument/2006/relationships/hyperlink" Target="https://azizstan.net/student_image/23800.jpg" TargetMode="External"/><Relationship Id="rId2072" Type="http://schemas.openxmlformats.org/officeDocument/2006/relationships/hyperlink" Target="https://azizstan.net/student_image/23803.jpg" TargetMode="External"/><Relationship Id="rId2073" Type="http://schemas.openxmlformats.org/officeDocument/2006/relationships/hyperlink" Target="https://azizstan.net/student_image/23812.jpg" TargetMode="External"/><Relationship Id="rId2074" Type="http://schemas.openxmlformats.org/officeDocument/2006/relationships/hyperlink" Target="https://azizstan.net/student_image/23813.jpg" TargetMode="External"/><Relationship Id="rId2075" Type="http://schemas.openxmlformats.org/officeDocument/2006/relationships/hyperlink" Target="https://azizstan.net/student_image/23820.jpg" TargetMode="External"/><Relationship Id="rId2076" Type="http://schemas.openxmlformats.org/officeDocument/2006/relationships/hyperlink" Target="https://azizstan.net/student_image/23838.jpg" TargetMode="External"/><Relationship Id="rId2077" Type="http://schemas.openxmlformats.org/officeDocument/2006/relationships/hyperlink" Target="https://azizstan.net/student_image/23878.jpg" TargetMode="External"/><Relationship Id="rId2078" Type="http://schemas.openxmlformats.org/officeDocument/2006/relationships/hyperlink" Target="https://azizstan.net/student_image/23907.jpg" TargetMode="External"/><Relationship Id="rId2079" Type="http://schemas.openxmlformats.org/officeDocument/2006/relationships/hyperlink" Target="https://azizstan.net/student_image/23968.jpg" TargetMode="External"/><Relationship Id="rId1610" Type="http://schemas.openxmlformats.org/officeDocument/2006/relationships/hyperlink" Target="https://azizstan.net/student_image/26739.jpg" TargetMode="External"/><Relationship Id="rId1611" Type="http://schemas.openxmlformats.org/officeDocument/2006/relationships/hyperlink" Target="https://azizstan.net/student_image/26795.jpg" TargetMode="External"/><Relationship Id="rId1612" Type="http://schemas.openxmlformats.org/officeDocument/2006/relationships/hyperlink" Target="https://azizstan.net/student_image/26808.jpg" TargetMode="External"/><Relationship Id="rId1613" Type="http://schemas.openxmlformats.org/officeDocument/2006/relationships/hyperlink" Target="https://azizstan.net/student_image/26816.jpg" TargetMode="External"/><Relationship Id="rId1614" Type="http://schemas.openxmlformats.org/officeDocument/2006/relationships/hyperlink" Target="https://azizstan.net/student_image/24045.jpg" TargetMode="External"/><Relationship Id="rId1615" Type="http://schemas.openxmlformats.org/officeDocument/2006/relationships/hyperlink" Target="https://azizstan.net/student_image/24065.jpg" TargetMode="External"/><Relationship Id="rId1616" Type="http://schemas.openxmlformats.org/officeDocument/2006/relationships/hyperlink" Target="https://azizstan.net/student_image/24115.jpg" TargetMode="External"/><Relationship Id="rId907" Type="http://schemas.openxmlformats.org/officeDocument/2006/relationships/hyperlink" Target="https://azizstan.net/student_image/25583.jpg" TargetMode="External"/><Relationship Id="rId1617" Type="http://schemas.openxmlformats.org/officeDocument/2006/relationships/hyperlink" Target="https://azizstan.net/student_image/24122.jpg" TargetMode="External"/><Relationship Id="rId906" Type="http://schemas.openxmlformats.org/officeDocument/2006/relationships/hyperlink" Target="https://azizstan.net/student_image/25551.jpg" TargetMode="External"/><Relationship Id="rId1618" Type="http://schemas.openxmlformats.org/officeDocument/2006/relationships/hyperlink" Target="https://azizstan.net/student_image/24142.jpg" TargetMode="External"/><Relationship Id="rId905" Type="http://schemas.openxmlformats.org/officeDocument/2006/relationships/hyperlink" Target="https://azizstan.net/student_image/25542.jpg" TargetMode="External"/><Relationship Id="rId1619" Type="http://schemas.openxmlformats.org/officeDocument/2006/relationships/hyperlink" Target="https://azizstan.net/student_image/24148.jpg" TargetMode="External"/><Relationship Id="rId904" Type="http://schemas.openxmlformats.org/officeDocument/2006/relationships/hyperlink" Target="https://azizstan.net/student_image/25529.jpg" TargetMode="External"/><Relationship Id="rId909" Type="http://schemas.openxmlformats.org/officeDocument/2006/relationships/hyperlink" Target="https://azizstan.net/student_image/25624.jpg" TargetMode="External"/><Relationship Id="rId908" Type="http://schemas.openxmlformats.org/officeDocument/2006/relationships/hyperlink" Target="https://azizstan.net/student_image/25623.jpg" TargetMode="External"/><Relationship Id="rId903" Type="http://schemas.openxmlformats.org/officeDocument/2006/relationships/hyperlink" Target="https://azizstan.net/student_image/25500.jpg" TargetMode="External"/><Relationship Id="rId902" Type="http://schemas.openxmlformats.org/officeDocument/2006/relationships/hyperlink" Target="https://azizstan.net/student_image/25497.jpg" TargetMode="External"/><Relationship Id="rId901" Type="http://schemas.openxmlformats.org/officeDocument/2006/relationships/hyperlink" Target="https://azizstan.net/student_image/25466.jpg" TargetMode="External"/><Relationship Id="rId900" Type="http://schemas.openxmlformats.org/officeDocument/2006/relationships/hyperlink" Target="https://azizstan.net/student_image/25457.jpg" TargetMode="External"/><Relationship Id="rId1600" Type="http://schemas.openxmlformats.org/officeDocument/2006/relationships/hyperlink" Target="https://azizstan.net/student_image/26095.jpg" TargetMode="External"/><Relationship Id="rId1601" Type="http://schemas.openxmlformats.org/officeDocument/2006/relationships/hyperlink" Target="https://azizstan.net/student_image/26145.jpg" TargetMode="External"/><Relationship Id="rId1602" Type="http://schemas.openxmlformats.org/officeDocument/2006/relationships/hyperlink" Target="https://azizstan.net/student_image/26212.jpg" TargetMode="External"/><Relationship Id="rId1603" Type="http://schemas.openxmlformats.org/officeDocument/2006/relationships/hyperlink" Target="https://azizstan.net/student_image/26236.jpg" TargetMode="External"/><Relationship Id="rId1604" Type="http://schemas.openxmlformats.org/officeDocument/2006/relationships/hyperlink" Target="https://azizstan.net/student_image/26261.jpg" TargetMode="External"/><Relationship Id="rId1605" Type="http://schemas.openxmlformats.org/officeDocument/2006/relationships/hyperlink" Target="https://azizstan.net/student_image/26342.jpg" TargetMode="External"/><Relationship Id="rId1606" Type="http://schemas.openxmlformats.org/officeDocument/2006/relationships/hyperlink" Target="https://azizstan.net/student_image/26344.jpg" TargetMode="External"/><Relationship Id="rId1607" Type="http://schemas.openxmlformats.org/officeDocument/2006/relationships/hyperlink" Target="https://azizstan.net/student_image/26522.jpg" TargetMode="External"/><Relationship Id="rId1608" Type="http://schemas.openxmlformats.org/officeDocument/2006/relationships/hyperlink" Target="https://azizstan.net/student_image/26695.jpg" TargetMode="External"/><Relationship Id="rId1609" Type="http://schemas.openxmlformats.org/officeDocument/2006/relationships/hyperlink" Target="https://azizstan.net/student_image/26735.jpg" TargetMode="External"/><Relationship Id="rId1631" Type="http://schemas.openxmlformats.org/officeDocument/2006/relationships/hyperlink" Target="https://azizstan.net/student_image/23879.jpg" TargetMode="External"/><Relationship Id="rId1632" Type="http://schemas.openxmlformats.org/officeDocument/2006/relationships/hyperlink" Target="https://azizstan.net/student_image/23996.jpg" TargetMode="External"/><Relationship Id="rId1633" Type="http://schemas.openxmlformats.org/officeDocument/2006/relationships/hyperlink" Target="https://azizstan.net/student_image/24005.jpg" TargetMode="External"/><Relationship Id="rId1634" Type="http://schemas.openxmlformats.org/officeDocument/2006/relationships/hyperlink" Target="https://azizstan.net/student_image/24012.jpg" TargetMode="External"/><Relationship Id="rId1635" Type="http://schemas.openxmlformats.org/officeDocument/2006/relationships/hyperlink" Target="https://azizstan.net/student_image/24017.jpg" TargetMode="External"/><Relationship Id="rId1636" Type="http://schemas.openxmlformats.org/officeDocument/2006/relationships/hyperlink" Target="https://azizstan.net/student_image/24024.jpg" TargetMode="External"/><Relationship Id="rId1637" Type="http://schemas.openxmlformats.org/officeDocument/2006/relationships/hyperlink" Target="https://azizstan.net/student_image/24035.jpg" TargetMode="External"/><Relationship Id="rId1638" Type="http://schemas.openxmlformats.org/officeDocument/2006/relationships/hyperlink" Target="https://azizstan.net/student_image/24040.jpg" TargetMode="External"/><Relationship Id="rId929" Type="http://schemas.openxmlformats.org/officeDocument/2006/relationships/hyperlink" Target="https://azizstan.net/student_image/25353.jpg" TargetMode="External"/><Relationship Id="rId1639" Type="http://schemas.openxmlformats.org/officeDocument/2006/relationships/hyperlink" Target="https://azizstan.net/student_image/24079.jpg" TargetMode="External"/><Relationship Id="rId928" Type="http://schemas.openxmlformats.org/officeDocument/2006/relationships/hyperlink" Target="https://azizstan.net/student_image/25975.jpg" TargetMode="External"/><Relationship Id="rId927" Type="http://schemas.openxmlformats.org/officeDocument/2006/relationships/hyperlink" Target="https://azizstan.net/student_image/25966.jpg" TargetMode="External"/><Relationship Id="rId926" Type="http://schemas.openxmlformats.org/officeDocument/2006/relationships/hyperlink" Target="https://azizstan.net/student_image/25949.jpg" TargetMode="External"/><Relationship Id="rId921" Type="http://schemas.openxmlformats.org/officeDocument/2006/relationships/hyperlink" Target="https://azizstan.net/student_image/25778.jpg" TargetMode="External"/><Relationship Id="rId920" Type="http://schemas.openxmlformats.org/officeDocument/2006/relationships/hyperlink" Target="https://azizstan.net/student_image/25773.jpg" TargetMode="External"/><Relationship Id="rId925" Type="http://schemas.openxmlformats.org/officeDocument/2006/relationships/hyperlink" Target="https://azizstan.net/student_image/25911.jpg" TargetMode="External"/><Relationship Id="rId924" Type="http://schemas.openxmlformats.org/officeDocument/2006/relationships/hyperlink" Target="https://azizstan.net/student_image/25910.jpg" TargetMode="External"/><Relationship Id="rId923" Type="http://schemas.openxmlformats.org/officeDocument/2006/relationships/hyperlink" Target="https://azizstan.net/student_image/25861.jpg" TargetMode="External"/><Relationship Id="rId922" Type="http://schemas.openxmlformats.org/officeDocument/2006/relationships/hyperlink" Target="https://azizstan.net/student_image/25779.jpg" TargetMode="External"/><Relationship Id="rId1630" Type="http://schemas.openxmlformats.org/officeDocument/2006/relationships/hyperlink" Target="https://azizstan.net/student_image/23592.jpg" TargetMode="External"/><Relationship Id="rId1620" Type="http://schemas.openxmlformats.org/officeDocument/2006/relationships/hyperlink" Target="https://azizstan.net/student_image/24175.jpg" TargetMode="External"/><Relationship Id="rId1621" Type="http://schemas.openxmlformats.org/officeDocument/2006/relationships/hyperlink" Target="https://azizstan.net/student_image/24229.jpg" TargetMode="External"/><Relationship Id="rId1622" Type="http://schemas.openxmlformats.org/officeDocument/2006/relationships/hyperlink" Target="https://azizstan.net/student_image/24465.jpg" TargetMode="External"/><Relationship Id="rId1623" Type="http://schemas.openxmlformats.org/officeDocument/2006/relationships/hyperlink" Target="https://azizstan.net/student_image/24516.jpg" TargetMode="External"/><Relationship Id="rId1624" Type="http://schemas.openxmlformats.org/officeDocument/2006/relationships/hyperlink" Target="https://azizstan.net/student_image/26599.jpg" TargetMode="External"/><Relationship Id="rId1625" Type="http://schemas.openxmlformats.org/officeDocument/2006/relationships/hyperlink" Target="https://azizstan.net/student_image/26657.jpg" TargetMode="External"/><Relationship Id="rId1626" Type="http://schemas.openxmlformats.org/officeDocument/2006/relationships/hyperlink" Target="https://azizstan.net/student_image/26749.jpg" TargetMode="External"/><Relationship Id="rId1627" Type="http://schemas.openxmlformats.org/officeDocument/2006/relationships/hyperlink" Target="https://azizstan.net/student_image/26774.jpg" TargetMode="External"/><Relationship Id="rId918" Type="http://schemas.openxmlformats.org/officeDocument/2006/relationships/hyperlink" Target="https://azizstan.net/student_image/25760.jpg" TargetMode="External"/><Relationship Id="rId1628" Type="http://schemas.openxmlformats.org/officeDocument/2006/relationships/hyperlink" Target="https://azizstan.net/student_image/26787.jpg" TargetMode="External"/><Relationship Id="rId917" Type="http://schemas.openxmlformats.org/officeDocument/2006/relationships/hyperlink" Target="https://azizstan.net/student_image/25746.jpg" TargetMode="External"/><Relationship Id="rId1629" Type="http://schemas.openxmlformats.org/officeDocument/2006/relationships/hyperlink" Target="https://azizstan.net/student_image/23507.jpg" TargetMode="External"/><Relationship Id="rId916" Type="http://schemas.openxmlformats.org/officeDocument/2006/relationships/hyperlink" Target="https://azizstan.net/student_image/25675.jpg" TargetMode="External"/><Relationship Id="rId915" Type="http://schemas.openxmlformats.org/officeDocument/2006/relationships/hyperlink" Target="https://azizstan.net/student_image/25673.jpg" TargetMode="External"/><Relationship Id="rId919" Type="http://schemas.openxmlformats.org/officeDocument/2006/relationships/hyperlink" Target="https://azizstan.net/student_image/25770.jpg" TargetMode="External"/><Relationship Id="rId910" Type="http://schemas.openxmlformats.org/officeDocument/2006/relationships/hyperlink" Target="https://azizstan.net/student_image/25631.jpg" TargetMode="External"/><Relationship Id="rId914" Type="http://schemas.openxmlformats.org/officeDocument/2006/relationships/hyperlink" Target="https://azizstan.net/student_image/25671.jpg" TargetMode="External"/><Relationship Id="rId913" Type="http://schemas.openxmlformats.org/officeDocument/2006/relationships/hyperlink" Target="https://azizstan.net/student_image/25650.jpg" TargetMode="External"/><Relationship Id="rId912" Type="http://schemas.openxmlformats.org/officeDocument/2006/relationships/hyperlink" Target="https://azizstan.net/student_image/25648.jpg" TargetMode="External"/><Relationship Id="rId911" Type="http://schemas.openxmlformats.org/officeDocument/2006/relationships/hyperlink" Target="https://azizstan.net/student_image/25635.jpg" TargetMode="External"/><Relationship Id="rId1213" Type="http://schemas.openxmlformats.org/officeDocument/2006/relationships/hyperlink" Target="https://azizstan.net/student_image/24994.jpg" TargetMode="External"/><Relationship Id="rId1697" Type="http://schemas.openxmlformats.org/officeDocument/2006/relationships/hyperlink" Target="https://azizstan.net/student_image/25317.jpg" TargetMode="External"/><Relationship Id="rId2544" Type="http://schemas.openxmlformats.org/officeDocument/2006/relationships/hyperlink" Target="https://azizstan.net/student_image_voc/6721910182.jpg" TargetMode="External"/><Relationship Id="rId1214" Type="http://schemas.openxmlformats.org/officeDocument/2006/relationships/hyperlink" Target="https://azizstan.net/student_image/25028.jpg" TargetMode="External"/><Relationship Id="rId1698" Type="http://schemas.openxmlformats.org/officeDocument/2006/relationships/hyperlink" Target="https://azizstan.net/student_image/25829.jpg" TargetMode="External"/><Relationship Id="rId2545" Type="http://schemas.openxmlformats.org/officeDocument/2006/relationships/hyperlink" Target="https://azizstan.net/student_image_voc/6721910183.jpg" TargetMode="External"/><Relationship Id="rId1215" Type="http://schemas.openxmlformats.org/officeDocument/2006/relationships/hyperlink" Target="https://azizstan.net/student_image/25058.jpg" TargetMode="External"/><Relationship Id="rId1699" Type="http://schemas.openxmlformats.org/officeDocument/2006/relationships/hyperlink" Target="https://azizstan.net/student_image/26015.jpg" TargetMode="External"/><Relationship Id="rId2546" Type="http://schemas.openxmlformats.org/officeDocument/2006/relationships/hyperlink" Target="https://azizstan.net/student_image_voc/6721910185.jpg" TargetMode="External"/><Relationship Id="rId1216" Type="http://schemas.openxmlformats.org/officeDocument/2006/relationships/hyperlink" Target="https://azizstan.net/student_image/25111.jpg" TargetMode="External"/><Relationship Id="rId2547" Type="http://schemas.openxmlformats.org/officeDocument/2006/relationships/hyperlink" Target="https://azizstan.net/student_image_voc/6721910122.jpg" TargetMode="External"/><Relationship Id="rId1217" Type="http://schemas.openxmlformats.org/officeDocument/2006/relationships/hyperlink" Target="https://azizstan.net/student_image/25135.jpg" TargetMode="External"/><Relationship Id="rId2548" Type="http://schemas.openxmlformats.org/officeDocument/2006/relationships/hyperlink" Target="https://azizstan.net/student_image_voc/6721910123.jpg" TargetMode="External"/><Relationship Id="rId1218" Type="http://schemas.openxmlformats.org/officeDocument/2006/relationships/hyperlink" Target="https://azizstan.net/student_image/25153.jpg" TargetMode="External"/><Relationship Id="rId2549" Type="http://schemas.openxmlformats.org/officeDocument/2006/relationships/hyperlink" Target="https://azizstan.net/student_image_voc/6721910124.jpg" TargetMode="External"/><Relationship Id="rId1219" Type="http://schemas.openxmlformats.org/officeDocument/2006/relationships/hyperlink" Target="https://azizstan.net/student_image/25157.jpg" TargetMode="External"/><Relationship Id="rId866" Type="http://schemas.openxmlformats.org/officeDocument/2006/relationships/hyperlink" Target="https://azizstan.net/student_image/25429.jpg" TargetMode="External"/><Relationship Id="rId865" Type="http://schemas.openxmlformats.org/officeDocument/2006/relationships/hyperlink" Target="https://azizstan.net/student_image/25424.jpg" TargetMode="External"/><Relationship Id="rId864" Type="http://schemas.openxmlformats.org/officeDocument/2006/relationships/hyperlink" Target="https://azizstan.net/student_image/25421.jpg" TargetMode="External"/><Relationship Id="rId863" Type="http://schemas.openxmlformats.org/officeDocument/2006/relationships/hyperlink" Target="https://azizstan.net/student_image/25393.jpg" TargetMode="External"/><Relationship Id="rId869" Type="http://schemas.openxmlformats.org/officeDocument/2006/relationships/hyperlink" Target="https://azizstan.net/student_image/25442.jpg" TargetMode="External"/><Relationship Id="rId868" Type="http://schemas.openxmlformats.org/officeDocument/2006/relationships/hyperlink" Target="https://azizstan.net/student_image/25441.jpg" TargetMode="External"/><Relationship Id="rId867" Type="http://schemas.openxmlformats.org/officeDocument/2006/relationships/hyperlink" Target="https://azizstan.net/student_image/25440.jpg" TargetMode="External"/><Relationship Id="rId1690" Type="http://schemas.openxmlformats.org/officeDocument/2006/relationships/hyperlink" Target="https://azizstan.net/student_image/24412.jpg" TargetMode="External"/><Relationship Id="rId1691" Type="http://schemas.openxmlformats.org/officeDocument/2006/relationships/hyperlink" Target="https://azizstan.net/student_image/24419.jpg" TargetMode="External"/><Relationship Id="rId1692" Type="http://schemas.openxmlformats.org/officeDocument/2006/relationships/hyperlink" Target="https://azizstan.net/student_image/24476.jpg" TargetMode="External"/><Relationship Id="rId862" Type="http://schemas.openxmlformats.org/officeDocument/2006/relationships/hyperlink" Target="https://azizstan.net/student_image/25392.jpg" TargetMode="External"/><Relationship Id="rId1693" Type="http://schemas.openxmlformats.org/officeDocument/2006/relationships/hyperlink" Target="https://azizstan.net/student_image/24480.jpg" TargetMode="External"/><Relationship Id="rId2540" Type="http://schemas.openxmlformats.org/officeDocument/2006/relationships/hyperlink" Target="https://azizstan.net/student_image_voc/6721910155.jpg" TargetMode="External"/><Relationship Id="rId861" Type="http://schemas.openxmlformats.org/officeDocument/2006/relationships/hyperlink" Target="https://azizstan.net/student_image/25381.jpg" TargetMode="External"/><Relationship Id="rId1210" Type="http://schemas.openxmlformats.org/officeDocument/2006/relationships/hyperlink" Target="https://azizstan.net/student_image/24965.jpg" TargetMode="External"/><Relationship Id="rId1694" Type="http://schemas.openxmlformats.org/officeDocument/2006/relationships/hyperlink" Target="https://azizstan.net/student_image/24490.jpg" TargetMode="External"/><Relationship Id="rId2541" Type="http://schemas.openxmlformats.org/officeDocument/2006/relationships/hyperlink" Target="https://azizstan.net/student_image_voc/6721910167.jpg" TargetMode="External"/><Relationship Id="rId860" Type="http://schemas.openxmlformats.org/officeDocument/2006/relationships/hyperlink" Target="https://azizstan.net/student_image/25378.jpg" TargetMode="External"/><Relationship Id="rId1211" Type="http://schemas.openxmlformats.org/officeDocument/2006/relationships/hyperlink" Target="https://azizstan.net/student_image/24976.jpg" TargetMode="External"/><Relationship Id="rId1695" Type="http://schemas.openxmlformats.org/officeDocument/2006/relationships/hyperlink" Target="https://azizstan.net/student_image/24503.jpg" TargetMode="External"/><Relationship Id="rId2542" Type="http://schemas.openxmlformats.org/officeDocument/2006/relationships/hyperlink" Target="https://azizstan.net/student_image_voc/6721910168.jpg" TargetMode="External"/><Relationship Id="rId1212" Type="http://schemas.openxmlformats.org/officeDocument/2006/relationships/hyperlink" Target="https://azizstan.net/student_image/24989.jpg" TargetMode="External"/><Relationship Id="rId1696" Type="http://schemas.openxmlformats.org/officeDocument/2006/relationships/hyperlink" Target="https://azizstan.net/student_image/24512.jpg" TargetMode="External"/><Relationship Id="rId2543" Type="http://schemas.openxmlformats.org/officeDocument/2006/relationships/hyperlink" Target="https://azizstan.net/student_image_voc/6721910180.jpg" TargetMode="External"/><Relationship Id="rId1202" Type="http://schemas.openxmlformats.org/officeDocument/2006/relationships/hyperlink" Target="https://azizstan.net/student_image/24899.jpg" TargetMode="External"/><Relationship Id="rId1686" Type="http://schemas.openxmlformats.org/officeDocument/2006/relationships/hyperlink" Target="https://azizstan.net/student_image/24358.jpg" TargetMode="External"/><Relationship Id="rId2533" Type="http://schemas.openxmlformats.org/officeDocument/2006/relationships/hyperlink" Target="https://azizstan.net/student_image_voc/6721910135.jpg" TargetMode="External"/><Relationship Id="rId1203" Type="http://schemas.openxmlformats.org/officeDocument/2006/relationships/hyperlink" Target="https://azizstan.net/student_image/24906.jpg" TargetMode="External"/><Relationship Id="rId1687" Type="http://schemas.openxmlformats.org/officeDocument/2006/relationships/hyperlink" Target="https://azizstan.net/student_image/24363.jpg" TargetMode="External"/><Relationship Id="rId2534" Type="http://schemas.openxmlformats.org/officeDocument/2006/relationships/hyperlink" Target="https://azizstan.net/student_image_voc/6721910137.jpg" TargetMode="External"/><Relationship Id="rId1204" Type="http://schemas.openxmlformats.org/officeDocument/2006/relationships/hyperlink" Target="https://azizstan.net/student_image/24911.jpg" TargetMode="External"/><Relationship Id="rId1688" Type="http://schemas.openxmlformats.org/officeDocument/2006/relationships/hyperlink" Target="https://azizstan.net/student_image/24396.jpg" TargetMode="External"/><Relationship Id="rId2535" Type="http://schemas.openxmlformats.org/officeDocument/2006/relationships/hyperlink" Target="https://azizstan.net/student_image_voc/6721910138.jpg" TargetMode="External"/><Relationship Id="rId1205" Type="http://schemas.openxmlformats.org/officeDocument/2006/relationships/hyperlink" Target="https://azizstan.net/student_image/24940.jpg" TargetMode="External"/><Relationship Id="rId1689" Type="http://schemas.openxmlformats.org/officeDocument/2006/relationships/hyperlink" Target="https://azizstan.net/student_image/24402.jpg" TargetMode="External"/><Relationship Id="rId2536" Type="http://schemas.openxmlformats.org/officeDocument/2006/relationships/hyperlink" Target="https://azizstan.net/student_image_voc/6721910143.jpg" TargetMode="External"/><Relationship Id="rId1206" Type="http://schemas.openxmlformats.org/officeDocument/2006/relationships/hyperlink" Target="https://azizstan.net/student_image/24942.jpg" TargetMode="External"/><Relationship Id="rId2537" Type="http://schemas.openxmlformats.org/officeDocument/2006/relationships/hyperlink" Target="https://azizstan.net/student_image_voc/6721910149.jpg" TargetMode="External"/><Relationship Id="rId1207" Type="http://schemas.openxmlformats.org/officeDocument/2006/relationships/hyperlink" Target="https://azizstan.net/student_image/24953.jpg" TargetMode="External"/><Relationship Id="rId2538" Type="http://schemas.openxmlformats.org/officeDocument/2006/relationships/hyperlink" Target="https://azizstan.net/student_image_voc/6721910150.jpg" TargetMode="External"/><Relationship Id="rId1208" Type="http://schemas.openxmlformats.org/officeDocument/2006/relationships/hyperlink" Target="https://azizstan.net/student_image/24954.jpg" TargetMode="External"/><Relationship Id="rId2539" Type="http://schemas.openxmlformats.org/officeDocument/2006/relationships/hyperlink" Target="https://azizstan.net/student_image_voc/6721910153.jpg" TargetMode="External"/><Relationship Id="rId1209" Type="http://schemas.openxmlformats.org/officeDocument/2006/relationships/hyperlink" Target="https://azizstan.net/student_image/24956.jpg" TargetMode="External"/><Relationship Id="rId855" Type="http://schemas.openxmlformats.org/officeDocument/2006/relationships/hyperlink" Target="https://azizstan.net/student_image/25943.jpg" TargetMode="External"/><Relationship Id="rId854" Type="http://schemas.openxmlformats.org/officeDocument/2006/relationships/hyperlink" Target="https://azizstan.net/student_image/25930.jpg" TargetMode="External"/><Relationship Id="rId853" Type="http://schemas.openxmlformats.org/officeDocument/2006/relationships/hyperlink" Target="https://azizstan.net/student_image/25905.jpg" TargetMode="External"/><Relationship Id="rId852" Type="http://schemas.openxmlformats.org/officeDocument/2006/relationships/hyperlink" Target="https://azizstan.net/student_image/25867.jpg" TargetMode="External"/><Relationship Id="rId859" Type="http://schemas.openxmlformats.org/officeDocument/2006/relationships/hyperlink" Target="https://azizstan.net/student_image/25373.jpg" TargetMode="External"/><Relationship Id="rId858" Type="http://schemas.openxmlformats.org/officeDocument/2006/relationships/hyperlink" Target="https://azizstan.net/student_image/25366.jpg" TargetMode="External"/><Relationship Id="rId857" Type="http://schemas.openxmlformats.org/officeDocument/2006/relationships/hyperlink" Target="https://azizstan.net/student_image/25998.jpg" TargetMode="External"/><Relationship Id="rId856" Type="http://schemas.openxmlformats.org/officeDocument/2006/relationships/hyperlink" Target="https://azizstan.net/student_image/25963.jpg" TargetMode="External"/><Relationship Id="rId1680" Type="http://schemas.openxmlformats.org/officeDocument/2006/relationships/hyperlink" Target="https://azizstan.net/student_image/24085.jpg" TargetMode="External"/><Relationship Id="rId1681" Type="http://schemas.openxmlformats.org/officeDocument/2006/relationships/hyperlink" Target="https://azizstan.net/student_image/24111.jpg" TargetMode="External"/><Relationship Id="rId851" Type="http://schemas.openxmlformats.org/officeDocument/2006/relationships/hyperlink" Target="https://azizstan.net/student_image/25854.jpg" TargetMode="External"/><Relationship Id="rId1682" Type="http://schemas.openxmlformats.org/officeDocument/2006/relationships/hyperlink" Target="https://azizstan.net/student_image/24189.jpg" TargetMode="External"/><Relationship Id="rId850" Type="http://schemas.openxmlformats.org/officeDocument/2006/relationships/hyperlink" Target="https://azizstan.net/student_image/25851.jpg" TargetMode="External"/><Relationship Id="rId1683" Type="http://schemas.openxmlformats.org/officeDocument/2006/relationships/hyperlink" Target="https://azizstan.net/student_image/24255.jpg" TargetMode="External"/><Relationship Id="rId2530" Type="http://schemas.openxmlformats.org/officeDocument/2006/relationships/hyperlink" Target="https://azizstan.net/student_image_voc/6821910063.jpg" TargetMode="External"/><Relationship Id="rId1200" Type="http://schemas.openxmlformats.org/officeDocument/2006/relationships/hyperlink" Target="https://azizstan.net/student_image/24887.jpg" TargetMode="External"/><Relationship Id="rId1684" Type="http://schemas.openxmlformats.org/officeDocument/2006/relationships/hyperlink" Target="https://azizstan.net/student_image/24296.jpg" TargetMode="External"/><Relationship Id="rId2531" Type="http://schemas.openxmlformats.org/officeDocument/2006/relationships/hyperlink" Target="https://azizstan.net/student_image_voc/6821910065.jpg" TargetMode="External"/><Relationship Id="rId1201" Type="http://schemas.openxmlformats.org/officeDocument/2006/relationships/hyperlink" Target="https://azizstan.net/student_image/24889.jpg" TargetMode="External"/><Relationship Id="rId1685" Type="http://schemas.openxmlformats.org/officeDocument/2006/relationships/hyperlink" Target="https://azizstan.net/student_image/24314.jpg" TargetMode="External"/><Relationship Id="rId2532" Type="http://schemas.openxmlformats.org/officeDocument/2006/relationships/hyperlink" Target="https://azizstan.net/student_image_voc/6821910069.jpg" TargetMode="External"/><Relationship Id="rId1235" Type="http://schemas.openxmlformats.org/officeDocument/2006/relationships/hyperlink" Target="https://azizstan.net/student_image/24606.jpg" TargetMode="External"/><Relationship Id="rId2566" Type="http://schemas.openxmlformats.org/officeDocument/2006/relationships/hyperlink" Target="https://azizstan.net/student_image_voc/6721910157.jpg" TargetMode="External"/><Relationship Id="rId1236" Type="http://schemas.openxmlformats.org/officeDocument/2006/relationships/hyperlink" Target="https://azizstan.net/student_image/24610.jpg" TargetMode="External"/><Relationship Id="rId2567" Type="http://schemas.openxmlformats.org/officeDocument/2006/relationships/hyperlink" Target="https://azizstan.net/student_image_voc/6721910160.jpg" TargetMode="External"/><Relationship Id="rId1237" Type="http://schemas.openxmlformats.org/officeDocument/2006/relationships/hyperlink" Target="https://azizstan.net/student_image/24633.jpg" TargetMode="External"/><Relationship Id="rId2568" Type="http://schemas.openxmlformats.org/officeDocument/2006/relationships/hyperlink" Target="https://azizstan.net/student_image_voc/6721910161.jpg" TargetMode="External"/><Relationship Id="rId1238" Type="http://schemas.openxmlformats.org/officeDocument/2006/relationships/hyperlink" Target="https://azizstan.net/student_image/24640.jpg" TargetMode="External"/><Relationship Id="rId2569" Type="http://schemas.openxmlformats.org/officeDocument/2006/relationships/hyperlink" Target="https://azizstan.net/student_image_voc/6721910165.jpg" TargetMode="External"/><Relationship Id="rId1239" Type="http://schemas.openxmlformats.org/officeDocument/2006/relationships/hyperlink" Target="https://azizstan.net/student_image/24685.jpg" TargetMode="External"/><Relationship Id="rId409" Type="http://schemas.openxmlformats.org/officeDocument/2006/relationships/hyperlink" Target="https://azizstan.net/student_image/26290.jpg" TargetMode="External"/><Relationship Id="rId404" Type="http://schemas.openxmlformats.org/officeDocument/2006/relationships/hyperlink" Target="https://azizstan.net/student_image/26217.jpg" TargetMode="External"/><Relationship Id="rId888" Type="http://schemas.openxmlformats.org/officeDocument/2006/relationships/hyperlink" Target="https://azizstan.net/student_image/25874.jpg" TargetMode="External"/><Relationship Id="rId403" Type="http://schemas.openxmlformats.org/officeDocument/2006/relationships/hyperlink" Target="https://azizstan.net/student_image/26205.jpg" TargetMode="External"/><Relationship Id="rId887" Type="http://schemas.openxmlformats.org/officeDocument/2006/relationships/hyperlink" Target="https://azizstan.net/student_image/25821.jpg" TargetMode="External"/><Relationship Id="rId402" Type="http://schemas.openxmlformats.org/officeDocument/2006/relationships/hyperlink" Target="https://azizstan.net/student_image/26194.jpg" TargetMode="External"/><Relationship Id="rId886" Type="http://schemas.openxmlformats.org/officeDocument/2006/relationships/hyperlink" Target="https://azizstan.net/student_image/25792.jpg" TargetMode="External"/><Relationship Id="rId401" Type="http://schemas.openxmlformats.org/officeDocument/2006/relationships/hyperlink" Target="https://azizstan.net/student_image/26186.jpg" TargetMode="External"/><Relationship Id="rId885" Type="http://schemas.openxmlformats.org/officeDocument/2006/relationships/hyperlink" Target="https://azizstan.net/student_image/25774.jpg" TargetMode="External"/><Relationship Id="rId408" Type="http://schemas.openxmlformats.org/officeDocument/2006/relationships/hyperlink" Target="https://azizstan.net/student_image/26289.jpg" TargetMode="External"/><Relationship Id="rId407" Type="http://schemas.openxmlformats.org/officeDocument/2006/relationships/hyperlink" Target="https://azizstan.net/student_image/26268.jpg" TargetMode="External"/><Relationship Id="rId406" Type="http://schemas.openxmlformats.org/officeDocument/2006/relationships/hyperlink" Target="https://azizstan.net/student_image/26239.jpg" TargetMode="External"/><Relationship Id="rId405" Type="http://schemas.openxmlformats.org/officeDocument/2006/relationships/hyperlink" Target="https://azizstan.net/student_image/26234.jpg" TargetMode="External"/><Relationship Id="rId889" Type="http://schemas.openxmlformats.org/officeDocument/2006/relationships/hyperlink" Target="https://azizstan.net/student_image/25894.jpg" TargetMode="External"/><Relationship Id="rId880" Type="http://schemas.openxmlformats.org/officeDocument/2006/relationships/hyperlink" Target="https://azizstan.net/student_image/25572.jpg" TargetMode="External"/><Relationship Id="rId2560" Type="http://schemas.openxmlformats.org/officeDocument/2006/relationships/hyperlink" Target="https://azizstan.net/student_image_voc/6721910141.jpg" TargetMode="External"/><Relationship Id="rId1230" Type="http://schemas.openxmlformats.org/officeDocument/2006/relationships/hyperlink" Target="https://azizstan.net/student_image/26701.jpg" TargetMode="External"/><Relationship Id="rId2561" Type="http://schemas.openxmlformats.org/officeDocument/2006/relationships/hyperlink" Target="https://azizstan.net/student_image_voc/6721910145.jpg" TargetMode="External"/><Relationship Id="rId400" Type="http://schemas.openxmlformats.org/officeDocument/2006/relationships/hyperlink" Target="https://azizstan.net/student_image/26185.jpg" TargetMode="External"/><Relationship Id="rId884" Type="http://schemas.openxmlformats.org/officeDocument/2006/relationships/hyperlink" Target="https://azizstan.net/student_image/25764.jpg" TargetMode="External"/><Relationship Id="rId1231" Type="http://schemas.openxmlformats.org/officeDocument/2006/relationships/hyperlink" Target="https://azizstan.net/student_image/24590.jpg" TargetMode="External"/><Relationship Id="rId2562" Type="http://schemas.openxmlformats.org/officeDocument/2006/relationships/hyperlink" Target="https://azizstan.net/student_image_voc/6721910147.jpg" TargetMode="External"/><Relationship Id="rId883" Type="http://schemas.openxmlformats.org/officeDocument/2006/relationships/hyperlink" Target="https://azizstan.net/student_image/25642.jpg" TargetMode="External"/><Relationship Id="rId1232" Type="http://schemas.openxmlformats.org/officeDocument/2006/relationships/hyperlink" Target="https://azizstan.net/student_image/24593.jpg" TargetMode="External"/><Relationship Id="rId2563" Type="http://schemas.openxmlformats.org/officeDocument/2006/relationships/hyperlink" Target="https://azizstan.net/student_image_voc/6721910148.jpg" TargetMode="External"/><Relationship Id="rId882" Type="http://schemas.openxmlformats.org/officeDocument/2006/relationships/hyperlink" Target="https://azizstan.net/student_image/25616.jpg" TargetMode="External"/><Relationship Id="rId1233" Type="http://schemas.openxmlformats.org/officeDocument/2006/relationships/hyperlink" Target="https://azizstan.net/student_image/24595.jpg" TargetMode="External"/><Relationship Id="rId2564" Type="http://schemas.openxmlformats.org/officeDocument/2006/relationships/hyperlink" Target="https://azizstan.net/student_image_voc/6721910151.jpg" TargetMode="External"/><Relationship Id="rId881" Type="http://schemas.openxmlformats.org/officeDocument/2006/relationships/hyperlink" Target="https://azizstan.net/student_image/25573.jpg" TargetMode="External"/><Relationship Id="rId1234" Type="http://schemas.openxmlformats.org/officeDocument/2006/relationships/hyperlink" Target="https://azizstan.net/student_image/24599.jpg" TargetMode="External"/><Relationship Id="rId2565" Type="http://schemas.openxmlformats.org/officeDocument/2006/relationships/hyperlink" Target="https://azizstan.net/student_image_voc/6721910152.jpg" TargetMode="External"/><Relationship Id="rId1224" Type="http://schemas.openxmlformats.org/officeDocument/2006/relationships/hyperlink" Target="https://azizstan.net/student_image/25374.jpg" TargetMode="External"/><Relationship Id="rId2555" Type="http://schemas.openxmlformats.org/officeDocument/2006/relationships/hyperlink" Target="https://azizstan.net/student_image_voc/6721910133.jpg" TargetMode="External"/><Relationship Id="rId1225" Type="http://schemas.openxmlformats.org/officeDocument/2006/relationships/hyperlink" Target="https://azizstan.net/student_image/25517.jpg" TargetMode="External"/><Relationship Id="rId2556" Type="http://schemas.openxmlformats.org/officeDocument/2006/relationships/hyperlink" Target="https://azizstan.net/student_image_voc/6721910134.jpg" TargetMode="External"/><Relationship Id="rId1226" Type="http://schemas.openxmlformats.org/officeDocument/2006/relationships/hyperlink" Target="https://azizstan.net/student_image/25928.jpg" TargetMode="External"/><Relationship Id="rId2557" Type="http://schemas.openxmlformats.org/officeDocument/2006/relationships/hyperlink" Target="https://azizstan.net/student_image_voc/6721910136.jpg" TargetMode="External"/><Relationship Id="rId1227" Type="http://schemas.openxmlformats.org/officeDocument/2006/relationships/hyperlink" Target="https://azizstan.net/student_image/25996.jpg" TargetMode="External"/><Relationship Id="rId2558" Type="http://schemas.openxmlformats.org/officeDocument/2006/relationships/hyperlink" Target="https://azizstan.net/student_image_voc/6721910139.jpg" TargetMode="External"/><Relationship Id="rId1228" Type="http://schemas.openxmlformats.org/officeDocument/2006/relationships/hyperlink" Target="https://azizstan.net/student_image/26207.jpg" TargetMode="External"/><Relationship Id="rId2559" Type="http://schemas.openxmlformats.org/officeDocument/2006/relationships/hyperlink" Target="https://azizstan.net/student_image_voc/6721910140.jpg" TargetMode="External"/><Relationship Id="rId1229" Type="http://schemas.openxmlformats.org/officeDocument/2006/relationships/hyperlink" Target="https://azizstan.net/student_image/26656.jpg" TargetMode="External"/><Relationship Id="rId877" Type="http://schemas.openxmlformats.org/officeDocument/2006/relationships/hyperlink" Target="https://azizstan.net/student_image/25515.jpg" TargetMode="External"/><Relationship Id="rId876" Type="http://schemas.openxmlformats.org/officeDocument/2006/relationships/hyperlink" Target="https://azizstan.net/student_image/25507.jpg" TargetMode="External"/><Relationship Id="rId875" Type="http://schemas.openxmlformats.org/officeDocument/2006/relationships/hyperlink" Target="https://azizstan.net/student_image/25505.jpg" TargetMode="External"/><Relationship Id="rId874" Type="http://schemas.openxmlformats.org/officeDocument/2006/relationships/hyperlink" Target="https://azizstan.net/student_image/25495.jpg" TargetMode="External"/><Relationship Id="rId879" Type="http://schemas.openxmlformats.org/officeDocument/2006/relationships/hyperlink" Target="https://azizstan.net/student_image/25566.jpg" TargetMode="External"/><Relationship Id="rId878" Type="http://schemas.openxmlformats.org/officeDocument/2006/relationships/hyperlink" Target="https://azizstan.net/student_image/25555.jpg" TargetMode="External"/><Relationship Id="rId2550" Type="http://schemas.openxmlformats.org/officeDocument/2006/relationships/hyperlink" Target="https://azizstan.net/student_image_voc/6721910127.jpg" TargetMode="External"/><Relationship Id="rId873" Type="http://schemas.openxmlformats.org/officeDocument/2006/relationships/hyperlink" Target="https://azizstan.net/student_image/25472.jpg" TargetMode="External"/><Relationship Id="rId1220" Type="http://schemas.openxmlformats.org/officeDocument/2006/relationships/hyperlink" Target="https://azizstan.net/student_image/25161.jpg" TargetMode="External"/><Relationship Id="rId2551" Type="http://schemas.openxmlformats.org/officeDocument/2006/relationships/hyperlink" Target="https://azizstan.net/student_image_voc/6721910128.jpg" TargetMode="External"/><Relationship Id="rId872" Type="http://schemas.openxmlformats.org/officeDocument/2006/relationships/hyperlink" Target="https://azizstan.net/student_image/25471.jpg" TargetMode="External"/><Relationship Id="rId1221" Type="http://schemas.openxmlformats.org/officeDocument/2006/relationships/hyperlink" Target="https://azizstan.net/student_image/25245.jpg" TargetMode="External"/><Relationship Id="rId2552" Type="http://schemas.openxmlformats.org/officeDocument/2006/relationships/hyperlink" Target="https://azizstan.net/student_image_voc/6721910129.jpg" TargetMode="External"/><Relationship Id="rId871" Type="http://schemas.openxmlformats.org/officeDocument/2006/relationships/hyperlink" Target="https://azizstan.net/student_image/25444.jpg" TargetMode="External"/><Relationship Id="rId1222" Type="http://schemas.openxmlformats.org/officeDocument/2006/relationships/hyperlink" Target="https://azizstan.net/student_image/25250.jpg" TargetMode="External"/><Relationship Id="rId2553" Type="http://schemas.openxmlformats.org/officeDocument/2006/relationships/hyperlink" Target="https://azizstan.net/student_image_voc/6721910130.jpg" TargetMode="External"/><Relationship Id="rId870" Type="http://schemas.openxmlformats.org/officeDocument/2006/relationships/hyperlink" Target="https://azizstan.net/student_image/25443.jpg" TargetMode="External"/><Relationship Id="rId1223" Type="http://schemas.openxmlformats.org/officeDocument/2006/relationships/hyperlink" Target="https://azizstan.net/student_image/25276.jpg" TargetMode="External"/><Relationship Id="rId2554" Type="http://schemas.openxmlformats.org/officeDocument/2006/relationships/hyperlink" Target="https://azizstan.net/student_image_voc/6721910131.jpg" TargetMode="External"/><Relationship Id="rId1653" Type="http://schemas.openxmlformats.org/officeDocument/2006/relationships/hyperlink" Target="https://azizstan.net/student_image/24471.jpg" TargetMode="External"/><Relationship Id="rId2500" Type="http://schemas.openxmlformats.org/officeDocument/2006/relationships/hyperlink" Target="https://azizstan.net/student_image_voc/6821910003.jpg" TargetMode="External"/><Relationship Id="rId1654" Type="http://schemas.openxmlformats.org/officeDocument/2006/relationships/hyperlink" Target="https://azizstan.net/student_image/24485.jpg" TargetMode="External"/><Relationship Id="rId2501" Type="http://schemas.openxmlformats.org/officeDocument/2006/relationships/hyperlink" Target="https://azizstan.net/student_image_voc/6821910004.jpg" TargetMode="External"/><Relationship Id="rId1655" Type="http://schemas.openxmlformats.org/officeDocument/2006/relationships/hyperlink" Target="https://azizstan.net/student_image/24496.jpg" TargetMode="External"/><Relationship Id="rId2502" Type="http://schemas.openxmlformats.org/officeDocument/2006/relationships/hyperlink" Target="https://azizstan.net/student_image_voc/6821910005.jpg" TargetMode="External"/><Relationship Id="rId1656" Type="http://schemas.openxmlformats.org/officeDocument/2006/relationships/hyperlink" Target="https://azizstan.net/student_image/24509.jpg" TargetMode="External"/><Relationship Id="rId2503" Type="http://schemas.openxmlformats.org/officeDocument/2006/relationships/hyperlink" Target="https://azizstan.net/student_image_voc/6821910006.jpg" TargetMode="External"/><Relationship Id="rId1657" Type="http://schemas.openxmlformats.org/officeDocument/2006/relationships/hyperlink" Target="https://azizstan.net/student_image/24523.jpg" TargetMode="External"/><Relationship Id="rId2504" Type="http://schemas.openxmlformats.org/officeDocument/2006/relationships/hyperlink" Target="https://azizstan.net/student_image_voc/6821910007.jpg" TargetMode="External"/><Relationship Id="rId1658" Type="http://schemas.openxmlformats.org/officeDocument/2006/relationships/hyperlink" Target="https://azizstan.net/student_image/24555.jpg" TargetMode="External"/><Relationship Id="rId2505" Type="http://schemas.openxmlformats.org/officeDocument/2006/relationships/hyperlink" Target="https://azizstan.net/student_image_voc/6821910008.jpg" TargetMode="External"/><Relationship Id="rId1659" Type="http://schemas.openxmlformats.org/officeDocument/2006/relationships/hyperlink" Target="https://azizstan.net/student_image/25311.jpg" TargetMode="External"/><Relationship Id="rId2506" Type="http://schemas.openxmlformats.org/officeDocument/2006/relationships/hyperlink" Target="https://azizstan.net/student_image_voc/6821910009.jpg" TargetMode="External"/><Relationship Id="rId2507" Type="http://schemas.openxmlformats.org/officeDocument/2006/relationships/hyperlink" Target="https://azizstan.net/student_image_voc/6821910011.jpg" TargetMode="External"/><Relationship Id="rId2508" Type="http://schemas.openxmlformats.org/officeDocument/2006/relationships/hyperlink" Target="https://azizstan.net/student_image_voc/6821910012.jpg" TargetMode="External"/><Relationship Id="rId829" Type="http://schemas.openxmlformats.org/officeDocument/2006/relationships/hyperlink" Target="https://azizstan.net/student_image/25994.jpg" TargetMode="External"/><Relationship Id="rId2509" Type="http://schemas.openxmlformats.org/officeDocument/2006/relationships/hyperlink" Target="https://azizstan.net/student_image_voc/6821910014.jpg" TargetMode="External"/><Relationship Id="rId828" Type="http://schemas.openxmlformats.org/officeDocument/2006/relationships/hyperlink" Target="https://azizstan.net/student_image/25990.jpg" TargetMode="External"/><Relationship Id="rId827" Type="http://schemas.openxmlformats.org/officeDocument/2006/relationships/hyperlink" Target="https://azizstan.net/student_image/25987.jpg" TargetMode="External"/><Relationship Id="rId822" Type="http://schemas.openxmlformats.org/officeDocument/2006/relationships/hyperlink" Target="https://azizstan.net/student_image/25823.jpg" TargetMode="External"/><Relationship Id="rId821" Type="http://schemas.openxmlformats.org/officeDocument/2006/relationships/hyperlink" Target="https://azizstan.net/student_image/25822.jpg" TargetMode="External"/><Relationship Id="rId820" Type="http://schemas.openxmlformats.org/officeDocument/2006/relationships/hyperlink" Target="https://azizstan.net/student_image/25814.jpg" TargetMode="External"/><Relationship Id="rId826" Type="http://schemas.openxmlformats.org/officeDocument/2006/relationships/hyperlink" Target="https://azizstan.net/student_image/25971.jpg" TargetMode="External"/><Relationship Id="rId825" Type="http://schemas.openxmlformats.org/officeDocument/2006/relationships/hyperlink" Target="https://azizstan.net/student_image/25929.jpg" TargetMode="External"/><Relationship Id="rId824" Type="http://schemas.openxmlformats.org/officeDocument/2006/relationships/hyperlink" Target="https://azizstan.net/student_image/25922.jpg" TargetMode="External"/><Relationship Id="rId823" Type="http://schemas.openxmlformats.org/officeDocument/2006/relationships/hyperlink" Target="https://azizstan.net/student_image/25920.jpg" TargetMode="External"/><Relationship Id="rId1650" Type="http://schemas.openxmlformats.org/officeDocument/2006/relationships/hyperlink" Target="https://azizstan.net/student_image/24328.jpg" TargetMode="External"/><Relationship Id="rId1651" Type="http://schemas.openxmlformats.org/officeDocument/2006/relationships/hyperlink" Target="https://azizstan.net/student_image/24332.jpg" TargetMode="External"/><Relationship Id="rId1652" Type="http://schemas.openxmlformats.org/officeDocument/2006/relationships/hyperlink" Target="https://azizstan.net/student_image/24418.jpg" TargetMode="External"/><Relationship Id="rId1642" Type="http://schemas.openxmlformats.org/officeDocument/2006/relationships/hyperlink" Target="https://azizstan.net/student_image/24132.jpg" TargetMode="External"/><Relationship Id="rId1643" Type="http://schemas.openxmlformats.org/officeDocument/2006/relationships/hyperlink" Target="https://azizstan.net/student_image/24163.jpg" TargetMode="External"/><Relationship Id="rId1644" Type="http://schemas.openxmlformats.org/officeDocument/2006/relationships/hyperlink" Target="https://azizstan.net/student_image/24193.jpg" TargetMode="External"/><Relationship Id="rId1645" Type="http://schemas.openxmlformats.org/officeDocument/2006/relationships/hyperlink" Target="https://azizstan.net/student_image/24231.jpg" TargetMode="External"/><Relationship Id="rId1646" Type="http://schemas.openxmlformats.org/officeDocument/2006/relationships/hyperlink" Target="https://azizstan.net/student_image/24243.jpg" TargetMode="External"/><Relationship Id="rId1647" Type="http://schemas.openxmlformats.org/officeDocument/2006/relationships/hyperlink" Target="https://azizstan.net/student_image/24299.jpg" TargetMode="External"/><Relationship Id="rId1648" Type="http://schemas.openxmlformats.org/officeDocument/2006/relationships/hyperlink" Target="https://azizstan.net/student_image/24311.jpg" TargetMode="External"/><Relationship Id="rId1649" Type="http://schemas.openxmlformats.org/officeDocument/2006/relationships/hyperlink" Target="https://azizstan.net/student_image/24320.jpg" TargetMode="External"/><Relationship Id="rId819" Type="http://schemas.openxmlformats.org/officeDocument/2006/relationships/hyperlink" Target="https://azizstan.net/student_image/25804.jpg" TargetMode="External"/><Relationship Id="rId818" Type="http://schemas.openxmlformats.org/officeDocument/2006/relationships/hyperlink" Target="https://azizstan.net/student_image/25788.jpg" TargetMode="External"/><Relationship Id="rId817" Type="http://schemas.openxmlformats.org/officeDocument/2006/relationships/hyperlink" Target="https://azizstan.net/student_image/25785.jpg" TargetMode="External"/><Relationship Id="rId816" Type="http://schemas.openxmlformats.org/officeDocument/2006/relationships/hyperlink" Target="https://azizstan.net/student_image/25769.jpg" TargetMode="External"/><Relationship Id="rId811" Type="http://schemas.openxmlformats.org/officeDocument/2006/relationships/hyperlink" Target="https://azizstan.net/student_image/25674.jpg" TargetMode="External"/><Relationship Id="rId810" Type="http://schemas.openxmlformats.org/officeDocument/2006/relationships/hyperlink" Target="https://azizstan.net/student_image/25608.jpg" TargetMode="External"/><Relationship Id="rId815" Type="http://schemas.openxmlformats.org/officeDocument/2006/relationships/hyperlink" Target="https://azizstan.net/student_image/25755.jpg" TargetMode="External"/><Relationship Id="rId814" Type="http://schemas.openxmlformats.org/officeDocument/2006/relationships/hyperlink" Target="https://azizstan.net/student_image/25741.jpg" TargetMode="External"/><Relationship Id="rId813" Type="http://schemas.openxmlformats.org/officeDocument/2006/relationships/hyperlink" Target="https://azizstan.net/student_image/25694.jpg" TargetMode="External"/><Relationship Id="rId812" Type="http://schemas.openxmlformats.org/officeDocument/2006/relationships/hyperlink" Target="https://azizstan.net/student_image/25691.jpg" TargetMode="External"/><Relationship Id="rId1640" Type="http://schemas.openxmlformats.org/officeDocument/2006/relationships/hyperlink" Target="https://azizstan.net/student_image/24080.jpg" TargetMode="External"/><Relationship Id="rId1641" Type="http://schemas.openxmlformats.org/officeDocument/2006/relationships/hyperlink" Target="https://azizstan.net/student_image/24091.jpg" TargetMode="External"/><Relationship Id="rId1675" Type="http://schemas.openxmlformats.org/officeDocument/2006/relationships/hyperlink" Target="https://azizstan.net/student_image/26772.jpg" TargetMode="External"/><Relationship Id="rId2522" Type="http://schemas.openxmlformats.org/officeDocument/2006/relationships/hyperlink" Target="https://azizstan.net/student_image_voc/6821910050.jpg" TargetMode="External"/><Relationship Id="rId1676" Type="http://schemas.openxmlformats.org/officeDocument/2006/relationships/hyperlink" Target="https://azizstan.net/student_image/24011.jpg" TargetMode="External"/><Relationship Id="rId2523" Type="http://schemas.openxmlformats.org/officeDocument/2006/relationships/hyperlink" Target="https://azizstan.net/student_image_voc/6821910053.jpg" TargetMode="External"/><Relationship Id="rId1677" Type="http://schemas.openxmlformats.org/officeDocument/2006/relationships/hyperlink" Target="https://azizstan.net/student_image/24047.jpg" TargetMode="External"/><Relationship Id="rId2524" Type="http://schemas.openxmlformats.org/officeDocument/2006/relationships/hyperlink" Target="https://azizstan.net/student_image_voc/6821910054.jpg" TargetMode="External"/><Relationship Id="rId1678" Type="http://schemas.openxmlformats.org/officeDocument/2006/relationships/hyperlink" Target="https://azizstan.net/student_image/24069.jpg" TargetMode="External"/><Relationship Id="rId2525" Type="http://schemas.openxmlformats.org/officeDocument/2006/relationships/hyperlink" Target="https://azizstan.net/student_image_voc/6821910056.jpg" TargetMode="External"/><Relationship Id="rId1679" Type="http://schemas.openxmlformats.org/officeDocument/2006/relationships/hyperlink" Target="https://azizstan.net/student_image/24078.jpg" TargetMode="External"/><Relationship Id="rId2526" Type="http://schemas.openxmlformats.org/officeDocument/2006/relationships/hyperlink" Target="https://azizstan.net/student_image_voc/6821910057.jpg" TargetMode="External"/><Relationship Id="rId2527" Type="http://schemas.openxmlformats.org/officeDocument/2006/relationships/hyperlink" Target="https://azizstan.net/student_image_voc/6821910059.jpg" TargetMode="External"/><Relationship Id="rId2528" Type="http://schemas.openxmlformats.org/officeDocument/2006/relationships/hyperlink" Target="https://azizstan.net/student_image_voc/6821910060.jpg" TargetMode="External"/><Relationship Id="rId2529" Type="http://schemas.openxmlformats.org/officeDocument/2006/relationships/hyperlink" Target="https://azizstan.net/student_image_voc/6821910062.jpg" TargetMode="External"/><Relationship Id="rId849" Type="http://schemas.openxmlformats.org/officeDocument/2006/relationships/hyperlink" Target="https://azizstan.net/student_image/25850.jpg" TargetMode="External"/><Relationship Id="rId844" Type="http://schemas.openxmlformats.org/officeDocument/2006/relationships/hyperlink" Target="https://azizstan.net/student_image/25775.jpg" TargetMode="External"/><Relationship Id="rId843" Type="http://schemas.openxmlformats.org/officeDocument/2006/relationships/hyperlink" Target="https://azizstan.net/student_image/25756.jpg" TargetMode="External"/><Relationship Id="rId842" Type="http://schemas.openxmlformats.org/officeDocument/2006/relationships/hyperlink" Target="https://azizstan.net/student_image/25697.jpg" TargetMode="External"/><Relationship Id="rId841" Type="http://schemas.openxmlformats.org/officeDocument/2006/relationships/hyperlink" Target="https://azizstan.net/student_image/25604.jpg" TargetMode="External"/><Relationship Id="rId848" Type="http://schemas.openxmlformats.org/officeDocument/2006/relationships/hyperlink" Target="https://azizstan.net/student_image/25838.jpg" TargetMode="External"/><Relationship Id="rId847" Type="http://schemas.openxmlformats.org/officeDocument/2006/relationships/hyperlink" Target="https://azizstan.net/student_image/25837.jpg" TargetMode="External"/><Relationship Id="rId846" Type="http://schemas.openxmlformats.org/officeDocument/2006/relationships/hyperlink" Target="https://azizstan.net/student_image/25828.jpg" TargetMode="External"/><Relationship Id="rId845" Type="http://schemas.openxmlformats.org/officeDocument/2006/relationships/hyperlink" Target="https://azizstan.net/student_image/25825.jpg" TargetMode="External"/><Relationship Id="rId1670" Type="http://schemas.openxmlformats.org/officeDocument/2006/relationships/hyperlink" Target="https://azizstan.net/student_image/26641.jpg" TargetMode="External"/><Relationship Id="rId840" Type="http://schemas.openxmlformats.org/officeDocument/2006/relationships/hyperlink" Target="https://azizstan.net/student_image/25597.jpg" TargetMode="External"/><Relationship Id="rId1671" Type="http://schemas.openxmlformats.org/officeDocument/2006/relationships/hyperlink" Target="https://azizstan.net/student_image/26713.jpg" TargetMode="External"/><Relationship Id="rId1672" Type="http://schemas.openxmlformats.org/officeDocument/2006/relationships/hyperlink" Target="https://azizstan.net/student_image/26714.jpg" TargetMode="External"/><Relationship Id="rId1673" Type="http://schemas.openxmlformats.org/officeDocument/2006/relationships/hyperlink" Target="https://azizstan.net/student_image/26720.jpg" TargetMode="External"/><Relationship Id="rId2520" Type="http://schemas.openxmlformats.org/officeDocument/2006/relationships/hyperlink" Target="https://azizstan.net/student_image_voc/6821910048.jpg" TargetMode="External"/><Relationship Id="rId1674" Type="http://schemas.openxmlformats.org/officeDocument/2006/relationships/hyperlink" Target="https://azizstan.net/student_image/26745.jpg" TargetMode="External"/><Relationship Id="rId2521" Type="http://schemas.openxmlformats.org/officeDocument/2006/relationships/hyperlink" Target="https://azizstan.net/student_image_voc/6821910049.jpg" TargetMode="External"/><Relationship Id="rId1664" Type="http://schemas.openxmlformats.org/officeDocument/2006/relationships/hyperlink" Target="https://azizstan.net/student_image/26396.jpg" TargetMode="External"/><Relationship Id="rId2511" Type="http://schemas.openxmlformats.org/officeDocument/2006/relationships/hyperlink" Target="https://azizstan.net/student_image_voc/6821910019.jpg" TargetMode="External"/><Relationship Id="rId1665" Type="http://schemas.openxmlformats.org/officeDocument/2006/relationships/hyperlink" Target="https://azizstan.net/student_image/26442.jpg" TargetMode="External"/><Relationship Id="rId2512" Type="http://schemas.openxmlformats.org/officeDocument/2006/relationships/hyperlink" Target="https://azizstan.net/student_image_voc/6821910020.jpg" TargetMode="External"/><Relationship Id="rId1666" Type="http://schemas.openxmlformats.org/officeDocument/2006/relationships/hyperlink" Target="https://azizstan.net/student_image/26516.jpg" TargetMode="External"/><Relationship Id="rId2513" Type="http://schemas.openxmlformats.org/officeDocument/2006/relationships/hyperlink" Target="https://azizstan.net/student_image_voc/6821910024.jpg" TargetMode="External"/><Relationship Id="rId1667" Type="http://schemas.openxmlformats.org/officeDocument/2006/relationships/hyperlink" Target="https://azizstan.net/student_image/26572.jpg" TargetMode="External"/><Relationship Id="rId2514" Type="http://schemas.openxmlformats.org/officeDocument/2006/relationships/hyperlink" Target="https://azizstan.net/student_image_voc/6821910029.jpg" TargetMode="External"/><Relationship Id="rId1668" Type="http://schemas.openxmlformats.org/officeDocument/2006/relationships/hyperlink" Target="https://azizstan.net/student_image/26578.jpg" TargetMode="External"/><Relationship Id="rId2515" Type="http://schemas.openxmlformats.org/officeDocument/2006/relationships/hyperlink" Target="https://azizstan.net/student_image_voc/6821910032.jpg" TargetMode="External"/><Relationship Id="rId1669" Type="http://schemas.openxmlformats.org/officeDocument/2006/relationships/hyperlink" Target="https://azizstan.net/student_image/26583.jpg" TargetMode="External"/><Relationship Id="rId2516" Type="http://schemas.openxmlformats.org/officeDocument/2006/relationships/hyperlink" Target="https://azizstan.net/student_image_voc/6821910036.jpg" TargetMode="External"/><Relationship Id="rId2517" Type="http://schemas.openxmlformats.org/officeDocument/2006/relationships/hyperlink" Target="https://azizstan.net/student_image_voc/6821910045.jpg" TargetMode="External"/><Relationship Id="rId2518" Type="http://schemas.openxmlformats.org/officeDocument/2006/relationships/hyperlink" Target="https://azizstan.net/student_image_voc/6821910046.jpg" TargetMode="External"/><Relationship Id="rId2519" Type="http://schemas.openxmlformats.org/officeDocument/2006/relationships/hyperlink" Target="https://azizstan.net/student_image_voc/6821910047.jpg" TargetMode="External"/><Relationship Id="rId839" Type="http://schemas.openxmlformats.org/officeDocument/2006/relationships/hyperlink" Target="https://azizstan.net/student_image/25590.jpg" TargetMode="External"/><Relationship Id="rId838" Type="http://schemas.openxmlformats.org/officeDocument/2006/relationships/hyperlink" Target="https://azizstan.net/student_image/25571.jpg" TargetMode="External"/><Relationship Id="rId833" Type="http://schemas.openxmlformats.org/officeDocument/2006/relationships/hyperlink" Target="https://azizstan.net/student_image/25464.jpg" TargetMode="External"/><Relationship Id="rId832" Type="http://schemas.openxmlformats.org/officeDocument/2006/relationships/hyperlink" Target="https://azizstan.net/student_image/25439.jpg" TargetMode="External"/><Relationship Id="rId831" Type="http://schemas.openxmlformats.org/officeDocument/2006/relationships/hyperlink" Target="https://azizstan.net/student_image/25398.jpg" TargetMode="External"/><Relationship Id="rId830" Type="http://schemas.openxmlformats.org/officeDocument/2006/relationships/hyperlink" Target="https://azizstan.net/student_image/25395.jpg" TargetMode="External"/><Relationship Id="rId837" Type="http://schemas.openxmlformats.org/officeDocument/2006/relationships/hyperlink" Target="https://azizstan.net/student_image/25563.jpg" TargetMode="External"/><Relationship Id="rId836" Type="http://schemas.openxmlformats.org/officeDocument/2006/relationships/hyperlink" Target="https://azizstan.net/student_image/25547.jpg" TargetMode="External"/><Relationship Id="rId835" Type="http://schemas.openxmlformats.org/officeDocument/2006/relationships/hyperlink" Target="https://azizstan.net/student_image/25499.jpg" TargetMode="External"/><Relationship Id="rId834" Type="http://schemas.openxmlformats.org/officeDocument/2006/relationships/hyperlink" Target="https://azizstan.net/student_image/25490.jpg" TargetMode="External"/><Relationship Id="rId1660" Type="http://schemas.openxmlformats.org/officeDocument/2006/relationships/hyperlink" Target="https://azizstan.net/student_image/26109.jpg" TargetMode="External"/><Relationship Id="rId1661" Type="http://schemas.openxmlformats.org/officeDocument/2006/relationships/hyperlink" Target="https://azizstan.net/student_image/26307.jpg" TargetMode="External"/><Relationship Id="rId1662" Type="http://schemas.openxmlformats.org/officeDocument/2006/relationships/hyperlink" Target="https://azizstan.net/student_image/26347.jpg" TargetMode="External"/><Relationship Id="rId1663" Type="http://schemas.openxmlformats.org/officeDocument/2006/relationships/hyperlink" Target="https://azizstan.net/student_image/26350.jpg" TargetMode="External"/><Relationship Id="rId2510" Type="http://schemas.openxmlformats.org/officeDocument/2006/relationships/hyperlink" Target="https://azizstan.net/student_image_voc/6821910017.jpg" TargetMode="External"/><Relationship Id="rId2148" Type="http://schemas.openxmlformats.org/officeDocument/2006/relationships/hyperlink" Target="https://azizstan.net/student_image/22968.jpg" TargetMode="External"/><Relationship Id="rId2149" Type="http://schemas.openxmlformats.org/officeDocument/2006/relationships/hyperlink" Target="https://azizstan.net/student_image/22985.jpg" TargetMode="External"/><Relationship Id="rId469" Type="http://schemas.openxmlformats.org/officeDocument/2006/relationships/hyperlink" Target="https://azizstan.net/student_image/26270.jpg" TargetMode="External"/><Relationship Id="rId468" Type="http://schemas.openxmlformats.org/officeDocument/2006/relationships/hyperlink" Target="https://azizstan.net/student_image/26248.jpg" TargetMode="External"/><Relationship Id="rId467" Type="http://schemas.openxmlformats.org/officeDocument/2006/relationships/hyperlink" Target="https://azizstan.net/student_image/26224.jpg" TargetMode="External"/><Relationship Id="rId1290" Type="http://schemas.openxmlformats.org/officeDocument/2006/relationships/hyperlink" Target="https://azizstan.net/student_image/25106.jpg" TargetMode="External"/><Relationship Id="rId1291" Type="http://schemas.openxmlformats.org/officeDocument/2006/relationships/hyperlink" Target="https://azizstan.net/student_image/25129.jpg" TargetMode="External"/><Relationship Id="rId1292" Type="http://schemas.openxmlformats.org/officeDocument/2006/relationships/hyperlink" Target="https://azizstan.net/student_image/25142.jpg" TargetMode="External"/><Relationship Id="rId462" Type="http://schemas.openxmlformats.org/officeDocument/2006/relationships/hyperlink" Target="https://azizstan.net/student_image/26104.jpg" TargetMode="External"/><Relationship Id="rId1293" Type="http://schemas.openxmlformats.org/officeDocument/2006/relationships/hyperlink" Target="https://azizstan.net/student_image/25148.jpg" TargetMode="External"/><Relationship Id="rId2140" Type="http://schemas.openxmlformats.org/officeDocument/2006/relationships/hyperlink" Target="https://azizstan.net/student_image/22794.jpg" TargetMode="External"/><Relationship Id="rId461" Type="http://schemas.openxmlformats.org/officeDocument/2006/relationships/hyperlink" Target="https://azizstan.net/student_image/26097.jpg" TargetMode="External"/><Relationship Id="rId1294" Type="http://schemas.openxmlformats.org/officeDocument/2006/relationships/hyperlink" Target="https://azizstan.net/student_image/25149.jpg" TargetMode="External"/><Relationship Id="rId2141" Type="http://schemas.openxmlformats.org/officeDocument/2006/relationships/hyperlink" Target="https://azizstan.net/student_image/22809.jpg" TargetMode="External"/><Relationship Id="rId460" Type="http://schemas.openxmlformats.org/officeDocument/2006/relationships/hyperlink" Target="https://azizstan.net/student_image/26064.jpg" TargetMode="External"/><Relationship Id="rId1295" Type="http://schemas.openxmlformats.org/officeDocument/2006/relationships/hyperlink" Target="https://azizstan.net/student_image/25208.jpg" TargetMode="External"/><Relationship Id="rId2142" Type="http://schemas.openxmlformats.org/officeDocument/2006/relationships/hyperlink" Target="https://azizstan.net/student_image/22845.jpg" TargetMode="External"/><Relationship Id="rId1296" Type="http://schemas.openxmlformats.org/officeDocument/2006/relationships/hyperlink" Target="https://azizstan.net/student_image/25224.jpg" TargetMode="External"/><Relationship Id="rId2143" Type="http://schemas.openxmlformats.org/officeDocument/2006/relationships/hyperlink" Target="https://azizstan.net/student_image/22863.jpg" TargetMode="External"/><Relationship Id="rId466" Type="http://schemas.openxmlformats.org/officeDocument/2006/relationships/hyperlink" Target="https://azizstan.net/student_image/26179.jpg" TargetMode="External"/><Relationship Id="rId1297" Type="http://schemas.openxmlformats.org/officeDocument/2006/relationships/hyperlink" Target="https://azizstan.net/student_image/24589.jpg" TargetMode="External"/><Relationship Id="rId2144" Type="http://schemas.openxmlformats.org/officeDocument/2006/relationships/hyperlink" Target="https://azizstan.net/student_image/22877.jpg" TargetMode="External"/><Relationship Id="rId465" Type="http://schemas.openxmlformats.org/officeDocument/2006/relationships/hyperlink" Target="https://azizstan.net/student_image/26162.jpg" TargetMode="External"/><Relationship Id="rId1298" Type="http://schemas.openxmlformats.org/officeDocument/2006/relationships/hyperlink" Target="https://azizstan.net/student_image/24600.jpg" TargetMode="External"/><Relationship Id="rId2145" Type="http://schemas.openxmlformats.org/officeDocument/2006/relationships/hyperlink" Target="https://azizstan.net/student_image/22903.jpg" TargetMode="External"/><Relationship Id="rId464" Type="http://schemas.openxmlformats.org/officeDocument/2006/relationships/hyperlink" Target="https://azizstan.net/student_image/26152.jpg" TargetMode="External"/><Relationship Id="rId1299" Type="http://schemas.openxmlformats.org/officeDocument/2006/relationships/hyperlink" Target="https://azizstan.net/student_image/24620.jpg" TargetMode="External"/><Relationship Id="rId2146" Type="http://schemas.openxmlformats.org/officeDocument/2006/relationships/hyperlink" Target="https://azizstan.net/student_image/22942.jpg" TargetMode="External"/><Relationship Id="rId463" Type="http://schemas.openxmlformats.org/officeDocument/2006/relationships/hyperlink" Target="https://azizstan.net/student_image/26135.jpg" TargetMode="External"/><Relationship Id="rId2147" Type="http://schemas.openxmlformats.org/officeDocument/2006/relationships/hyperlink" Target="https://azizstan.net/student_image/22952.jpg" TargetMode="External"/><Relationship Id="rId2137" Type="http://schemas.openxmlformats.org/officeDocument/2006/relationships/hyperlink" Target="https://azizstan.net/student_image/22690.jpg" TargetMode="External"/><Relationship Id="rId2138" Type="http://schemas.openxmlformats.org/officeDocument/2006/relationships/hyperlink" Target="https://azizstan.net/student_image/22729.jpg" TargetMode="External"/><Relationship Id="rId2139" Type="http://schemas.openxmlformats.org/officeDocument/2006/relationships/hyperlink" Target="https://azizstan.net/student_image/22739.jpg" TargetMode="External"/><Relationship Id="rId459" Type="http://schemas.openxmlformats.org/officeDocument/2006/relationships/hyperlink" Target="https://azizstan.net/student_image/26732.jpg" TargetMode="External"/><Relationship Id="rId458" Type="http://schemas.openxmlformats.org/officeDocument/2006/relationships/hyperlink" Target="https://azizstan.net/student_image/26596.jpg" TargetMode="External"/><Relationship Id="rId457" Type="http://schemas.openxmlformats.org/officeDocument/2006/relationships/hyperlink" Target="https://azizstan.net/student_image/26548.jpg" TargetMode="External"/><Relationship Id="rId456" Type="http://schemas.openxmlformats.org/officeDocument/2006/relationships/hyperlink" Target="https://azizstan.net/student_image/26509.jpg" TargetMode="External"/><Relationship Id="rId1280" Type="http://schemas.openxmlformats.org/officeDocument/2006/relationships/hyperlink" Target="https://azizstan.net/student_image/24838.jpg" TargetMode="External"/><Relationship Id="rId1281" Type="http://schemas.openxmlformats.org/officeDocument/2006/relationships/hyperlink" Target="https://azizstan.net/student_image/24950.jpg" TargetMode="External"/><Relationship Id="rId451" Type="http://schemas.openxmlformats.org/officeDocument/2006/relationships/hyperlink" Target="https://azizstan.net/student_image/26434.jpg" TargetMode="External"/><Relationship Id="rId1282" Type="http://schemas.openxmlformats.org/officeDocument/2006/relationships/hyperlink" Target="https://azizstan.net/student_image/24968.jpg" TargetMode="External"/><Relationship Id="rId450" Type="http://schemas.openxmlformats.org/officeDocument/2006/relationships/hyperlink" Target="https://azizstan.net/student_image/26375.jpg" TargetMode="External"/><Relationship Id="rId1283" Type="http://schemas.openxmlformats.org/officeDocument/2006/relationships/hyperlink" Target="https://azizstan.net/student_image/24975.jpg" TargetMode="External"/><Relationship Id="rId2130" Type="http://schemas.openxmlformats.org/officeDocument/2006/relationships/hyperlink" Target="https://azizstan.net/student_image/25532.jpg" TargetMode="External"/><Relationship Id="rId1284" Type="http://schemas.openxmlformats.org/officeDocument/2006/relationships/hyperlink" Target="https://azizstan.net/student_image/24997.jpg" TargetMode="External"/><Relationship Id="rId2131" Type="http://schemas.openxmlformats.org/officeDocument/2006/relationships/hyperlink" Target="https://azizstan.net/student_image/25940.jpg" TargetMode="External"/><Relationship Id="rId1285" Type="http://schemas.openxmlformats.org/officeDocument/2006/relationships/hyperlink" Target="https://azizstan.net/student_image/25006.jpg" TargetMode="External"/><Relationship Id="rId2132" Type="http://schemas.openxmlformats.org/officeDocument/2006/relationships/hyperlink" Target="https://azizstan.net/student_image/26024.jpg" TargetMode="External"/><Relationship Id="rId455" Type="http://schemas.openxmlformats.org/officeDocument/2006/relationships/hyperlink" Target="https://azizstan.net/student_image/26506.jpg" TargetMode="External"/><Relationship Id="rId1286" Type="http://schemas.openxmlformats.org/officeDocument/2006/relationships/hyperlink" Target="https://azizstan.net/student_image/25048.jpg" TargetMode="External"/><Relationship Id="rId2133" Type="http://schemas.openxmlformats.org/officeDocument/2006/relationships/hyperlink" Target="https://azizstan.net/student_image/26803.jpg" TargetMode="External"/><Relationship Id="rId454" Type="http://schemas.openxmlformats.org/officeDocument/2006/relationships/hyperlink" Target="https://azizstan.net/student_image/26482.jpg" TargetMode="External"/><Relationship Id="rId1287" Type="http://schemas.openxmlformats.org/officeDocument/2006/relationships/hyperlink" Target="https://azizstan.net/student_image/25056.jpg" TargetMode="External"/><Relationship Id="rId2134" Type="http://schemas.openxmlformats.org/officeDocument/2006/relationships/hyperlink" Target="https://azizstan.net/student_image/22672.jpg" TargetMode="External"/><Relationship Id="rId453" Type="http://schemas.openxmlformats.org/officeDocument/2006/relationships/hyperlink" Target="https://azizstan.net/student_image/26468.jpg" TargetMode="External"/><Relationship Id="rId1288" Type="http://schemas.openxmlformats.org/officeDocument/2006/relationships/hyperlink" Target="https://azizstan.net/student_image/25061.jpg" TargetMode="External"/><Relationship Id="rId2135" Type="http://schemas.openxmlformats.org/officeDocument/2006/relationships/hyperlink" Target="https://azizstan.net/student_image/22676.jpg" TargetMode="External"/><Relationship Id="rId452" Type="http://schemas.openxmlformats.org/officeDocument/2006/relationships/hyperlink" Target="https://azizstan.net/student_image/26458.jpg" TargetMode="External"/><Relationship Id="rId1289" Type="http://schemas.openxmlformats.org/officeDocument/2006/relationships/hyperlink" Target="https://azizstan.net/student_image/25105.jpg" TargetMode="External"/><Relationship Id="rId2136" Type="http://schemas.openxmlformats.org/officeDocument/2006/relationships/hyperlink" Target="https://azizstan.net/student_image/22682.jpg" TargetMode="External"/><Relationship Id="rId491" Type="http://schemas.openxmlformats.org/officeDocument/2006/relationships/hyperlink" Target="https://azizstan.net/student_image/26684.jpg" TargetMode="External"/><Relationship Id="rId490" Type="http://schemas.openxmlformats.org/officeDocument/2006/relationships/hyperlink" Target="https://azizstan.net/student_image/26633.jpg" TargetMode="External"/><Relationship Id="rId489" Type="http://schemas.openxmlformats.org/officeDocument/2006/relationships/hyperlink" Target="https://azizstan.net/student_image/26622.jpg" TargetMode="External"/><Relationship Id="rId2160" Type="http://schemas.openxmlformats.org/officeDocument/2006/relationships/hyperlink" Target="https://azizstan.net/student_image/23277.jpg" TargetMode="External"/><Relationship Id="rId2161" Type="http://schemas.openxmlformats.org/officeDocument/2006/relationships/hyperlink" Target="https://azizstan.net/student_image/23279.jpg" TargetMode="External"/><Relationship Id="rId484" Type="http://schemas.openxmlformats.org/officeDocument/2006/relationships/hyperlink" Target="https://azizstan.net/student_image/26507.jpg" TargetMode="External"/><Relationship Id="rId2162" Type="http://schemas.openxmlformats.org/officeDocument/2006/relationships/hyperlink" Target="https://azizstan.net/student_image/23304.jpg" TargetMode="External"/><Relationship Id="rId483" Type="http://schemas.openxmlformats.org/officeDocument/2006/relationships/hyperlink" Target="https://azizstan.net/student_image/26486.jpg" TargetMode="External"/><Relationship Id="rId2163" Type="http://schemas.openxmlformats.org/officeDocument/2006/relationships/hyperlink" Target="https://azizstan.net/student_image/24586.jpg" TargetMode="External"/><Relationship Id="rId482" Type="http://schemas.openxmlformats.org/officeDocument/2006/relationships/hyperlink" Target="https://azizstan.net/student_image/26462.jpg" TargetMode="External"/><Relationship Id="rId2164" Type="http://schemas.openxmlformats.org/officeDocument/2006/relationships/hyperlink" Target="https://azizstan.net/student_image/24653.jpg" TargetMode="External"/><Relationship Id="rId481" Type="http://schemas.openxmlformats.org/officeDocument/2006/relationships/hyperlink" Target="https://azizstan.net/student_image/26460.jpg" TargetMode="External"/><Relationship Id="rId2165" Type="http://schemas.openxmlformats.org/officeDocument/2006/relationships/hyperlink" Target="https://azizstan.net/student_image/24669.jpg" TargetMode="External"/><Relationship Id="rId488" Type="http://schemas.openxmlformats.org/officeDocument/2006/relationships/hyperlink" Target="https://azizstan.net/student_image/26611.jpg" TargetMode="External"/><Relationship Id="rId2166" Type="http://schemas.openxmlformats.org/officeDocument/2006/relationships/hyperlink" Target="https://azizstan.net/student_image/24813.jpg" TargetMode="External"/><Relationship Id="rId487" Type="http://schemas.openxmlformats.org/officeDocument/2006/relationships/hyperlink" Target="https://azizstan.net/student_image/26594.jpg" TargetMode="External"/><Relationship Id="rId2167" Type="http://schemas.openxmlformats.org/officeDocument/2006/relationships/hyperlink" Target="https://azizstan.net/student_image/24820.jpg" TargetMode="External"/><Relationship Id="rId486" Type="http://schemas.openxmlformats.org/officeDocument/2006/relationships/hyperlink" Target="https://azizstan.net/student_image/26573.jpg" TargetMode="External"/><Relationship Id="rId2168" Type="http://schemas.openxmlformats.org/officeDocument/2006/relationships/hyperlink" Target="https://azizstan.net/student_image/24874.jpg" TargetMode="External"/><Relationship Id="rId485" Type="http://schemas.openxmlformats.org/officeDocument/2006/relationships/hyperlink" Target="https://azizstan.net/student_image/26546.jpg" TargetMode="External"/><Relationship Id="rId2169" Type="http://schemas.openxmlformats.org/officeDocument/2006/relationships/hyperlink" Target="https://azizstan.net/student_image/24929.jpg" TargetMode="External"/><Relationship Id="rId2159" Type="http://schemas.openxmlformats.org/officeDocument/2006/relationships/hyperlink" Target="https://azizstan.net/student_image/23269.jpg" TargetMode="External"/><Relationship Id="rId480" Type="http://schemas.openxmlformats.org/officeDocument/2006/relationships/hyperlink" Target="https://azizstan.net/student_image/26455.jpg" TargetMode="External"/><Relationship Id="rId479" Type="http://schemas.openxmlformats.org/officeDocument/2006/relationships/hyperlink" Target="https://azizstan.net/student_image/26431.jpg" TargetMode="External"/><Relationship Id="rId478" Type="http://schemas.openxmlformats.org/officeDocument/2006/relationships/hyperlink" Target="https://azizstan.net/student_image/26403.jpg" TargetMode="External"/><Relationship Id="rId2150" Type="http://schemas.openxmlformats.org/officeDocument/2006/relationships/hyperlink" Target="https://azizstan.net/student_image/22988.jpg" TargetMode="External"/><Relationship Id="rId473" Type="http://schemas.openxmlformats.org/officeDocument/2006/relationships/hyperlink" Target="https://azizstan.net/student_image/26325.jpg" TargetMode="External"/><Relationship Id="rId2151" Type="http://schemas.openxmlformats.org/officeDocument/2006/relationships/hyperlink" Target="https://azizstan.net/student_image/23012.jpg" TargetMode="External"/><Relationship Id="rId472" Type="http://schemas.openxmlformats.org/officeDocument/2006/relationships/hyperlink" Target="https://azizstan.net/student_image/26320.jpg" TargetMode="External"/><Relationship Id="rId2152" Type="http://schemas.openxmlformats.org/officeDocument/2006/relationships/hyperlink" Target="https://azizstan.net/student_image/23026.jpg" TargetMode="External"/><Relationship Id="rId471" Type="http://schemas.openxmlformats.org/officeDocument/2006/relationships/hyperlink" Target="https://azizstan.net/student_image/26317.jpg" TargetMode="External"/><Relationship Id="rId2153" Type="http://schemas.openxmlformats.org/officeDocument/2006/relationships/hyperlink" Target="https://azizstan.net/student_image/23042.jpg" TargetMode="External"/><Relationship Id="rId470" Type="http://schemas.openxmlformats.org/officeDocument/2006/relationships/hyperlink" Target="https://azizstan.net/student_image/26288.jpg" TargetMode="External"/><Relationship Id="rId2154" Type="http://schemas.openxmlformats.org/officeDocument/2006/relationships/hyperlink" Target="https://azizstan.net/student_image/23069.jpg" TargetMode="External"/><Relationship Id="rId477" Type="http://schemas.openxmlformats.org/officeDocument/2006/relationships/hyperlink" Target="https://azizstan.net/student_image/26395.jpg" TargetMode="External"/><Relationship Id="rId2155" Type="http://schemas.openxmlformats.org/officeDocument/2006/relationships/hyperlink" Target="https://azizstan.net/student_image/23098.jpg" TargetMode="External"/><Relationship Id="rId476" Type="http://schemas.openxmlformats.org/officeDocument/2006/relationships/hyperlink" Target="https://azizstan.net/student_image/26387.jpg" TargetMode="External"/><Relationship Id="rId2156" Type="http://schemas.openxmlformats.org/officeDocument/2006/relationships/hyperlink" Target="https://azizstan.net/student_image/23114.jpg" TargetMode="External"/><Relationship Id="rId475" Type="http://schemas.openxmlformats.org/officeDocument/2006/relationships/hyperlink" Target="https://azizstan.net/student_image/26385.jpg" TargetMode="External"/><Relationship Id="rId2157" Type="http://schemas.openxmlformats.org/officeDocument/2006/relationships/hyperlink" Target="https://azizstan.net/student_image/23227.jpg" TargetMode="External"/><Relationship Id="rId474" Type="http://schemas.openxmlformats.org/officeDocument/2006/relationships/hyperlink" Target="https://azizstan.net/student_image/26333.jpg" TargetMode="External"/><Relationship Id="rId2158" Type="http://schemas.openxmlformats.org/officeDocument/2006/relationships/hyperlink" Target="https://azizstan.net/student_image/23239.jpg" TargetMode="External"/><Relationship Id="rId1257" Type="http://schemas.openxmlformats.org/officeDocument/2006/relationships/hyperlink" Target="https://azizstan.net/student_image/24941.jpg" TargetMode="External"/><Relationship Id="rId2104" Type="http://schemas.openxmlformats.org/officeDocument/2006/relationships/hyperlink" Target="https://azizstan.net/student_image/22741.jpg" TargetMode="External"/><Relationship Id="rId2588" Type="http://schemas.openxmlformats.org/officeDocument/2006/relationships/hyperlink" Target="https://azizstan.net/student_image_voc/6620204025.jpg" TargetMode="External"/><Relationship Id="rId1258" Type="http://schemas.openxmlformats.org/officeDocument/2006/relationships/hyperlink" Target="https://azizstan.net/student_image/24962.jpg" TargetMode="External"/><Relationship Id="rId2105" Type="http://schemas.openxmlformats.org/officeDocument/2006/relationships/hyperlink" Target="https://azizstan.net/student_image/22746.jpg" TargetMode="External"/><Relationship Id="rId2589" Type="http://schemas.openxmlformats.org/officeDocument/2006/relationships/hyperlink" Target="https://azizstan.net/student_image_voc/6620204026.jpg" TargetMode="External"/><Relationship Id="rId1259" Type="http://schemas.openxmlformats.org/officeDocument/2006/relationships/hyperlink" Target="https://azizstan.net/student_image/24985.jpg" TargetMode="External"/><Relationship Id="rId2106" Type="http://schemas.openxmlformats.org/officeDocument/2006/relationships/hyperlink" Target="https://azizstan.net/student_image/22779.jpg" TargetMode="External"/><Relationship Id="rId2107" Type="http://schemas.openxmlformats.org/officeDocument/2006/relationships/hyperlink" Target="https://azizstan.net/student_image/22825.jpg" TargetMode="External"/><Relationship Id="rId2108" Type="http://schemas.openxmlformats.org/officeDocument/2006/relationships/hyperlink" Target="https://azizstan.net/student_image/22862.jpg" TargetMode="External"/><Relationship Id="rId2109" Type="http://schemas.openxmlformats.org/officeDocument/2006/relationships/hyperlink" Target="https://azizstan.net/student_image/22905.jpg" TargetMode="External"/><Relationship Id="rId426" Type="http://schemas.openxmlformats.org/officeDocument/2006/relationships/hyperlink" Target="https://azizstan.net/student_image/26068.jpg" TargetMode="External"/><Relationship Id="rId425" Type="http://schemas.openxmlformats.org/officeDocument/2006/relationships/hyperlink" Target="https://azizstan.net/student_image/26067.jpg" TargetMode="External"/><Relationship Id="rId424" Type="http://schemas.openxmlformats.org/officeDocument/2006/relationships/hyperlink" Target="https://azizstan.net/student_image/26058.jpg" TargetMode="External"/><Relationship Id="rId423" Type="http://schemas.openxmlformats.org/officeDocument/2006/relationships/hyperlink" Target="https://azizstan.net/student_image/26047.jpg" TargetMode="External"/><Relationship Id="rId429" Type="http://schemas.openxmlformats.org/officeDocument/2006/relationships/hyperlink" Target="https://azizstan.net/student_image/26092.jpg" TargetMode="External"/><Relationship Id="rId428" Type="http://schemas.openxmlformats.org/officeDocument/2006/relationships/hyperlink" Target="https://azizstan.net/student_image/26084.jpg" TargetMode="External"/><Relationship Id="rId427" Type="http://schemas.openxmlformats.org/officeDocument/2006/relationships/hyperlink" Target="https://azizstan.net/student_image/26080.jpg" TargetMode="External"/><Relationship Id="rId2580" Type="http://schemas.openxmlformats.org/officeDocument/2006/relationships/hyperlink" Target="https://azizstan.net/student_image_voc/6721910188.jpg" TargetMode="External"/><Relationship Id="rId1250" Type="http://schemas.openxmlformats.org/officeDocument/2006/relationships/hyperlink" Target="https://azizstan.net/student_image/24862.jpg" TargetMode="External"/><Relationship Id="rId2581" Type="http://schemas.openxmlformats.org/officeDocument/2006/relationships/hyperlink" Target="https://azizstan.net/student_image_voc/6620204012.jpg" TargetMode="External"/><Relationship Id="rId1251" Type="http://schemas.openxmlformats.org/officeDocument/2006/relationships/hyperlink" Target="https://azizstan.net/student_image/24867.jpg" TargetMode="External"/><Relationship Id="rId2582" Type="http://schemas.openxmlformats.org/officeDocument/2006/relationships/hyperlink" Target="https://azizstan.net/student_image_voc/6620204014.jpg" TargetMode="External"/><Relationship Id="rId1252" Type="http://schemas.openxmlformats.org/officeDocument/2006/relationships/hyperlink" Target="https://azizstan.net/student_image/24869.jpg" TargetMode="External"/><Relationship Id="rId2583" Type="http://schemas.openxmlformats.org/officeDocument/2006/relationships/hyperlink" Target="https://azizstan.net/student_image_voc/6620204015.jpg" TargetMode="External"/><Relationship Id="rId422" Type="http://schemas.openxmlformats.org/officeDocument/2006/relationships/hyperlink" Target="https://azizstan.net/student_image/26039.jpg" TargetMode="External"/><Relationship Id="rId1253" Type="http://schemas.openxmlformats.org/officeDocument/2006/relationships/hyperlink" Target="https://azizstan.net/student_image/24883.jpg" TargetMode="External"/><Relationship Id="rId2100" Type="http://schemas.openxmlformats.org/officeDocument/2006/relationships/hyperlink" Target="https://azizstan.net/student_image/22344.jpg" TargetMode="External"/><Relationship Id="rId2584" Type="http://schemas.openxmlformats.org/officeDocument/2006/relationships/hyperlink" Target="https://azizstan.net/student_image_voc/6620204016.jpg" TargetMode="External"/><Relationship Id="rId421" Type="http://schemas.openxmlformats.org/officeDocument/2006/relationships/hyperlink" Target="https://azizstan.net/student_image/26807.jpg" TargetMode="External"/><Relationship Id="rId1254" Type="http://schemas.openxmlformats.org/officeDocument/2006/relationships/hyperlink" Target="https://azizstan.net/student_image/24914.jpg" TargetMode="External"/><Relationship Id="rId2101" Type="http://schemas.openxmlformats.org/officeDocument/2006/relationships/hyperlink" Target="https://azizstan.net/student_image/22700.jpg" TargetMode="External"/><Relationship Id="rId2585" Type="http://schemas.openxmlformats.org/officeDocument/2006/relationships/hyperlink" Target="https://azizstan.net/student_image_voc/6620204017.jpg" TargetMode="External"/><Relationship Id="rId420" Type="http://schemas.openxmlformats.org/officeDocument/2006/relationships/hyperlink" Target="https://azizstan.net/student_image/26763.jpg" TargetMode="External"/><Relationship Id="rId1255" Type="http://schemas.openxmlformats.org/officeDocument/2006/relationships/hyperlink" Target="https://azizstan.net/student_image/24931.jpg" TargetMode="External"/><Relationship Id="rId2102" Type="http://schemas.openxmlformats.org/officeDocument/2006/relationships/hyperlink" Target="https://azizstan.net/student_image/22709.jpg" TargetMode="External"/><Relationship Id="rId2586" Type="http://schemas.openxmlformats.org/officeDocument/2006/relationships/hyperlink" Target="https://azizstan.net/student_image_voc/6620204018.jpg" TargetMode="External"/><Relationship Id="rId1256" Type="http://schemas.openxmlformats.org/officeDocument/2006/relationships/hyperlink" Target="https://azizstan.net/student_image/24938.jpg" TargetMode="External"/><Relationship Id="rId2103" Type="http://schemas.openxmlformats.org/officeDocument/2006/relationships/hyperlink" Target="https://azizstan.net/student_image/22728.jpg" TargetMode="External"/><Relationship Id="rId2587" Type="http://schemas.openxmlformats.org/officeDocument/2006/relationships/hyperlink" Target="https://azizstan.net/student_image_voc/6620204021.jpg" TargetMode="External"/><Relationship Id="rId1246" Type="http://schemas.openxmlformats.org/officeDocument/2006/relationships/hyperlink" Target="https://azizstan.net/student_image/24751.jpg" TargetMode="External"/><Relationship Id="rId2577" Type="http://schemas.openxmlformats.org/officeDocument/2006/relationships/hyperlink" Target="https://azizstan.net/student_image_voc/6721910181.jpg" TargetMode="External"/><Relationship Id="rId1247" Type="http://schemas.openxmlformats.org/officeDocument/2006/relationships/hyperlink" Target="https://azizstan.net/student_image/24757.jpg" TargetMode="External"/><Relationship Id="rId2578" Type="http://schemas.openxmlformats.org/officeDocument/2006/relationships/hyperlink" Target="https://azizstan.net/student_image_voc/6721910184.jpg" TargetMode="External"/><Relationship Id="rId1248" Type="http://schemas.openxmlformats.org/officeDocument/2006/relationships/hyperlink" Target="https://azizstan.net/student_image/24793.jpg" TargetMode="External"/><Relationship Id="rId2579" Type="http://schemas.openxmlformats.org/officeDocument/2006/relationships/hyperlink" Target="https://azizstan.net/student_image_voc/6721910187.jpg" TargetMode="External"/><Relationship Id="rId1249" Type="http://schemas.openxmlformats.org/officeDocument/2006/relationships/hyperlink" Target="https://azizstan.net/student_image/24814.jpg" TargetMode="External"/><Relationship Id="rId415" Type="http://schemas.openxmlformats.org/officeDocument/2006/relationships/hyperlink" Target="https://azizstan.net/student_image/26445.jpg" TargetMode="External"/><Relationship Id="rId899" Type="http://schemas.openxmlformats.org/officeDocument/2006/relationships/hyperlink" Target="https://azizstan.net/student_image/25456.jpg" TargetMode="External"/><Relationship Id="rId414" Type="http://schemas.openxmlformats.org/officeDocument/2006/relationships/hyperlink" Target="https://azizstan.net/student_image/26444.jpg" TargetMode="External"/><Relationship Id="rId898" Type="http://schemas.openxmlformats.org/officeDocument/2006/relationships/hyperlink" Target="https://azizstan.net/student_image/25423.jpg" TargetMode="External"/><Relationship Id="rId413" Type="http://schemas.openxmlformats.org/officeDocument/2006/relationships/hyperlink" Target="https://azizstan.net/student_image/26443.jpg" TargetMode="External"/><Relationship Id="rId897" Type="http://schemas.openxmlformats.org/officeDocument/2006/relationships/hyperlink" Target="https://azizstan.net/student_image/25417.jpg" TargetMode="External"/><Relationship Id="rId412" Type="http://schemas.openxmlformats.org/officeDocument/2006/relationships/hyperlink" Target="https://azizstan.net/student_image/26341.jpg" TargetMode="External"/><Relationship Id="rId896" Type="http://schemas.openxmlformats.org/officeDocument/2006/relationships/hyperlink" Target="https://azizstan.net/student_image/25404.jpg" TargetMode="External"/><Relationship Id="rId419" Type="http://schemas.openxmlformats.org/officeDocument/2006/relationships/hyperlink" Target="https://azizstan.net/student_image/26730.jpg" TargetMode="External"/><Relationship Id="rId418" Type="http://schemas.openxmlformats.org/officeDocument/2006/relationships/hyperlink" Target="https://azizstan.net/student_image/26721.jpg" TargetMode="External"/><Relationship Id="rId417" Type="http://schemas.openxmlformats.org/officeDocument/2006/relationships/hyperlink" Target="https://azizstan.net/student_image/26521.jpg" TargetMode="External"/><Relationship Id="rId416" Type="http://schemas.openxmlformats.org/officeDocument/2006/relationships/hyperlink" Target="https://azizstan.net/student_image/26505.jpg" TargetMode="External"/><Relationship Id="rId891" Type="http://schemas.openxmlformats.org/officeDocument/2006/relationships/hyperlink" Target="https://azizstan.net/student_image/25981.jpg" TargetMode="External"/><Relationship Id="rId890" Type="http://schemas.openxmlformats.org/officeDocument/2006/relationships/hyperlink" Target="https://azizstan.net/student_image/25915.jpg" TargetMode="External"/><Relationship Id="rId2570" Type="http://schemas.openxmlformats.org/officeDocument/2006/relationships/hyperlink" Target="https://azizstan.net/student_image_voc/6721910166.jpg" TargetMode="External"/><Relationship Id="rId1240" Type="http://schemas.openxmlformats.org/officeDocument/2006/relationships/hyperlink" Target="https://azizstan.net/student_image/24695.jpg" TargetMode="External"/><Relationship Id="rId2571" Type="http://schemas.openxmlformats.org/officeDocument/2006/relationships/hyperlink" Target="https://azizstan.net/student_image_voc/6721910170.jpg" TargetMode="External"/><Relationship Id="rId1241" Type="http://schemas.openxmlformats.org/officeDocument/2006/relationships/hyperlink" Target="https://azizstan.net/student_image/24707.jpg" TargetMode="External"/><Relationship Id="rId2572" Type="http://schemas.openxmlformats.org/officeDocument/2006/relationships/hyperlink" Target="https://azizstan.net/student_image_voc/6721910171.jpg" TargetMode="External"/><Relationship Id="rId411" Type="http://schemas.openxmlformats.org/officeDocument/2006/relationships/hyperlink" Target="https://azizstan.net/student_image/26337.jpg" TargetMode="External"/><Relationship Id="rId895" Type="http://schemas.openxmlformats.org/officeDocument/2006/relationships/hyperlink" Target="https://azizstan.net/student_image/25377.jpg" TargetMode="External"/><Relationship Id="rId1242" Type="http://schemas.openxmlformats.org/officeDocument/2006/relationships/hyperlink" Target="https://azizstan.net/student_image/24718.jpg" TargetMode="External"/><Relationship Id="rId2573" Type="http://schemas.openxmlformats.org/officeDocument/2006/relationships/hyperlink" Target="https://azizstan.net/student_image_voc/6721910173.jpg" TargetMode="External"/><Relationship Id="rId410" Type="http://schemas.openxmlformats.org/officeDocument/2006/relationships/hyperlink" Target="https://azizstan.net/student_image/26297.jpg" TargetMode="External"/><Relationship Id="rId894" Type="http://schemas.openxmlformats.org/officeDocument/2006/relationships/hyperlink" Target="https://azizstan.net/student_image/25367.jpg" TargetMode="External"/><Relationship Id="rId1243" Type="http://schemas.openxmlformats.org/officeDocument/2006/relationships/hyperlink" Target="https://azizstan.net/student_image/24725.jpg" TargetMode="External"/><Relationship Id="rId2574" Type="http://schemas.openxmlformats.org/officeDocument/2006/relationships/hyperlink" Target="https://azizstan.net/student_image_voc/6721910174.jpg" TargetMode="External"/><Relationship Id="rId893" Type="http://schemas.openxmlformats.org/officeDocument/2006/relationships/hyperlink" Target="https://azizstan.net/student_image/25362.jpg" TargetMode="External"/><Relationship Id="rId1244" Type="http://schemas.openxmlformats.org/officeDocument/2006/relationships/hyperlink" Target="https://azizstan.net/student_image/24729.jpg" TargetMode="External"/><Relationship Id="rId2575" Type="http://schemas.openxmlformats.org/officeDocument/2006/relationships/hyperlink" Target="https://azizstan.net/student_image_voc/6721910178.jpg" TargetMode="External"/><Relationship Id="rId892" Type="http://schemas.openxmlformats.org/officeDocument/2006/relationships/hyperlink" Target="https://azizstan.net/student_image/25360.jpg" TargetMode="External"/><Relationship Id="rId1245" Type="http://schemas.openxmlformats.org/officeDocument/2006/relationships/hyperlink" Target="https://azizstan.net/student_image/24743.jpg" TargetMode="External"/><Relationship Id="rId2576" Type="http://schemas.openxmlformats.org/officeDocument/2006/relationships/hyperlink" Target="https://azizstan.net/student_image_voc/6721910179.jpg" TargetMode="External"/><Relationship Id="rId1279" Type="http://schemas.openxmlformats.org/officeDocument/2006/relationships/hyperlink" Target="https://azizstan.net/student_image/24781.jpg" TargetMode="External"/><Relationship Id="rId2126" Type="http://schemas.openxmlformats.org/officeDocument/2006/relationships/hyperlink" Target="https://azizstan.net/student_image/25168.jpg" TargetMode="External"/><Relationship Id="rId2127" Type="http://schemas.openxmlformats.org/officeDocument/2006/relationships/hyperlink" Target="https://azizstan.net/student_image/25269.jpg" TargetMode="External"/><Relationship Id="rId2128" Type="http://schemas.openxmlformats.org/officeDocument/2006/relationships/hyperlink" Target="https://azizstan.net/student_image/25302.jpg" TargetMode="External"/><Relationship Id="rId2129" Type="http://schemas.openxmlformats.org/officeDocument/2006/relationships/hyperlink" Target="https://azizstan.net/student_image/25306.jpg" TargetMode="External"/><Relationship Id="rId448" Type="http://schemas.openxmlformats.org/officeDocument/2006/relationships/hyperlink" Target="https://azizstan.net/student_image/26315.jpg" TargetMode="External"/><Relationship Id="rId447" Type="http://schemas.openxmlformats.org/officeDocument/2006/relationships/hyperlink" Target="https://azizstan.net/student_image/26292.jpg" TargetMode="External"/><Relationship Id="rId446" Type="http://schemas.openxmlformats.org/officeDocument/2006/relationships/hyperlink" Target="https://azizstan.net/student_image/26281.jpg" TargetMode="External"/><Relationship Id="rId445" Type="http://schemas.openxmlformats.org/officeDocument/2006/relationships/hyperlink" Target="https://azizstan.net/student_image/26267.jpg" TargetMode="External"/><Relationship Id="rId449" Type="http://schemas.openxmlformats.org/officeDocument/2006/relationships/hyperlink" Target="https://azizstan.net/student_image/26339.jpg" TargetMode="External"/><Relationship Id="rId1270" Type="http://schemas.openxmlformats.org/officeDocument/2006/relationships/hyperlink" Target="https://azizstan.net/student_image/25138.jpg" TargetMode="External"/><Relationship Id="rId440" Type="http://schemas.openxmlformats.org/officeDocument/2006/relationships/hyperlink" Target="https://azizstan.net/student_image/26204.jpg" TargetMode="External"/><Relationship Id="rId1271" Type="http://schemas.openxmlformats.org/officeDocument/2006/relationships/hyperlink" Target="https://azizstan.net/student_image/25167.jpg" TargetMode="External"/><Relationship Id="rId1272" Type="http://schemas.openxmlformats.org/officeDocument/2006/relationships/hyperlink" Target="https://azizstan.net/student_image/24621.jpg" TargetMode="External"/><Relationship Id="rId1273" Type="http://schemas.openxmlformats.org/officeDocument/2006/relationships/hyperlink" Target="https://azizstan.net/student_image/24626.jpg" TargetMode="External"/><Relationship Id="rId2120" Type="http://schemas.openxmlformats.org/officeDocument/2006/relationships/hyperlink" Target="https://azizstan.net/student_image/23209.jpg" TargetMode="External"/><Relationship Id="rId1274" Type="http://schemas.openxmlformats.org/officeDocument/2006/relationships/hyperlink" Target="https://azizstan.net/student_image/24645.jpg" TargetMode="External"/><Relationship Id="rId2121" Type="http://schemas.openxmlformats.org/officeDocument/2006/relationships/hyperlink" Target="https://azizstan.net/student_image/23276.jpg" TargetMode="External"/><Relationship Id="rId444" Type="http://schemas.openxmlformats.org/officeDocument/2006/relationships/hyperlink" Target="https://azizstan.net/student_image/26259.jpg" TargetMode="External"/><Relationship Id="rId1275" Type="http://schemas.openxmlformats.org/officeDocument/2006/relationships/hyperlink" Target="https://azizstan.net/student_image/24694.jpg" TargetMode="External"/><Relationship Id="rId2122" Type="http://schemas.openxmlformats.org/officeDocument/2006/relationships/hyperlink" Target="https://azizstan.net/student_image/24807.jpg" TargetMode="External"/><Relationship Id="rId443" Type="http://schemas.openxmlformats.org/officeDocument/2006/relationships/hyperlink" Target="https://azizstan.net/student_image/26244.jpg" TargetMode="External"/><Relationship Id="rId1276" Type="http://schemas.openxmlformats.org/officeDocument/2006/relationships/hyperlink" Target="https://azizstan.net/student_image/24720.jpg" TargetMode="External"/><Relationship Id="rId2123" Type="http://schemas.openxmlformats.org/officeDocument/2006/relationships/hyperlink" Target="https://azizstan.net/student_image/24926.jpg" TargetMode="External"/><Relationship Id="rId442" Type="http://schemas.openxmlformats.org/officeDocument/2006/relationships/hyperlink" Target="https://azizstan.net/student_image/26225.jpg" TargetMode="External"/><Relationship Id="rId1277" Type="http://schemas.openxmlformats.org/officeDocument/2006/relationships/hyperlink" Target="https://azizstan.net/student_image/24760.jpg" TargetMode="External"/><Relationship Id="rId2124" Type="http://schemas.openxmlformats.org/officeDocument/2006/relationships/hyperlink" Target="https://azizstan.net/student_image/25067.jpg" TargetMode="External"/><Relationship Id="rId441" Type="http://schemas.openxmlformats.org/officeDocument/2006/relationships/hyperlink" Target="https://azizstan.net/student_image/26214.jpg" TargetMode="External"/><Relationship Id="rId1278" Type="http://schemas.openxmlformats.org/officeDocument/2006/relationships/hyperlink" Target="https://azizstan.net/student_image/24763.jpg" TargetMode="External"/><Relationship Id="rId2125" Type="http://schemas.openxmlformats.org/officeDocument/2006/relationships/hyperlink" Target="https://azizstan.net/student_image/25140.jpg" TargetMode="External"/><Relationship Id="rId1268" Type="http://schemas.openxmlformats.org/officeDocument/2006/relationships/hyperlink" Target="https://azizstan.net/student_image/25104.jpg" TargetMode="External"/><Relationship Id="rId2115" Type="http://schemas.openxmlformats.org/officeDocument/2006/relationships/hyperlink" Target="https://azizstan.net/student_image/23077.jpg" TargetMode="External"/><Relationship Id="rId2599" Type="http://schemas.openxmlformats.org/officeDocument/2006/relationships/hyperlink" Target="https://azizstan.net/student_image_voc/6620204067.jpg" TargetMode="External"/><Relationship Id="rId1269" Type="http://schemas.openxmlformats.org/officeDocument/2006/relationships/hyperlink" Target="https://azizstan.net/student_image/25125.jpg" TargetMode="External"/><Relationship Id="rId2116" Type="http://schemas.openxmlformats.org/officeDocument/2006/relationships/hyperlink" Target="https://azizstan.net/student_image/23139.jpg" TargetMode="External"/><Relationship Id="rId2117" Type="http://schemas.openxmlformats.org/officeDocument/2006/relationships/hyperlink" Target="https://azizstan.net/student_image/23140.jpg" TargetMode="External"/><Relationship Id="rId2118" Type="http://schemas.openxmlformats.org/officeDocument/2006/relationships/hyperlink" Target="https://azizstan.net/student_image/23157.jpg" TargetMode="External"/><Relationship Id="rId2119" Type="http://schemas.openxmlformats.org/officeDocument/2006/relationships/hyperlink" Target="https://azizstan.net/student_image/23186.jpg" TargetMode="External"/><Relationship Id="rId437" Type="http://schemas.openxmlformats.org/officeDocument/2006/relationships/hyperlink" Target="https://azizstan.net/student_image/26166.jpg" TargetMode="External"/><Relationship Id="rId436" Type="http://schemas.openxmlformats.org/officeDocument/2006/relationships/hyperlink" Target="https://azizstan.net/student_image/26151.jpg" TargetMode="External"/><Relationship Id="rId435" Type="http://schemas.openxmlformats.org/officeDocument/2006/relationships/hyperlink" Target="https://azizstan.net/student_image/26150.jpg" TargetMode="External"/><Relationship Id="rId434" Type="http://schemas.openxmlformats.org/officeDocument/2006/relationships/hyperlink" Target="https://azizstan.net/student_image/26139.jpg" TargetMode="External"/><Relationship Id="rId439" Type="http://schemas.openxmlformats.org/officeDocument/2006/relationships/hyperlink" Target="https://azizstan.net/student_image/26201.jpg" TargetMode="External"/><Relationship Id="rId438" Type="http://schemas.openxmlformats.org/officeDocument/2006/relationships/hyperlink" Target="https://azizstan.net/student_image/26200.jpg" TargetMode="External"/><Relationship Id="rId2590" Type="http://schemas.openxmlformats.org/officeDocument/2006/relationships/hyperlink" Target="https://azizstan.net/student_image_voc/6620204027.jpg" TargetMode="External"/><Relationship Id="rId1260" Type="http://schemas.openxmlformats.org/officeDocument/2006/relationships/hyperlink" Target="https://azizstan.net/student_image/24987.jpg" TargetMode="External"/><Relationship Id="rId2591" Type="http://schemas.openxmlformats.org/officeDocument/2006/relationships/hyperlink" Target="https://azizstan.net/student_image_voc/6620204031.jpg" TargetMode="External"/><Relationship Id="rId1261" Type="http://schemas.openxmlformats.org/officeDocument/2006/relationships/hyperlink" Target="https://azizstan.net/student_image/25018.jpg" TargetMode="External"/><Relationship Id="rId2592" Type="http://schemas.openxmlformats.org/officeDocument/2006/relationships/hyperlink" Target="https://azizstan.net/student_image_voc/6620204036.jpg" TargetMode="External"/><Relationship Id="rId1262" Type="http://schemas.openxmlformats.org/officeDocument/2006/relationships/hyperlink" Target="https://azizstan.net/student_image/25034.jpg" TargetMode="External"/><Relationship Id="rId2593" Type="http://schemas.openxmlformats.org/officeDocument/2006/relationships/hyperlink" Target="https://azizstan.net/student_image_voc/6620204049.jpg" TargetMode="External"/><Relationship Id="rId1263" Type="http://schemas.openxmlformats.org/officeDocument/2006/relationships/hyperlink" Target="https://azizstan.net/student_image/25042.jpg" TargetMode="External"/><Relationship Id="rId2110" Type="http://schemas.openxmlformats.org/officeDocument/2006/relationships/hyperlink" Target="https://azizstan.net/student_image/22956.jpg" TargetMode="External"/><Relationship Id="rId2594" Type="http://schemas.openxmlformats.org/officeDocument/2006/relationships/hyperlink" Target="https://azizstan.net/student_image_voc/6620204053.jpg" TargetMode="External"/><Relationship Id="rId433" Type="http://schemas.openxmlformats.org/officeDocument/2006/relationships/hyperlink" Target="https://azizstan.net/student_image/26123.jpg" TargetMode="External"/><Relationship Id="rId1264" Type="http://schemas.openxmlformats.org/officeDocument/2006/relationships/hyperlink" Target="https://azizstan.net/student_image/25043.jpg" TargetMode="External"/><Relationship Id="rId2111" Type="http://schemas.openxmlformats.org/officeDocument/2006/relationships/hyperlink" Target="https://azizstan.net/student_image/22963.jpg" TargetMode="External"/><Relationship Id="rId2595" Type="http://schemas.openxmlformats.org/officeDocument/2006/relationships/hyperlink" Target="https://azizstan.net/student_image_voc/6620204056.jpg" TargetMode="External"/><Relationship Id="rId432" Type="http://schemas.openxmlformats.org/officeDocument/2006/relationships/hyperlink" Target="https://azizstan.net/student_image/26114.jpg" TargetMode="External"/><Relationship Id="rId1265" Type="http://schemas.openxmlformats.org/officeDocument/2006/relationships/hyperlink" Target="https://azizstan.net/student_image/25078.jpg" TargetMode="External"/><Relationship Id="rId2112" Type="http://schemas.openxmlformats.org/officeDocument/2006/relationships/hyperlink" Target="https://azizstan.net/student_image/22969.jpg" TargetMode="External"/><Relationship Id="rId2596" Type="http://schemas.openxmlformats.org/officeDocument/2006/relationships/hyperlink" Target="https://azizstan.net/student_image_voc/6620204057.jpg" TargetMode="External"/><Relationship Id="rId431" Type="http://schemas.openxmlformats.org/officeDocument/2006/relationships/hyperlink" Target="https://azizstan.net/student_image/26108.jpg" TargetMode="External"/><Relationship Id="rId1266" Type="http://schemas.openxmlformats.org/officeDocument/2006/relationships/hyperlink" Target="https://azizstan.net/student_image/25080.jpg" TargetMode="External"/><Relationship Id="rId2113" Type="http://schemas.openxmlformats.org/officeDocument/2006/relationships/hyperlink" Target="https://azizstan.net/student_image/23021.jpg" TargetMode="External"/><Relationship Id="rId2597" Type="http://schemas.openxmlformats.org/officeDocument/2006/relationships/hyperlink" Target="https://azizstan.net/student_image_voc/6620204058.jpg" TargetMode="External"/><Relationship Id="rId430" Type="http://schemas.openxmlformats.org/officeDocument/2006/relationships/hyperlink" Target="https://azizstan.net/student_image/26107.jpg" TargetMode="External"/><Relationship Id="rId1267" Type="http://schemas.openxmlformats.org/officeDocument/2006/relationships/hyperlink" Target="https://azizstan.net/student_image/25090.jpg" TargetMode="External"/><Relationship Id="rId2114" Type="http://schemas.openxmlformats.org/officeDocument/2006/relationships/hyperlink" Target="https://azizstan.net/student_image/23050.jpg" TargetMode="External"/><Relationship Id="rId2598" Type="http://schemas.openxmlformats.org/officeDocument/2006/relationships/hyperlink" Target="https://azizstan.net/student_image_voc/6620204066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bF87Y1pHk_ksyTqaD_j8FFWGCbruCPq/view?usp=sharing" TargetMode="External"/><Relationship Id="rId2" Type="http://schemas.openxmlformats.org/officeDocument/2006/relationships/hyperlink" Target="https://kruhambal.my.canva.site/ypa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YJ00OF4Kr3SnArP8tsqVvgqg4gSyCU4/view?usp=drivesdk" TargetMode="External"/><Relationship Id="rId2" Type="http://schemas.openxmlformats.org/officeDocument/2006/relationships/hyperlink" Target="https://drive.google.com/file/d/1g_R3MY5eoMVgrGKWP8JXeyXbtKoq3WiX/view?usp=drivesdk" TargetMode="External"/><Relationship Id="rId3" Type="http://schemas.openxmlformats.org/officeDocument/2006/relationships/hyperlink" Target="https://drive.google.com/file/d/172H0FbDqjjyA_QV5lm1XShFzjaPNRK97/view?usp=drivesdk" TargetMode="External"/><Relationship Id="rId4" Type="http://schemas.openxmlformats.org/officeDocument/2006/relationships/hyperlink" Target="https://drive.google.com/file/d/1DDQm1wp3jlXt49KsYNClY8UUxuiNxX0Z/view?usp=drivesdk" TargetMode="External"/><Relationship Id="rId9" Type="http://schemas.openxmlformats.org/officeDocument/2006/relationships/hyperlink" Target="https://drive.google.com/file/d/1-s54sMzYIgbuiekTuloCcX0waRX5wbT1/view?usp=drivesdk" TargetMode="External"/><Relationship Id="rId5" Type="http://schemas.openxmlformats.org/officeDocument/2006/relationships/hyperlink" Target="https://drive.google.com/file/d/19X8DukdQQdwSrFPWfLGAwZfVgRyDUjpW/view?usp=drivesdk" TargetMode="External"/><Relationship Id="rId6" Type="http://schemas.openxmlformats.org/officeDocument/2006/relationships/hyperlink" Target="https://drive.google.com/file/d/1RzflS43Xijk6MNxmPXPBxVwiaVHj2UMi/view?usp=drivesdk" TargetMode="External"/><Relationship Id="rId7" Type="http://schemas.openxmlformats.org/officeDocument/2006/relationships/hyperlink" Target="https://drive.google.com/file/d/153eMIk9fsCHL-oY5udytbfy-e_51uqKq/view?usp=drivesdk" TargetMode="External"/><Relationship Id="rId8" Type="http://schemas.openxmlformats.org/officeDocument/2006/relationships/hyperlink" Target="https://drive.google.com/file/d/1EQoEW6u0t-MXkiy2dPO6L0INVU8j1xH1/view?usp=drivesdk" TargetMode="External"/><Relationship Id="rId40" Type="http://schemas.openxmlformats.org/officeDocument/2006/relationships/hyperlink" Target="https://drive.google.com/file/d/15IXzwHrYtzWAFdtysCfAQ-d4JZDom9z6/view?usp=drivesdk" TargetMode="External"/><Relationship Id="rId42" Type="http://schemas.openxmlformats.org/officeDocument/2006/relationships/hyperlink" Target="https://drive.google.com/file/d/1ceEsVwNvPT1PKnFjc_4ngBumh7GpqSCv/view?usp=drivesdk" TargetMode="External"/><Relationship Id="rId41" Type="http://schemas.openxmlformats.org/officeDocument/2006/relationships/hyperlink" Target="https://drive.google.com/file/d/193UrfNBzvXwrW4YpCGbgIb5D7--xEhr3/view?usp=drivesdk" TargetMode="External"/><Relationship Id="rId44" Type="http://schemas.openxmlformats.org/officeDocument/2006/relationships/hyperlink" Target="https://drive.google.com/file/d/1K1GX0Kxy1ANrQlzF8m0Bb-rcwoiyRQI-/view?usp=drivesdk" TargetMode="External"/><Relationship Id="rId43" Type="http://schemas.openxmlformats.org/officeDocument/2006/relationships/hyperlink" Target="https://drive.google.com/file/d/1zwTYwkS9Wa5obGd1noPrSy_OGmvVX4Ul/view?usp=drivesdk" TargetMode="External"/><Relationship Id="rId46" Type="http://schemas.openxmlformats.org/officeDocument/2006/relationships/hyperlink" Target="https://drive.google.com/file/d/1zi1EelKyXaXITqajd5VxyKjFC3kyWs6S/view?usp=drivesdk" TargetMode="External"/><Relationship Id="rId45" Type="http://schemas.openxmlformats.org/officeDocument/2006/relationships/hyperlink" Target="https://drive.google.com/file/d/1oRCTEoRJHbFyLqsFKlw37qL5qHgfDDmU/view?usp=drivesdk" TargetMode="External"/><Relationship Id="rId48" Type="http://schemas.openxmlformats.org/officeDocument/2006/relationships/hyperlink" Target="https://drive.google.com/file/d/1E3cAQ_HXZTUoB1g2kbb22-bQD3nbYa7u/view?usp=drivesdk" TargetMode="External"/><Relationship Id="rId47" Type="http://schemas.openxmlformats.org/officeDocument/2006/relationships/hyperlink" Target="https://drive.google.com/file/d/1WZEH2es79uUQQk5d5mxJhTsG5tj4zpH_/view?usp=drivesdk" TargetMode="External"/><Relationship Id="rId49" Type="http://schemas.openxmlformats.org/officeDocument/2006/relationships/hyperlink" Target="https://drive.google.com/file/d/1ewKqNZRd4bha67uYB5nSmwZdSfmc23HQ/view?usp=drivesdk" TargetMode="External"/><Relationship Id="rId31" Type="http://schemas.openxmlformats.org/officeDocument/2006/relationships/hyperlink" Target="https://drive.google.com/file/d/1aeetJTK8EKFj6kZcMP9yt1105AlfJ1o5/view?usp=drivesdk" TargetMode="External"/><Relationship Id="rId30" Type="http://schemas.openxmlformats.org/officeDocument/2006/relationships/hyperlink" Target="https://drive.google.com/file/d/1b0wTj1yAVtnVyz90Iuv3jbBf4AZ2n5Ft/view?usp=drivesdk" TargetMode="External"/><Relationship Id="rId33" Type="http://schemas.openxmlformats.org/officeDocument/2006/relationships/hyperlink" Target="https://drive.google.com/file/d/1GTKHghaDRzJ9kng9k9LEew_XDLd2j84A/view?usp=drivesdk" TargetMode="External"/><Relationship Id="rId32" Type="http://schemas.openxmlformats.org/officeDocument/2006/relationships/hyperlink" Target="https://drive.google.com/file/d/1ojpqoM7HJ9Hu5GrMnYd3hUhCYCaMTwLH/view?usp=drivesdk" TargetMode="External"/><Relationship Id="rId35" Type="http://schemas.openxmlformats.org/officeDocument/2006/relationships/hyperlink" Target="https://drive.google.com/file/d/1ec4FHiS8xkjj202XJOUE1HdSe8cenBQb/view?usp=drivesdk" TargetMode="External"/><Relationship Id="rId34" Type="http://schemas.openxmlformats.org/officeDocument/2006/relationships/hyperlink" Target="https://drive.google.com/file/d/1G3ThqWP--DVOnGd3jaIVYtrtwM48MDj3/view?usp=drivesdk" TargetMode="External"/><Relationship Id="rId37" Type="http://schemas.openxmlformats.org/officeDocument/2006/relationships/hyperlink" Target="https://drive.google.com/file/d/12n0rLmmJtjXLpeGqVA1s75BZ7zCOCW0u/view?usp=drivesdk" TargetMode="External"/><Relationship Id="rId36" Type="http://schemas.openxmlformats.org/officeDocument/2006/relationships/hyperlink" Target="https://drive.google.com/file/d/1FE-K-ctSwfhZdnDHqEXhHKXMd6Jo-8VN/view?usp=drivesdk" TargetMode="External"/><Relationship Id="rId39" Type="http://schemas.openxmlformats.org/officeDocument/2006/relationships/hyperlink" Target="https://drive.google.com/file/d/1C5qLbtXy18q5nRSeZ8dDLmQzDQZIFq5V/view?usp=drivesdk" TargetMode="External"/><Relationship Id="rId38" Type="http://schemas.openxmlformats.org/officeDocument/2006/relationships/hyperlink" Target="https://drive.google.com/file/d/1RrZUdMCRUbep1RMUQMJXEAkVJno4efFN/view?usp=drivesdk" TargetMode="External"/><Relationship Id="rId20" Type="http://schemas.openxmlformats.org/officeDocument/2006/relationships/hyperlink" Target="https://drive.google.com/file/d/1CB-HKUsfByeF8j4WgpTwoQVZCVA32VHz/view?usp=drivesdk" TargetMode="External"/><Relationship Id="rId22" Type="http://schemas.openxmlformats.org/officeDocument/2006/relationships/hyperlink" Target="https://drive.google.com/file/d/1b2IGARnHAo7eVY4pCTRXw6QHKgEHj2Y3/view?usp=drivesdk" TargetMode="External"/><Relationship Id="rId21" Type="http://schemas.openxmlformats.org/officeDocument/2006/relationships/hyperlink" Target="https://drive.google.com/file/d/1P_bQFe4UOEupmJzNWbg7iMrDc3FNxI1l/view?usp=drivesdk" TargetMode="External"/><Relationship Id="rId24" Type="http://schemas.openxmlformats.org/officeDocument/2006/relationships/hyperlink" Target="https://drive.google.com/file/d/1pYy-JgtdV9_Qo1rRGwynlyJrOgajh0sV/view?usp=drivesdk" TargetMode="External"/><Relationship Id="rId23" Type="http://schemas.openxmlformats.org/officeDocument/2006/relationships/hyperlink" Target="https://drive.google.com/file/d/1GP8VbbeZu3zbA4xQhZBhem7YatX_B8xK/view?usp=drivesdk" TargetMode="External"/><Relationship Id="rId26" Type="http://schemas.openxmlformats.org/officeDocument/2006/relationships/hyperlink" Target="https://drive.google.com/file/d/1tt2p7vvUgZYSwVKBgH5jO0tTkMJdvpSH/view?usp=drivesdk" TargetMode="External"/><Relationship Id="rId25" Type="http://schemas.openxmlformats.org/officeDocument/2006/relationships/hyperlink" Target="https://drive.google.com/file/d/1mRRILaK6FXAMBee71Rx_LSbRpUCbTfvt/view?usp=drivesdk" TargetMode="External"/><Relationship Id="rId28" Type="http://schemas.openxmlformats.org/officeDocument/2006/relationships/hyperlink" Target="https://drive.google.com/file/d/1YQyfEjcJLP1teZTJN2I__Z3F4T4fQcvX/view?usp=drivesdk" TargetMode="External"/><Relationship Id="rId27" Type="http://schemas.openxmlformats.org/officeDocument/2006/relationships/hyperlink" Target="https://drive.google.com/file/d/1mmdpOgW-e4k1HWRep1b9Vfc7G1ZF8Sp5/view?usp=drivesdk" TargetMode="External"/><Relationship Id="rId29" Type="http://schemas.openxmlformats.org/officeDocument/2006/relationships/hyperlink" Target="https://drive.google.com/file/d/1PX6GSF-2AHV1usSBmlRKvOttlNEwo2Mf/view?usp=drivesdk" TargetMode="External"/><Relationship Id="rId11" Type="http://schemas.openxmlformats.org/officeDocument/2006/relationships/hyperlink" Target="https://drive.google.com/file/d/1BbcGXdTntnAYRx_OpQaBl6iPd7AE4-YL/view?usp=drivesdk" TargetMode="External"/><Relationship Id="rId10" Type="http://schemas.openxmlformats.org/officeDocument/2006/relationships/hyperlink" Target="https://drive.google.com/file/d/10qM43pFthnNxC6BdgnEmczGv05Qwh58g/view?usp=drivesdk" TargetMode="External"/><Relationship Id="rId13" Type="http://schemas.openxmlformats.org/officeDocument/2006/relationships/hyperlink" Target="https://drive.google.com/file/d/1iIxu6r1lGmooK6Lqh9yfz9vmCqSKTHjs/view?usp=drivesdk" TargetMode="External"/><Relationship Id="rId12" Type="http://schemas.openxmlformats.org/officeDocument/2006/relationships/hyperlink" Target="https://drive.google.com/file/d/1badKiM5VN0_xgZL2VXb1yE2m6moklAuF/view?usp=drivesdk" TargetMode="External"/><Relationship Id="rId15" Type="http://schemas.openxmlformats.org/officeDocument/2006/relationships/hyperlink" Target="https://drive.google.com/file/d/1eDTE5Veo9ikcOs4bMIOQIt1xgzRQzEVI/view?usp=drivesdk" TargetMode="External"/><Relationship Id="rId14" Type="http://schemas.openxmlformats.org/officeDocument/2006/relationships/hyperlink" Target="https://drive.google.com/file/d/1ZJbFAnnlhSI4-Pi70e_XAAt5EirvTUJR/view?usp=drivesdk" TargetMode="External"/><Relationship Id="rId17" Type="http://schemas.openxmlformats.org/officeDocument/2006/relationships/hyperlink" Target="https://drive.google.com/file/d/15_OyDnAIlpU07OLnbANxFyJKc7Odt79e/view?usp=drivesdk" TargetMode="External"/><Relationship Id="rId16" Type="http://schemas.openxmlformats.org/officeDocument/2006/relationships/hyperlink" Target="https://drive.google.com/file/d/1wsTDiMjmWEHYAG_IsSj7hWdg8kj1W1jm/view?usp=drivesdk" TargetMode="External"/><Relationship Id="rId19" Type="http://schemas.openxmlformats.org/officeDocument/2006/relationships/hyperlink" Target="https://drive.google.com/file/d/1ksk_14R--zPwnzjw7yCg6NqUXdEOwagw/view?usp=drivesdk" TargetMode="External"/><Relationship Id="rId18" Type="http://schemas.openxmlformats.org/officeDocument/2006/relationships/hyperlink" Target="https://drive.google.com/file/d/1m7gRUlXmzYeQUlGWra0PjSIk3W0OHgR8/view?usp=drivesdk" TargetMode="External"/><Relationship Id="rId84" Type="http://schemas.openxmlformats.org/officeDocument/2006/relationships/hyperlink" Target="https://drive.google.com/file/d/1oBtxPgieykEZbLIYiVd5bDfcC7qXMtcX/view?usp=drivesdk" TargetMode="External"/><Relationship Id="rId83" Type="http://schemas.openxmlformats.org/officeDocument/2006/relationships/hyperlink" Target="https://drive.google.com/file/d/1DCn5rH6BwWw-eE29oitqaT9BshkI8XM4/view?usp=drivesdk" TargetMode="External"/><Relationship Id="rId86" Type="http://schemas.openxmlformats.org/officeDocument/2006/relationships/hyperlink" Target="https://drive.google.com/file/d/19lE-4pmrJi0wAH4DQckiLj_X8kvu2jDB/view?usp=drivesdk" TargetMode="External"/><Relationship Id="rId85" Type="http://schemas.openxmlformats.org/officeDocument/2006/relationships/hyperlink" Target="https://drive.google.com/file/d/1_Y66vgpa7Qk5I2Y_r9Gi36qe0PMRaD7O/view?usp=drivesdk" TargetMode="External"/><Relationship Id="rId88" Type="http://schemas.openxmlformats.org/officeDocument/2006/relationships/hyperlink" Target="https://drive.google.com/file/d/1WQT6UoPZn5jR55SkBIxshbMcizd2d4iD/view?usp=drivesdk" TargetMode="External"/><Relationship Id="rId87" Type="http://schemas.openxmlformats.org/officeDocument/2006/relationships/hyperlink" Target="https://drive.google.com/file/d/1SjJQs0s0Nfs44FwrwvKVeFVcLkSBO_FL/view?usp=drivesdk" TargetMode="External"/><Relationship Id="rId89" Type="http://schemas.openxmlformats.org/officeDocument/2006/relationships/hyperlink" Target="https://drive.google.com/file/d/1aJhmTKEt35zg5tSHsRizA4Z__kw0MgbP/view?usp=drivesdk" TargetMode="External"/><Relationship Id="rId80" Type="http://schemas.openxmlformats.org/officeDocument/2006/relationships/hyperlink" Target="https://drive.google.com/file/d/14B6G7QxgRWnexeOXXvjgaWTYkH1e3rVL/view?usp=drivesdk" TargetMode="External"/><Relationship Id="rId82" Type="http://schemas.openxmlformats.org/officeDocument/2006/relationships/hyperlink" Target="https://drive.google.com/file/d/1AdnbcZeLvbRl6sr17-8v9lsNrziBWhB6/view?usp=drivesdk" TargetMode="External"/><Relationship Id="rId81" Type="http://schemas.openxmlformats.org/officeDocument/2006/relationships/hyperlink" Target="https://drive.google.com/file/d/1QATjjbm52Y6iZp_W21s1A1AGiicDjTMa/view?usp=drivesdk" TargetMode="External"/><Relationship Id="rId73" Type="http://schemas.openxmlformats.org/officeDocument/2006/relationships/hyperlink" Target="https://drive.google.com/file/d/1oJGXKXCuqAX5l_W_7qLGCjsHDyt82eOL/view?usp=drivesdk" TargetMode="External"/><Relationship Id="rId72" Type="http://schemas.openxmlformats.org/officeDocument/2006/relationships/hyperlink" Target="https://drive.google.com/file/d/1Jl4_kJ_H9I4aFwEdMd9tM4m47qZNoSkm/view?usp=drivesdk" TargetMode="External"/><Relationship Id="rId75" Type="http://schemas.openxmlformats.org/officeDocument/2006/relationships/hyperlink" Target="https://drive.google.com/file/d/10aDpfcLXnmIfqal2MSFdMXnG1i9OdEPA/view?usp=drivesdk" TargetMode="External"/><Relationship Id="rId74" Type="http://schemas.openxmlformats.org/officeDocument/2006/relationships/hyperlink" Target="https://drive.google.com/file/d/1vmsTGy0FailXYfBRMj4X6b4LOmAv8nTT/view?usp=drivesdk" TargetMode="External"/><Relationship Id="rId77" Type="http://schemas.openxmlformats.org/officeDocument/2006/relationships/hyperlink" Target="https://drive.google.com/file/d/1p1sl-LnIJhbyqO2flrCB-UcpTLlveDQX/view?usp=drivesdk" TargetMode="External"/><Relationship Id="rId76" Type="http://schemas.openxmlformats.org/officeDocument/2006/relationships/hyperlink" Target="https://drive.google.com/file/d/1zhVeK09RqjYrFAxtdizJsqdxncerbeC9/view?usp=drivesdk" TargetMode="External"/><Relationship Id="rId79" Type="http://schemas.openxmlformats.org/officeDocument/2006/relationships/hyperlink" Target="https://drive.google.com/file/d/1AdwsYy5ixTU7PCLXQouTCTpap4kMCBzy/view?usp=drivesdk" TargetMode="External"/><Relationship Id="rId78" Type="http://schemas.openxmlformats.org/officeDocument/2006/relationships/hyperlink" Target="https://drive.google.com/file/d/1fh4JA1nWZdTVGx4RKvI1PgumwPmJVZsX/view?usp=drivesdk" TargetMode="External"/><Relationship Id="rId71" Type="http://schemas.openxmlformats.org/officeDocument/2006/relationships/hyperlink" Target="https://drive.google.com/file/d/1ptvDOK0WnLyOHg1yRZiYnJt1ox4KjN7h/view?usp=drivesdk" TargetMode="External"/><Relationship Id="rId70" Type="http://schemas.openxmlformats.org/officeDocument/2006/relationships/hyperlink" Target="https://drive.google.com/file/d/1kLiwuJhBQFF4kSTS46ODYmAAv8-kam40/view?usp=drivesdk" TargetMode="External"/><Relationship Id="rId62" Type="http://schemas.openxmlformats.org/officeDocument/2006/relationships/hyperlink" Target="https://drive.google.com/file/d/1ozuqtp0uDHPpAfz5oKZcxJMRhkUQx_9r/view?usp=drivesdk" TargetMode="External"/><Relationship Id="rId61" Type="http://schemas.openxmlformats.org/officeDocument/2006/relationships/hyperlink" Target="https://drive.google.com/file/d/10qqhQA5JYwq25Mr9eOXaPOHGGynHmH2x/view?usp=drivesdk" TargetMode="External"/><Relationship Id="rId64" Type="http://schemas.openxmlformats.org/officeDocument/2006/relationships/hyperlink" Target="https://drive.google.com/file/d/1g0kbSCRZnE8Ot26hQwbestXHB9HbxSED/view?usp=drivesdk" TargetMode="External"/><Relationship Id="rId63" Type="http://schemas.openxmlformats.org/officeDocument/2006/relationships/hyperlink" Target="https://drive.google.com/file/d/16r_ke6XKHiCJLnND6Cy1_y4Ymg0YfQUv/view?usp=drivesdk" TargetMode="External"/><Relationship Id="rId66" Type="http://schemas.openxmlformats.org/officeDocument/2006/relationships/hyperlink" Target="https://drive.google.com/file/d/1ta-rKJXCeFhiFKuI5u1zkrasqfNbmNKo/view?usp=drivesdk" TargetMode="External"/><Relationship Id="rId65" Type="http://schemas.openxmlformats.org/officeDocument/2006/relationships/hyperlink" Target="https://drive.google.com/file/d/1HkKwWlBqpZFOpMdr18ByrtE052VRTcXn/view?usp=drivesdk" TargetMode="External"/><Relationship Id="rId68" Type="http://schemas.openxmlformats.org/officeDocument/2006/relationships/hyperlink" Target="https://drive.google.com/file/d/18u0I81hhvivYlN5Q5_11_XD90JIAUaTM/view?usp=drivesdk" TargetMode="External"/><Relationship Id="rId67" Type="http://schemas.openxmlformats.org/officeDocument/2006/relationships/hyperlink" Target="https://drive.google.com/file/d/1TTOkMhYbpJuNH1CcGJb0JJfonKSQkze_/view?usp=drivesdk" TargetMode="External"/><Relationship Id="rId60" Type="http://schemas.openxmlformats.org/officeDocument/2006/relationships/hyperlink" Target="https://drive.google.com/file/d/1rhvpOPAV9ReBT-9__LfWah762Y-D2ooq/view?usp=drivesdk" TargetMode="External"/><Relationship Id="rId69" Type="http://schemas.openxmlformats.org/officeDocument/2006/relationships/hyperlink" Target="https://drive.google.com/file/d/1byhc6Ql1cUAkj9E-BSRF3L3v_4iSi5WI/view?usp=drivesdk" TargetMode="External"/><Relationship Id="rId51" Type="http://schemas.openxmlformats.org/officeDocument/2006/relationships/hyperlink" Target="https://drive.google.com/file/d/1xGzBgePscXX4Zm1D0WdE594W8KALzS0J/view?usp=drivesdk" TargetMode="External"/><Relationship Id="rId50" Type="http://schemas.openxmlformats.org/officeDocument/2006/relationships/hyperlink" Target="https://drive.google.com/file/d/1hvHjJXxd2Jx9wl3nQo8RF49SjrFU8cyd/view?usp=drivesdk" TargetMode="External"/><Relationship Id="rId53" Type="http://schemas.openxmlformats.org/officeDocument/2006/relationships/hyperlink" Target="https://drive.google.com/file/d/1HwSG3uFPC4HLT8koE-RxQ2PdGaNdxO8K/view?usp=drivesdk" TargetMode="External"/><Relationship Id="rId52" Type="http://schemas.openxmlformats.org/officeDocument/2006/relationships/hyperlink" Target="https://drive.google.com/file/d/1prdC1hGFAGHDrSp-O2egtJZV9QaD2-nl/view?usp=drivesdk" TargetMode="External"/><Relationship Id="rId55" Type="http://schemas.openxmlformats.org/officeDocument/2006/relationships/hyperlink" Target="https://drive.google.com/file/d/1ihVD29ITdGpei_ZZxvDKJgqtiRF-isiq/view?usp=drivesdk" TargetMode="External"/><Relationship Id="rId54" Type="http://schemas.openxmlformats.org/officeDocument/2006/relationships/hyperlink" Target="https://drive.google.com/file/d/1SSlQp6j4v1xJg7Hnq_b0eb0L2uywCE2u/view?usp=drivesdk" TargetMode="External"/><Relationship Id="rId57" Type="http://schemas.openxmlformats.org/officeDocument/2006/relationships/hyperlink" Target="https://drive.google.com/file/d/1lpg3piYKgqivjzJgnR9HKY4G-q5K10Hx/view?usp=drivesdk" TargetMode="External"/><Relationship Id="rId56" Type="http://schemas.openxmlformats.org/officeDocument/2006/relationships/hyperlink" Target="https://drive.google.com/file/d/1unltHUW0ifUFIF5BfN-isUNhI23pdEzd/view?usp=drivesdk" TargetMode="External"/><Relationship Id="rId59" Type="http://schemas.openxmlformats.org/officeDocument/2006/relationships/hyperlink" Target="https://drive.google.com/file/d/1avTR6bF7MYWKs9IxKToe5bPfLaRwKKsi/view?usp=drivesdk" TargetMode="External"/><Relationship Id="rId58" Type="http://schemas.openxmlformats.org/officeDocument/2006/relationships/hyperlink" Target="https://drive.google.com/file/d/1dEOAAGO6q_N3cyhq28eRZD_xUDfwl4oF/view?usp=drivesdk" TargetMode="External"/><Relationship Id="rId95" Type="http://schemas.openxmlformats.org/officeDocument/2006/relationships/hyperlink" Target="https://drive.google.com/file/d/1YLEdMy70OB8yAB1h8I-p1sivLGQ68D-I/view?usp=drivesdk" TargetMode="External"/><Relationship Id="rId94" Type="http://schemas.openxmlformats.org/officeDocument/2006/relationships/hyperlink" Target="https://drive.google.com/file/d/1i589EOig3FWK7M7qd6PU1mgYBDmh6K3H/view?usp=drivesdk" TargetMode="External"/><Relationship Id="rId97" Type="http://schemas.openxmlformats.org/officeDocument/2006/relationships/hyperlink" Target="https://drive.google.com/file/d/1_P4VNCj3evfP1S36i1be3SId9ilV7xb3/view?usp=drivesdk" TargetMode="External"/><Relationship Id="rId96" Type="http://schemas.openxmlformats.org/officeDocument/2006/relationships/hyperlink" Target="https://drive.google.com/file/d/1ezvhGyMQhDd8FOdIn69khFZOzgqJeInr/view?usp=drivesdk" TargetMode="External"/><Relationship Id="rId99" Type="http://schemas.openxmlformats.org/officeDocument/2006/relationships/hyperlink" Target="https://drive.google.com/file/d/1fre0SfXHD3xaiJwasao6ZN7SMWJf_UrF/view?usp=drivesdk" TargetMode="External"/><Relationship Id="rId98" Type="http://schemas.openxmlformats.org/officeDocument/2006/relationships/hyperlink" Target="https://drive.google.com/file/d/10L8Byg-JK4RAYS6n0uJVbE4O5_i48Y_M/view?usp=drivesdk" TargetMode="External"/><Relationship Id="rId91" Type="http://schemas.openxmlformats.org/officeDocument/2006/relationships/hyperlink" Target="https://drive.google.com/file/d/1QdOPEMe8SsPdILT4FfHPYIboGHxf95EJ/view?usp=drivesdk" TargetMode="External"/><Relationship Id="rId90" Type="http://schemas.openxmlformats.org/officeDocument/2006/relationships/hyperlink" Target="https://drive.google.com/file/d/1Y1bdGoL32rDrfx2AlkvrXylWaeMrDAAP/view?usp=drivesdk" TargetMode="External"/><Relationship Id="rId93" Type="http://schemas.openxmlformats.org/officeDocument/2006/relationships/hyperlink" Target="https://drive.google.com/file/d/1KoBGaJajjezf0XauJvwPJAc34oYoa-f2/view?usp=drivesdk" TargetMode="External"/><Relationship Id="rId92" Type="http://schemas.openxmlformats.org/officeDocument/2006/relationships/hyperlink" Target="https://drive.google.com/file/d/1c3Yoo5r6erFNAYKSYWRSEztAkFJklwjF/view?usp=drivesdk" TargetMode="External"/><Relationship Id="rId201" Type="http://schemas.openxmlformats.org/officeDocument/2006/relationships/drawing" Target="../drawings/drawing5.xml"/><Relationship Id="rId200" Type="http://schemas.openxmlformats.org/officeDocument/2006/relationships/hyperlink" Target="https://drive.google.com/file/d/1WNEofIgbd_Rk8bazhN_AijLb5STbJTCS/view?usp=drivesdk" TargetMode="External"/><Relationship Id="rId190" Type="http://schemas.openxmlformats.org/officeDocument/2006/relationships/hyperlink" Target="https://drive.google.com/file/d/1JrV-sbjxNL_XdXNrmpKjwb06De_i0Wuf/view?usp=drivesdk" TargetMode="External"/><Relationship Id="rId194" Type="http://schemas.openxmlformats.org/officeDocument/2006/relationships/hyperlink" Target="https://drive.google.com/file/d/1Z4X43Zj88F0smdLUgU8fPJJJVqpxYTlD/view?usp=drivesdk" TargetMode="External"/><Relationship Id="rId193" Type="http://schemas.openxmlformats.org/officeDocument/2006/relationships/hyperlink" Target="https://drive.google.com/file/d/1p8DJeoXiTv23hu1tDMZsr1HAK2ulEVcU/view?usp=drivesdk" TargetMode="External"/><Relationship Id="rId192" Type="http://schemas.openxmlformats.org/officeDocument/2006/relationships/hyperlink" Target="https://drive.google.com/file/d/1La97lNYCNKgLFYzo65UlzSnSzJXzoF4J/view?usp=drivesdk" TargetMode="External"/><Relationship Id="rId191" Type="http://schemas.openxmlformats.org/officeDocument/2006/relationships/hyperlink" Target="https://drive.google.com/file/d/1bZ5T5clc0S5BaDGfBR5Q0uyHh5IumfsM/view?usp=drivesdk" TargetMode="External"/><Relationship Id="rId187" Type="http://schemas.openxmlformats.org/officeDocument/2006/relationships/hyperlink" Target="https://drive.google.com/file/d/1gKFjGzk1O5spuJ15nydclMT1AP_-B3Db/view?usp=drivesdk" TargetMode="External"/><Relationship Id="rId186" Type="http://schemas.openxmlformats.org/officeDocument/2006/relationships/hyperlink" Target="https://drive.google.com/file/d/1Jz84fluWNwPiVQqnZpIZm2u763RJPa3v/view?usp=drivesdk" TargetMode="External"/><Relationship Id="rId185" Type="http://schemas.openxmlformats.org/officeDocument/2006/relationships/hyperlink" Target="https://drive.google.com/file/d/17vtk45qX8qP0Vcvj4GLOp5xR0fgcstVO/view?usp=drivesdk" TargetMode="External"/><Relationship Id="rId184" Type="http://schemas.openxmlformats.org/officeDocument/2006/relationships/hyperlink" Target="https://drive.google.com/file/d/19hA0UBSHQ6qE7DHntAMgDxuqGWhV0VAz/view?usp=drivesdk" TargetMode="External"/><Relationship Id="rId189" Type="http://schemas.openxmlformats.org/officeDocument/2006/relationships/hyperlink" Target="https://drive.google.com/file/d/15TrCt_RWECpxUNSexHDgcu_7LD2XLIsZ/view?usp=drivesdk" TargetMode="External"/><Relationship Id="rId188" Type="http://schemas.openxmlformats.org/officeDocument/2006/relationships/hyperlink" Target="https://drive.google.com/file/d/1WUW9YMBQUyRcgjpfHzRA5SBj0JoRKl0S/view?usp=drivesdk" TargetMode="External"/><Relationship Id="rId183" Type="http://schemas.openxmlformats.org/officeDocument/2006/relationships/hyperlink" Target="https://drive.google.com/file/d/1q7nfuDCQ6OUlQI5hKwWQPFxm79BOq1q0/view?usp=drivesdk" TargetMode="External"/><Relationship Id="rId182" Type="http://schemas.openxmlformats.org/officeDocument/2006/relationships/hyperlink" Target="https://drive.google.com/file/d/1tGFYbAzqea25sGnrswFT7C9_N1kc7CiI/view?usp=drivesdk" TargetMode="External"/><Relationship Id="rId181" Type="http://schemas.openxmlformats.org/officeDocument/2006/relationships/hyperlink" Target="https://drive.google.com/file/d/1N7PGV2n0FvjszWtECC36Cb9WqOLcyCg8/view?usp=drivesdk" TargetMode="External"/><Relationship Id="rId180" Type="http://schemas.openxmlformats.org/officeDocument/2006/relationships/hyperlink" Target="https://drive.google.com/file/d/1nNH_xDpRBAhZxrNqa2Jt_nPwEeFLt2Pl/view?usp=drivesdk" TargetMode="External"/><Relationship Id="rId176" Type="http://schemas.openxmlformats.org/officeDocument/2006/relationships/hyperlink" Target="https://drive.google.com/file/d/1CGn9ka3tPd61Nx-d7vqoi06blby3SAW1/view?usp=drivesdk" TargetMode="External"/><Relationship Id="rId175" Type="http://schemas.openxmlformats.org/officeDocument/2006/relationships/hyperlink" Target="https://drive.google.com/file/d/127fM4KlZe4puwKZ-rKRVjFc_SngAG6SB/view?usp=drivesdk" TargetMode="External"/><Relationship Id="rId174" Type="http://schemas.openxmlformats.org/officeDocument/2006/relationships/hyperlink" Target="https://drive.google.com/file/d/10eMkf530Lxrf3dy_I0agQutkFfDwYzXR/view?usp=drivesdk" TargetMode="External"/><Relationship Id="rId173" Type="http://schemas.openxmlformats.org/officeDocument/2006/relationships/hyperlink" Target="https://drive.google.com/file/d/1QBMOVV1NVvhR0-Y7DnntiL33x6u7HLAA/view?usp=drivesdk" TargetMode="External"/><Relationship Id="rId179" Type="http://schemas.openxmlformats.org/officeDocument/2006/relationships/hyperlink" Target="https://drive.google.com/file/d/1aphx2xRlLcguVTZlyQYvyAZAuWM7Vil-/view?usp=drivesdk" TargetMode="External"/><Relationship Id="rId178" Type="http://schemas.openxmlformats.org/officeDocument/2006/relationships/hyperlink" Target="https://drive.google.com/file/d/11a3EVEjLOZMlaeX1H64xcB--SQyNdI6E/view?usp=drivesdk" TargetMode="External"/><Relationship Id="rId177" Type="http://schemas.openxmlformats.org/officeDocument/2006/relationships/hyperlink" Target="https://drive.google.com/file/d/1N5toxVYiGCOI2J_SpNQyjTtmVErrz4G-/view?usp=drivesdk" TargetMode="External"/><Relationship Id="rId198" Type="http://schemas.openxmlformats.org/officeDocument/2006/relationships/hyperlink" Target="https://drive.google.com/file/d/1W8HS-W_dGwtTKRzJKpwJqwah3j92Bct8/view?usp=drivesdk" TargetMode="External"/><Relationship Id="rId197" Type="http://schemas.openxmlformats.org/officeDocument/2006/relationships/hyperlink" Target="https://drive.google.com/file/d/1D7Pfct2forOXvcJbQehazZlhT8w5dYCE/view?usp=drivesdk" TargetMode="External"/><Relationship Id="rId196" Type="http://schemas.openxmlformats.org/officeDocument/2006/relationships/hyperlink" Target="https://drive.google.com/file/d/1z8TBQQdFCuTnnenAGM6-G5Ufy8ZPSG41/view?usp=drivesdk" TargetMode="External"/><Relationship Id="rId195" Type="http://schemas.openxmlformats.org/officeDocument/2006/relationships/hyperlink" Target="https://drive.google.com/file/d/1faa47AXl-IqUiPuyHHSsVqWchy3aZC60/view?usp=drivesdk" TargetMode="External"/><Relationship Id="rId199" Type="http://schemas.openxmlformats.org/officeDocument/2006/relationships/hyperlink" Target="https://drive.google.com/file/d/1neqcyKiwWv9Nh1ShVaa9HMf4Ut-YxJ8W/view?usp=drivesdk" TargetMode="External"/><Relationship Id="rId150" Type="http://schemas.openxmlformats.org/officeDocument/2006/relationships/hyperlink" Target="https://drive.google.com/file/d/1X5tuYKWUbIoE_cxXUhfOnSqaGbxongYe/view?usp=drivesdk" TargetMode="External"/><Relationship Id="rId149" Type="http://schemas.openxmlformats.org/officeDocument/2006/relationships/hyperlink" Target="https://drive.google.com/file/d/1jko7SW_Zg4pQBMahL1V1v49p-lYyeP2u/view?usp=drivesdk" TargetMode="External"/><Relationship Id="rId148" Type="http://schemas.openxmlformats.org/officeDocument/2006/relationships/hyperlink" Target="https://drive.google.com/file/d/14ZrGbM5Q8F2tPQbSdP-NVW0XmvicPCRF/view?usp=drivesdk" TargetMode="External"/><Relationship Id="rId143" Type="http://schemas.openxmlformats.org/officeDocument/2006/relationships/hyperlink" Target="https://drive.google.com/file/d/1JLpo9Jb-ZlhCL5Ufc6ZpUF7Of-4-lALC/view?usp=drivesdk" TargetMode="External"/><Relationship Id="rId142" Type="http://schemas.openxmlformats.org/officeDocument/2006/relationships/hyperlink" Target="https://drive.google.com/file/d/1hlwqBBCqaWWkvAZJu28v7x6KaxjhkQhN/view?usp=drivesdk" TargetMode="External"/><Relationship Id="rId141" Type="http://schemas.openxmlformats.org/officeDocument/2006/relationships/hyperlink" Target="https://drive.google.com/file/d/1Q46VPTV0qw5k0ludZY5ACfnFTAAW5p_T/view?usp=drivesdk" TargetMode="External"/><Relationship Id="rId140" Type="http://schemas.openxmlformats.org/officeDocument/2006/relationships/hyperlink" Target="https://drive.google.com/file/d/1agZcjTvLjx3G8o6YEkGShgGCfwgMx3Mf/view?usp=drivesdk" TargetMode="External"/><Relationship Id="rId147" Type="http://schemas.openxmlformats.org/officeDocument/2006/relationships/hyperlink" Target="https://drive.google.com/file/d/1CqKcq-zKqTohks26vRsnV3zPfUSPUEMv/view?usp=drivesdk" TargetMode="External"/><Relationship Id="rId146" Type="http://schemas.openxmlformats.org/officeDocument/2006/relationships/hyperlink" Target="https://drive.google.com/file/d/1tC5Hg6P2jcNEGC3yJyseHI2LPhbcrnlB/view?usp=drivesdk" TargetMode="External"/><Relationship Id="rId145" Type="http://schemas.openxmlformats.org/officeDocument/2006/relationships/hyperlink" Target="https://drive.google.com/file/d/1ON5O0li_2E_FDfzlPdaOePL9PRW35qdi/view?usp=drivesdk" TargetMode="External"/><Relationship Id="rId144" Type="http://schemas.openxmlformats.org/officeDocument/2006/relationships/hyperlink" Target="https://drive.google.com/file/d/18o5AQPRSBSg06faPWFesJmy8PmZ6qWDL/view?usp=drivesdk" TargetMode="External"/><Relationship Id="rId139" Type="http://schemas.openxmlformats.org/officeDocument/2006/relationships/hyperlink" Target="https://drive.google.com/file/d/1KMupXxg8OJhn2fxf_HCSOkydBz0UxQDa/view?usp=drivesdk" TargetMode="External"/><Relationship Id="rId138" Type="http://schemas.openxmlformats.org/officeDocument/2006/relationships/hyperlink" Target="https://drive.google.com/file/d/1jMlCsdVWXRKqjeH4zDGnY9efGgJmGnPI/view?usp=drivesdk" TargetMode="External"/><Relationship Id="rId137" Type="http://schemas.openxmlformats.org/officeDocument/2006/relationships/hyperlink" Target="https://drive.google.com/file/d/1-MGNhs56Yjo2hfHG4jBQWvmfvcmCoqWo/view?usp=drivesdk" TargetMode="External"/><Relationship Id="rId132" Type="http://schemas.openxmlformats.org/officeDocument/2006/relationships/hyperlink" Target="https://drive.google.com/file/d/182sqnW5QisvSa2H4OoW9DLLIQhHNVveR/view?usp=drivesdk" TargetMode="External"/><Relationship Id="rId131" Type="http://schemas.openxmlformats.org/officeDocument/2006/relationships/hyperlink" Target="https://drive.google.com/file/d/1CwVQy6xE1shorqO1-W1lwMkI5DBPKKjg/view?usp=drivesdk" TargetMode="External"/><Relationship Id="rId130" Type="http://schemas.openxmlformats.org/officeDocument/2006/relationships/hyperlink" Target="https://drive.google.com/file/d/1xBZzpusGfDL4v1FqOLAxyJtyCzhzBI2-/view?usp=drivesdk" TargetMode="External"/><Relationship Id="rId136" Type="http://schemas.openxmlformats.org/officeDocument/2006/relationships/hyperlink" Target="https://drive.google.com/file/d/1CAyrTdsO1H-viv2NoZS970gcTGkzqmzC/view?usp=drivesdk" TargetMode="External"/><Relationship Id="rId135" Type="http://schemas.openxmlformats.org/officeDocument/2006/relationships/hyperlink" Target="https://drive.google.com/file/d/1uIBoi6wMY9K9mzVro7567M4WB2j4ChOk/view?usp=drivesdk" TargetMode="External"/><Relationship Id="rId134" Type="http://schemas.openxmlformats.org/officeDocument/2006/relationships/hyperlink" Target="https://drive.google.com/file/d/1PIBZzyF6sDMRLG8Jq0IjvITFxRB-a9UE/view?usp=drivesdk" TargetMode="External"/><Relationship Id="rId133" Type="http://schemas.openxmlformats.org/officeDocument/2006/relationships/hyperlink" Target="https://drive.google.com/file/d/1UmP8b_tRtXSHgKN7FRT9v7i5zk0rhBHr/view?usp=drivesdk" TargetMode="External"/><Relationship Id="rId172" Type="http://schemas.openxmlformats.org/officeDocument/2006/relationships/hyperlink" Target="https://drive.google.com/file/d/1m8znU-026JdMWlmRIK_AsVgIQl6NNrds/view?usp=drivesdk" TargetMode="External"/><Relationship Id="rId171" Type="http://schemas.openxmlformats.org/officeDocument/2006/relationships/hyperlink" Target="https://drive.google.com/file/d/1XfH3bBXAO0VK8lH6oXraR1RG5nD3TcSh/view?usp=drivesdk" TargetMode="External"/><Relationship Id="rId170" Type="http://schemas.openxmlformats.org/officeDocument/2006/relationships/hyperlink" Target="https://drive.google.com/file/d/1d-EDs8Q74lc4qWwGcQSFet8kPPmNrAdz/view?usp=drivesdk" TargetMode="External"/><Relationship Id="rId165" Type="http://schemas.openxmlformats.org/officeDocument/2006/relationships/hyperlink" Target="https://drive.google.com/file/d/1_pLzsLfQyPb26HLL3wHzP0ll5dZ2_sH3/view?usp=drivesdk" TargetMode="External"/><Relationship Id="rId164" Type="http://schemas.openxmlformats.org/officeDocument/2006/relationships/hyperlink" Target="https://drive.google.com/file/d/16JLGLf1o6jk6IbA53MkQWHu-pC3s-kSF/view?usp=drivesdk" TargetMode="External"/><Relationship Id="rId163" Type="http://schemas.openxmlformats.org/officeDocument/2006/relationships/hyperlink" Target="https://drive.google.com/file/d/1YSziSNNufTkpqXgq-GYStRtNQqJwutkI/view?usp=drivesdk" TargetMode="External"/><Relationship Id="rId162" Type="http://schemas.openxmlformats.org/officeDocument/2006/relationships/hyperlink" Target="https://drive.google.com/file/d/1tf-kfpr5P73HOeqBZgcFaf-kBfLBMTa-/view?usp=drivesdk" TargetMode="External"/><Relationship Id="rId169" Type="http://schemas.openxmlformats.org/officeDocument/2006/relationships/hyperlink" Target="https://drive.google.com/file/d/1kvjUfSJ52p1w8Kf7i8fiLDinXgjtjTRu/view?usp=drivesdk" TargetMode="External"/><Relationship Id="rId168" Type="http://schemas.openxmlformats.org/officeDocument/2006/relationships/hyperlink" Target="https://drive.google.com/file/d/13iDTD9mMgarknYnNOdM41qIUrgWAMzHN/view?usp=drivesdk" TargetMode="External"/><Relationship Id="rId167" Type="http://schemas.openxmlformats.org/officeDocument/2006/relationships/hyperlink" Target="https://drive.google.com/file/d/10yeDN4uBTugUklr1NTFBLJCqKyRLxkJ1/view?usp=drivesdk" TargetMode="External"/><Relationship Id="rId166" Type="http://schemas.openxmlformats.org/officeDocument/2006/relationships/hyperlink" Target="https://drive.google.com/file/d/1WZtEwq3WBPZbbwfDNXPHHQU14W3EJYI5/view?usp=drivesdk" TargetMode="External"/><Relationship Id="rId161" Type="http://schemas.openxmlformats.org/officeDocument/2006/relationships/hyperlink" Target="https://drive.google.com/file/d/1sIFMlOndn_ohzlHGer5crDBbA5vQul4p/view?usp=drivesdk" TargetMode="External"/><Relationship Id="rId160" Type="http://schemas.openxmlformats.org/officeDocument/2006/relationships/hyperlink" Target="https://drive.google.com/file/d/1AKSgWrGOEsdgtfq5KfBq7pUwDyOvpyzT/view?usp=drivesdk" TargetMode="External"/><Relationship Id="rId159" Type="http://schemas.openxmlformats.org/officeDocument/2006/relationships/hyperlink" Target="https://drive.google.com/file/d/15Y9g6I8TxhPed9vwumzbVtUt0Kd25ajq/view?usp=drivesdk" TargetMode="External"/><Relationship Id="rId154" Type="http://schemas.openxmlformats.org/officeDocument/2006/relationships/hyperlink" Target="https://drive.google.com/file/d/1J0TaoUAf5ibPy9vCL7pj0PgVWZSwKCB2/view?usp=drivesdk" TargetMode="External"/><Relationship Id="rId153" Type="http://schemas.openxmlformats.org/officeDocument/2006/relationships/hyperlink" Target="https://drive.google.com/file/d/1fOXcAennGkSlJyDwhLhnihh2QKUsq50J/view?usp=drivesdk" TargetMode="External"/><Relationship Id="rId152" Type="http://schemas.openxmlformats.org/officeDocument/2006/relationships/hyperlink" Target="https://drive.google.com/file/d/1f7G_WkWxqeuuYGYRBNedLroXlqeUwl9K/view?usp=drivesdk" TargetMode="External"/><Relationship Id="rId151" Type="http://schemas.openxmlformats.org/officeDocument/2006/relationships/hyperlink" Target="https://drive.google.com/file/d/1Zflcwhc6iQP18ujlj-8VMH9hqAkDUivt/view?usp=drivesdk" TargetMode="External"/><Relationship Id="rId158" Type="http://schemas.openxmlformats.org/officeDocument/2006/relationships/hyperlink" Target="https://drive.google.com/file/d/1jK6L3SlF_hGbNYELOkz5XTA8p0x0396N/view?usp=drivesdk" TargetMode="External"/><Relationship Id="rId157" Type="http://schemas.openxmlformats.org/officeDocument/2006/relationships/hyperlink" Target="https://drive.google.com/file/d/1ILNcOSuLbcngA38kOoh0AZ4xtxu3Hoq5/view?usp=drivesdk" TargetMode="External"/><Relationship Id="rId156" Type="http://schemas.openxmlformats.org/officeDocument/2006/relationships/hyperlink" Target="https://drive.google.com/file/d/1RdE586MBezEoWKjQV3MB-IQTyBBFtgE8/view?usp=drivesdk" TargetMode="External"/><Relationship Id="rId155" Type="http://schemas.openxmlformats.org/officeDocument/2006/relationships/hyperlink" Target="https://drive.google.com/file/d/1lSaqB8OzwGELqq2awwQtJRk3MoWxIVA_/view?usp=drivesdk" TargetMode="External"/><Relationship Id="rId107" Type="http://schemas.openxmlformats.org/officeDocument/2006/relationships/hyperlink" Target="https://drive.google.com/file/d/1FRAW4z6RtridTHGTQk11oz5IU4u301RV/view?usp=drivesdk" TargetMode="External"/><Relationship Id="rId106" Type="http://schemas.openxmlformats.org/officeDocument/2006/relationships/hyperlink" Target="https://drive.google.com/file/d/1SmPR__e9DVOwDN4bllDuY_3Tw39IqiWB/view?usp=drivesdk" TargetMode="External"/><Relationship Id="rId105" Type="http://schemas.openxmlformats.org/officeDocument/2006/relationships/hyperlink" Target="https://drive.google.com/file/d/1BR-ZEDjt7uBPSkKV9Y1WoqfGD6WB3e7u/view?usp=drivesdk" TargetMode="External"/><Relationship Id="rId104" Type="http://schemas.openxmlformats.org/officeDocument/2006/relationships/hyperlink" Target="https://drive.google.com/file/d/1BjdVwWJ2g32H8AbZwPXchGZKP9gNmtYO/view?usp=drivesdk" TargetMode="External"/><Relationship Id="rId109" Type="http://schemas.openxmlformats.org/officeDocument/2006/relationships/hyperlink" Target="https://drive.google.com/file/d/1V9n0wVR7QVVobyLQmdocy9fMgSK6ROYV/view?usp=drivesdk" TargetMode="External"/><Relationship Id="rId108" Type="http://schemas.openxmlformats.org/officeDocument/2006/relationships/hyperlink" Target="https://drive.google.com/file/d/1Ekd-EfiIMWb8ULdegfKfyFVvFU-fmitV/view?usp=drivesdk" TargetMode="External"/><Relationship Id="rId103" Type="http://schemas.openxmlformats.org/officeDocument/2006/relationships/hyperlink" Target="https://drive.google.com/file/d/1bosap7OeaFZxOR7bT1CsP3o9v4yGMqkl/view?usp=drivesdk" TargetMode="External"/><Relationship Id="rId102" Type="http://schemas.openxmlformats.org/officeDocument/2006/relationships/hyperlink" Target="https://drive.google.com/file/d/10oCxG0SDGf2fQyV0rXork4Z2T0tvR4Tl/view?usp=drivesdk" TargetMode="External"/><Relationship Id="rId101" Type="http://schemas.openxmlformats.org/officeDocument/2006/relationships/hyperlink" Target="https://drive.google.com/file/d/1uJofLpoW6ymooPI-M_ukM_dGpnFU9DF6/view?usp=drivesdk" TargetMode="External"/><Relationship Id="rId100" Type="http://schemas.openxmlformats.org/officeDocument/2006/relationships/hyperlink" Target="https://drive.google.com/file/d/1ZnUkqVvLIYljfd0-TfoAieOFo-UnHifB/view?usp=drivesdk" TargetMode="External"/><Relationship Id="rId129" Type="http://schemas.openxmlformats.org/officeDocument/2006/relationships/hyperlink" Target="https://drive.google.com/file/d/1-m8rhOAD1ePAy4Zo3C6L8HmnT9ccR-SS/view?usp=drivesdk" TargetMode="External"/><Relationship Id="rId128" Type="http://schemas.openxmlformats.org/officeDocument/2006/relationships/hyperlink" Target="https://drive.google.com/file/d/1z05ZFiW5yh0KaHYgOhsaG0aVej-oELRd/view?usp=drivesdk" TargetMode="External"/><Relationship Id="rId127" Type="http://schemas.openxmlformats.org/officeDocument/2006/relationships/hyperlink" Target="https://drive.google.com/file/d/17P2qFyPrCxc_KlvhPrj9XAQKg6w_Nx09/view?usp=drivesdk" TargetMode="External"/><Relationship Id="rId126" Type="http://schemas.openxmlformats.org/officeDocument/2006/relationships/hyperlink" Target="https://drive.google.com/file/d/1qfwhpN1b4_DhHKLgpfHhwg8hEQu9If_3/view?usp=drivesdk" TargetMode="External"/><Relationship Id="rId121" Type="http://schemas.openxmlformats.org/officeDocument/2006/relationships/hyperlink" Target="https://drive.google.com/file/d/1AFijPNdSNNVP3Rn6ZU6c0fZhiAlt-FLC/view?usp=drivesdk" TargetMode="External"/><Relationship Id="rId120" Type="http://schemas.openxmlformats.org/officeDocument/2006/relationships/hyperlink" Target="https://drive.google.com/file/d/1PR7JHxf_CmjPgq_smYmbh4I36glSydbo/view?usp=drivesdk" TargetMode="External"/><Relationship Id="rId125" Type="http://schemas.openxmlformats.org/officeDocument/2006/relationships/hyperlink" Target="https://drive.google.com/file/d/1b4v6mUdz16AkC-7W_Oi00XBTpAxiDtGg/view?usp=drivesdk" TargetMode="External"/><Relationship Id="rId124" Type="http://schemas.openxmlformats.org/officeDocument/2006/relationships/hyperlink" Target="https://drive.google.com/file/d/11y9d0-lopBLqPCuNik4BVBvwiHWKOrvO/view?usp=drivesdk" TargetMode="External"/><Relationship Id="rId123" Type="http://schemas.openxmlformats.org/officeDocument/2006/relationships/hyperlink" Target="https://drive.google.com/file/d/1AHDIdexK-d4vytUQFZS7v93uG5470ad-/view?usp=drivesdk" TargetMode="External"/><Relationship Id="rId122" Type="http://schemas.openxmlformats.org/officeDocument/2006/relationships/hyperlink" Target="https://drive.google.com/file/d/1nyX5WCXuxBj9K6QUQ-0esrlP8o7ytQen/view?usp=drivesdk" TargetMode="External"/><Relationship Id="rId118" Type="http://schemas.openxmlformats.org/officeDocument/2006/relationships/hyperlink" Target="https://drive.google.com/file/d/1d_PgLKguF1-6T3r1QZHEbb2m1M--BUTK/view?usp=drivesdk" TargetMode="External"/><Relationship Id="rId117" Type="http://schemas.openxmlformats.org/officeDocument/2006/relationships/hyperlink" Target="https://drive.google.com/file/d/12ceGPeU9vZ2EWfBA3IytWg7Pwo5oQIrQ/view?usp=drivesdk" TargetMode="External"/><Relationship Id="rId116" Type="http://schemas.openxmlformats.org/officeDocument/2006/relationships/hyperlink" Target="https://drive.google.com/file/d/1HNVYxbq4ssNM1LkZBlX7zsxYtXQEiN5T/view?usp=drivesdk" TargetMode="External"/><Relationship Id="rId115" Type="http://schemas.openxmlformats.org/officeDocument/2006/relationships/hyperlink" Target="https://drive.google.com/file/d/1CpelmbiIgNzyAr43hYx81usKBH8SsWUR/view?usp=drivesdk" TargetMode="External"/><Relationship Id="rId119" Type="http://schemas.openxmlformats.org/officeDocument/2006/relationships/hyperlink" Target="https://drive.google.com/file/d/18v9PX4810DcSms2Fck_uyoRYwAu_usS6/view?usp=drivesdk" TargetMode="External"/><Relationship Id="rId110" Type="http://schemas.openxmlformats.org/officeDocument/2006/relationships/hyperlink" Target="https://drive.google.com/file/d/1zhkk9XV48Tv14yQGD4MCtUK2Gz4yoeyw/view?usp=drivesdk" TargetMode="External"/><Relationship Id="rId114" Type="http://schemas.openxmlformats.org/officeDocument/2006/relationships/hyperlink" Target="https://drive.google.com/file/d/1WiA_fOyyRMUYvQpDp1T6dhoEjiv2ENDr/view?usp=drivesdk" TargetMode="External"/><Relationship Id="rId113" Type="http://schemas.openxmlformats.org/officeDocument/2006/relationships/hyperlink" Target="https://drive.google.com/file/d/1neGMx5myGuSH9jrFJtCu_QNGf0pu-w7H/view?usp=drivesdk" TargetMode="External"/><Relationship Id="rId112" Type="http://schemas.openxmlformats.org/officeDocument/2006/relationships/hyperlink" Target="https://drive.google.com/file/d/1RIQIJwsi384lQfnAIcalK4nHPAVaaBvU/view?usp=drivesdk" TargetMode="External"/><Relationship Id="rId111" Type="http://schemas.openxmlformats.org/officeDocument/2006/relationships/hyperlink" Target="https://drive.google.com/file/d/1pN7yhDdiNrTRhrmHZIuQpaa-SsOvdJzQ/view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xoQkESfAcZS_Q1Ab-NLlRHVJku-5jSm7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via.placeholder.com/150x150/4F46E5/FFFFFF?text=%E0%B8%AA%E0%B8%A1%E0%B8%8A%E0%B8%B2%E0%B8%A2" TargetMode="External"/><Relationship Id="rId2" Type="http://schemas.openxmlformats.org/officeDocument/2006/relationships/hyperlink" Target="https://via.placeholder.com/150x150/EC4899/FFFFFF?text=%E0%B8%AA%E0%B8%A1%E0%B8%AB%E0%B8%8D%E0%B8%B4%E0%B8%87" TargetMode="External"/><Relationship Id="rId3" Type="http://schemas.openxmlformats.org/officeDocument/2006/relationships/hyperlink" Target="https://via.placeholder.com/150x150/10B981/FFFFFF?text=%E0%B8%97%E0%B8%94%E0%B8%AA%E0%B8%AD%E0%B8%9A" TargetMode="External"/><Relationship Id="rId4" Type="http://schemas.openxmlformats.org/officeDocument/2006/relationships/hyperlink" Target="https://via.placeholder.com/150x150/F59E0B/FFFFFF?text=%E0%B8%97%E0%B8%94%E0%B8%AA%E0%B8%AD%E0%B8%9A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azizstan.net/student_image/24775.jpg" TargetMode="External"/><Relationship Id="rId2" Type="http://schemas.openxmlformats.org/officeDocument/2006/relationships/hyperlink" Target="https://drive.google.com/drive/folders/17Y4xXlVsgVUPh9Bgwy0hhaT7LIKBVEJY?usp=sharing" TargetMode="External"/><Relationship Id="rId3" Type="http://schemas.openxmlformats.org/officeDocument/2006/relationships/hyperlink" Target="https://drive.google.com/file/d/14Zm_VAOtZ7vgSRUOdH7DpaSFddow4pJL/view?usp=sharing" TargetMode="External"/><Relationship Id="rId4" Type="http://schemas.openxmlformats.org/officeDocument/2006/relationships/hyperlink" Target="https://azizstan.net/student_image/24745.jpg" TargetMode="External"/><Relationship Id="rId9" Type="http://schemas.openxmlformats.org/officeDocument/2006/relationships/hyperlink" Target="https://l.instagram.com/?u=https%3A%2F%2Fdrive.google.com%2Fdrive%2Ffolders%2F1Zh3YLyVtlUggQ1SYJqE2Au6HX_K6WNx3&amp;e=AT2ZVDMDBEvECeYnkem88tIkO26aCTHSK2e9xS4NYv88gyUl6roiKkj-UD4OKoyEIUlnNu99xhnNqCeIB-31GLM8xZlUScuGI2RLa1DxGcf1cxFEjRlEKJBDT7nr" TargetMode="External"/><Relationship Id="rId5" Type="http://schemas.openxmlformats.org/officeDocument/2006/relationships/hyperlink" Target="https://drive.google.com/drive/folders/1X7VbOvbp7sCuTcPhifOiMi2wMbb6zFyY" TargetMode="External"/><Relationship Id="rId6" Type="http://schemas.openxmlformats.org/officeDocument/2006/relationships/hyperlink" Target="https://drive.google.com/drive/folders/1-f4gYlaOIU0zCpOnfP1E5keSw8QAUU_P" TargetMode="External"/><Relationship Id="rId7" Type="http://schemas.openxmlformats.org/officeDocument/2006/relationships/hyperlink" Target="https://azizstan.net/student_image/25074.jpg" TargetMode="External"/><Relationship Id="rId8" Type="http://schemas.openxmlformats.org/officeDocument/2006/relationships/hyperlink" Target="https://l.instagram.com/?u=https%3A%2F%2Fdrive.google.com%2Fdrive%2Ffolders%2F1HBRRba-yAa0g5Wu52a1xH64L9Q3nyZgk&amp;e=AT1UwHVwyMyQaw2MDj8eRfUMXIB_LY5jEWsNGnQYVMNM1Rn-k6W-3WObgt84KnkizNrV7TmaWL92dfZuRsM59fgHLipJbzceLWN1w1N-N2u4CkUOxmllDmYSQ5H4fW1z919UyrQ-Wel0" TargetMode="External"/><Relationship Id="rId40" Type="http://schemas.openxmlformats.org/officeDocument/2006/relationships/hyperlink" Target="https://azizstan.net/student_image/24050.jpg" TargetMode="External"/><Relationship Id="rId42" Type="http://schemas.openxmlformats.org/officeDocument/2006/relationships/hyperlink" Target="https://drive.google.com/drive/folders/1Hk5M4S9VjcXnE_a25RE8GKFJW-pgF0PT" TargetMode="External"/><Relationship Id="rId41" Type="http://schemas.openxmlformats.org/officeDocument/2006/relationships/hyperlink" Target="https://drive.google.com/drive/folders/1cJ__XSv0UTJ4itbaJXamg5g5Gw-cDSmm" TargetMode="External"/><Relationship Id="rId44" Type="http://schemas.openxmlformats.org/officeDocument/2006/relationships/hyperlink" Target="https://drive.google.com/drive/folders/14eDUPhwvK5DuRXYI6SHp3e5JMxxWX7iW" TargetMode="External"/><Relationship Id="rId43" Type="http://schemas.openxmlformats.org/officeDocument/2006/relationships/hyperlink" Target="https://azizstan.net/student_image/24331.jpg" TargetMode="External"/><Relationship Id="rId46" Type="http://schemas.openxmlformats.org/officeDocument/2006/relationships/hyperlink" Target="https://azizstan.net/student_image/24070.jpg" TargetMode="External"/><Relationship Id="rId45" Type="http://schemas.openxmlformats.org/officeDocument/2006/relationships/hyperlink" Target="https://drive.google.com/file/d/18MDQCBPQXE6ZlHdUpw0opALTR-Fc2bpH/view?usp=drivesdk" TargetMode="External"/><Relationship Id="rId48" Type="http://schemas.openxmlformats.org/officeDocument/2006/relationships/hyperlink" Target="https://drive.google.com/drive/folders/1V1-3TvteheNK2f9aUUSTHCp0YcmMbYYt" TargetMode="External"/><Relationship Id="rId47" Type="http://schemas.openxmlformats.org/officeDocument/2006/relationships/hyperlink" Target="https://l.facebook.com/l.php?u=https%3A%2F%2Fdrive.google.com%2Fdrive%2Ffolders%2F1sERhR6gZ2i0HWFTx7ZLgAj8DtsZil_hu%3Ffbclid%3DIwZXh0bgNhZW0CMTEAAR4SGfmThqNXlQMIGx-Bs0sTqNSLrqlERMBhcbJDGRNpMH0D9LoiEvclsYEGzA_aem_F7hkVG3D7TW4_xqvSQ7l3Q&amp;h=AT0NxCkd7q6gLOTrjc7ldHPPekcqcMDrC-5aVLRYyFDr-u9efR-4llieqxe2RD9CMkdfUWMB2l4ivBpokl13Rz2smt2M_LC-vyeN4AP590zQipQq79Ini1OIhkTntB6H3WmOq0L3YzukzZc&amp;s=1" TargetMode="External"/><Relationship Id="rId49" Type="http://schemas.openxmlformats.org/officeDocument/2006/relationships/hyperlink" Target="https://azizstan.net/student_image/24454.jpg" TargetMode="External"/><Relationship Id="rId31" Type="http://schemas.openxmlformats.org/officeDocument/2006/relationships/hyperlink" Target="https://azizstan.net/student_image/24022.jpg" TargetMode="External"/><Relationship Id="rId30" Type="http://schemas.openxmlformats.org/officeDocument/2006/relationships/hyperlink" Target="https://drive.google.com/file/d/1P8EqqnEC-ecm0LPmEr-Vn-FI9q1GKd7k/view?usp=drivesdk" TargetMode="External"/><Relationship Id="rId33" Type="http://schemas.openxmlformats.org/officeDocument/2006/relationships/hyperlink" Target="https://drive.google.com/drive/folders/1-3K-Pqqn40n95dFaDWRfR_pbY1sC6KWB" TargetMode="External"/><Relationship Id="rId32" Type="http://schemas.openxmlformats.org/officeDocument/2006/relationships/hyperlink" Target="https://drive.google.com/drive/folders/1DXdNC6e05q-YadvM4nq55DsWvHwu78-g" TargetMode="External"/><Relationship Id="rId35" Type="http://schemas.openxmlformats.org/officeDocument/2006/relationships/hyperlink" Target="https://drive.google.com/drive/folders/1LYWM8L5zLDfwj99_246rOeiScGBX51AT" TargetMode="External"/><Relationship Id="rId34" Type="http://schemas.openxmlformats.org/officeDocument/2006/relationships/hyperlink" Target="https://azizstan.net/student_image/24006.jpg" TargetMode="External"/><Relationship Id="rId37" Type="http://schemas.openxmlformats.org/officeDocument/2006/relationships/hyperlink" Target="https://azizstan.net/student_image/24025.jpg" TargetMode="External"/><Relationship Id="rId36" Type="http://schemas.openxmlformats.org/officeDocument/2006/relationships/hyperlink" Target="https://drive.google.com/drive/folders/1CIKaY0-nfvchcVeSggbphcBLAVAK1Vmy" TargetMode="External"/><Relationship Id="rId39" Type="http://schemas.openxmlformats.org/officeDocument/2006/relationships/hyperlink" Target="https://youtube.com/shorts/LB2atgIIGEQ?si=ABrkE6UJ8dRxTEB3" TargetMode="External"/><Relationship Id="rId38" Type="http://schemas.openxmlformats.org/officeDocument/2006/relationships/hyperlink" Target="https://drive.google.com/file/d/1_YO0gCAhZNbk2x0dZ5zr-uFLiBuq9qKz/view?usp=drivesdk" TargetMode="External"/><Relationship Id="rId20" Type="http://schemas.openxmlformats.org/officeDocument/2006/relationships/hyperlink" Target="https://drive.google.com/drive/folders/10e5M6YE_BsG8Kbw1HC_rtvFLtQdUUw2K" TargetMode="External"/><Relationship Id="rId22" Type="http://schemas.openxmlformats.org/officeDocument/2006/relationships/hyperlink" Target="https://azizstan.net/student_image/24760.jpg" TargetMode="External"/><Relationship Id="rId21" Type="http://schemas.openxmlformats.org/officeDocument/2006/relationships/hyperlink" Target="https://drive.google.com/drive/folders/1-f4gYlaOIU0zCpOnfP1E5keSw8QAUU_P" TargetMode="External"/><Relationship Id="rId24" Type="http://schemas.openxmlformats.org/officeDocument/2006/relationships/hyperlink" Target="https://drive.google.com/file/d/1n9V6IQpPvSz-5FBsu7q7batUZL8gO4rA/view?usp=drivesdk" TargetMode="External"/><Relationship Id="rId23" Type="http://schemas.openxmlformats.org/officeDocument/2006/relationships/hyperlink" Target="https://drive.google.com/drive/folders/1OJaZom5EPXxD5twX-7oQ1PAk1zZtd_m_" TargetMode="External"/><Relationship Id="rId26" Type="http://schemas.openxmlformats.org/officeDocument/2006/relationships/hyperlink" Target="https://drive.google.com/drive/folders/1dpACQeJxABSAIrUK_rXXLnx3QNZNmCwk" TargetMode="External"/><Relationship Id="rId25" Type="http://schemas.openxmlformats.org/officeDocument/2006/relationships/hyperlink" Target="https://azizstan.net/student_image/26342.jpg" TargetMode="External"/><Relationship Id="rId28" Type="http://schemas.openxmlformats.org/officeDocument/2006/relationships/hyperlink" Target="https://azizstan.net/student_image/26340.jpg" TargetMode="External"/><Relationship Id="rId27" Type="http://schemas.openxmlformats.org/officeDocument/2006/relationships/hyperlink" Target="https://drive.google.com/file/d/1K741SclJdiXjZFwUI4ymintLCKGqYM0O/view?usp=drivesdk" TargetMode="External"/><Relationship Id="rId29" Type="http://schemas.openxmlformats.org/officeDocument/2006/relationships/hyperlink" Target="https://drive.google.com/file/d/1LdTnrRsK3eRfzaApYbtpn8FTJ4zJAy1Q/view?usp=drivesdk" TargetMode="External"/><Relationship Id="rId11" Type="http://schemas.openxmlformats.org/officeDocument/2006/relationships/hyperlink" Target="https://l.instagram.com/?u=https%3A%2F%2Fdrive.google.com%2Fdrive%2Ffolders%2F1-9KFsCT-Vh9jZ2LLzCeXLBYNBELs06Q7&amp;e=AT3aycv0XW6OPvWBX1OxavQnbbH8GW4S0wxIghws3tbiGVVYlvufXAmQO9oVtgHYmgwNf8xlk45T9AHY7U5ZGERPThxtczRHhcBevGyimCyxCSdFpfD7Hw0YVe-boM7ykQhnPPRh1J02" TargetMode="External"/><Relationship Id="rId10" Type="http://schemas.openxmlformats.org/officeDocument/2006/relationships/hyperlink" Target="https://azizstan.net/student_image/24777.jpg" TargetMode="External"/><Relationship Id="rId13" Type="http://schemas.openxmlformats.org/officeDocument/2006/relationships/hyperlink" Target="https://azizstan.net/student_image/24964.jpg" TargetMode="External"/><Relationship Id="rId12" Type="http://schemas.openxmlformats.org/officeDocument/2006/relationships/hyperlink" Target="https://l.instagram.com/?u=https%3A%2F%2Fdrive.google.com%2Ffile%2Fd%2F1-AnmFuqg5POv4jkjZZp7yrLC0RZsiwoJ&amp;e=AT1Bafe9UO7oc67nsLyO_8MOPzQNqMaPbSeDnjtHnJsrG0iStvwQ5CFDXpV9bVbMvLnkfUf5SS8hZRAT3_VCgjZZPsxtiiTTY-tTFVdniUiL3oGSPZSSAFKPBcjYSKEXq6nw0nenn-HQ" TargetMode="External"/><Relationship Id="rId15" Type="http://schemas.openxmlformats.org/officeDocument/2006/relationships/hyperlink" Target="https://drive.google.com/file/d/1SqiKshQgAkuvk3FcxUHVlTGUl79iRZ9I/view?usp=drivesdk" TargetMode="External"/><Relationship Id="rId14" Type="http://schemas.openxmlformats.org/officeDocument/2006/relationships/hyperlink" Target="https://drive.google.com/drive/folders/1SmfPfY428vtW5POjCO_LG8A3pOz3Ft1U" TargetMode="External"/><Relationship Id="rId17" Type="http://schemas.openxmlformats.org/officeDocument/2006/relationships/hyperlink" Target="https://l.instagram.com/?u=https%3A%2F%2Fdrive.google.com%2Fdrive%2Ffolders%2F1-K8f_8OZUGkr1nWUU_2KOXHCgmMcE8jO&amp;e=AT3sdmOvTAc2TXvuZdNPR4nWgIc25Kht6UxoYtV1om0hrF7i7InrdD2zTn7zN3-aiU8UCPUUB2MQsW-fMMMHDFQ2Tvf0_IsrScqMRt0xclmrkSDjLS9eDq5LLpHs-Q3WFZ9gofWA4VW1" TargetMode="External"/><Relationship Id="rId16" Type="http://schemas.openxmlformats.org/officeDocument/2006/relationships/hyperlink" Target="https://azizstan.net/student_image/24937.jpg" TargetMode="External"/><Relationship Id="rId19" Type="http://schemas.openxmlformats.org/officeDocument/2006/relationships/hyperlink" Target="https://azizstan.net/student_image/24901.jpg" TargetMode="External"/><Relationship Id="rId18" Type="http://schemas.openxmlformats.org/officeDocument/2006/relationships/hyperlink" Target="https://l.instagram.com/?u=https%3A%2F%2Fdrive.google.com%2Fdrive%2Ffolders%2F1-IbX4Znpg4Ddvw7GzjfjLf3miYaVuar_&amp;e=AT2r-wGEK4H-UURMatadBehMQJPCLEgpiCj9s__6apbx5mKA9eOWlOLzWUfcnBxQMjxx9S7NCAheXskB-UaXiXlfzXH3WVZDQXyOKB4j4A4QaF4WHSzPbVGgv4s3" TargetMode="External"/><Relationship Id="rId84" Type="http://schemas.openxmlformats.org/officeDocument/2006/relationships/hyperlink" Target="https://drive.google.com/drive/folders/1IBYLQoWyaCeZUPQ37NcU0uaAhenqW59E" TargetMode="External"/><Relationship Id="rId83" Type="http://schemas.openxmlformats.org/officeDocument/2006/relationships/hyperlink" Target="https://drive.google.com/drive/folders/1TXYXc4-ErHkML_ueZvRMA4epydiHtOqx" TargetMode="External"/><Relationship Id="rId86" Type="http://schemas.openxmlformats.org/officeDocument/2006/relationships/hyperlink" Target="https://drive.google.com/file/d/1KhPAtIAoXy7SuY0O6lqTdNt2egEZe1tQ/view?usp=drivesdk" TargetMode="External"/><Relationship Id="rId85" Type="http://schemas.openxmlformats.org/officeDocument/2006/relationships/hyperlink" Target="https://azizstan.net/student_image/24300.jpg" TargetMode="External"/><Relationship Id="rId88" Type="http://schemas.openxmlformats.org/officeDocument/2006/relationships/hyperlink" Target="https://azizstan.net/student_image/24094.jpg" TargetMode="External"/><Relationship Id="rId87" Type="http://schemas.openxmlformats.org/officeDocument/2006/relationships/hyperlink" Target="https://drive.google.com/file/d/1-hgXVJSrga766CET3NoiOCVwOKsElYVw/view?usp=drivesdk" TargetMode="External"/><Relationship Id="rId89" Type="http://schemas.openxmlformats.org/officeDocument/2006/relationships/hyperlink" Target="https://drive.google.com/drive/folders/1OfQQdE32MvATSP6CuN1SXkVXRxj4muf8" TargetMode="External"/><Relationship Id="rId80" Type="http://schemas.openxmlformats.org/officeDocument/2006/relationships/hyperlink" Target="https://drive.google.com/drive/folders/1YPRV9N2LidPv5pOx9MIpKLZS-4wflPK8" TargetMode="External"/><Relationship Id="rId82" Type="http://schemas.openxmlformats.org/officeDocument/2006/relationships/hyperlink" Target="https://azizstan.net/student_image/23349.jpg" TargetMode="External"/><Relationship Id="rId81" Type="http://schemas.openxmlformats.org/officeDocument/2006/relationships/hyperlink" Target="https://drive.google.com/drive/folders/1nlYZfAJ2KybfOiBalvxQ9HGBpZp1_L73" TargetMode="External"/><Relationship Id="rId73" Type="http://schemas.openxmlformats.org/officeDocument/2006/relationships/hyperlink" Target="https://azizstan.net/student_image/24256.jpg" TargetMode="External"/><Relationship Id="rId72" Type="http://schemas.openxmlformats.org/officeDocument/2006/relationships/hyperlink" Target="https://drive.google.com/file/d/1fMZmcJaOM19kpsDhugfu5U8jEr9T2VtD/view?usp=sharing" TargetMode="External"/><Relationship Id="rId75" Type="http://schemas.openxmlformats.org/officeDocument/2006/relationships/hyperlink" Target="https://drive.google.com/drive/folders/1-IPhpBH8sXsaQnC73OvKHLkTL8O5vkM3" TargetMode="External"/><Relationship Id="rId74" Type="http://schemas.openxmlformats.org/officeDocument/2006/relationships/hyperlink" Target="https://drive.google.com/drive/folders/1AYWu71rXdLYeK0QJXi719UCrKd5nny2N" TargetMode="External"/><Relationship Id="rId77" Type="http://schemas.openxmlformats.org/officeDocument/2006/relationships/hyperlink" Target="https://drive.google.com/drive/folders/1-77vgtuAsaxinQKai8kRwVlMq6W9crdT" TargetMode="External"/><Relationship Id="rId76" Type="http://schemas.openxmlformats.org/officeDocument/2006/relationships/hyperlink" Target="https://azizstan.net/student_image/24234.jpg" TargetMode="External"/><Relationship Id="rId79" Type="http://schemas.openxmlformats.org/officeDocument/2006/relationships/hyperlink" Target="https://azizstan.net/student_image/24238.jpg" TargetMode="External"/><Relationship Id="rId78" Type="http://schemas.openxmlformats.org/officeDocument/2006/relationships/hyperlink" Target="https://drive.google.com/drive/folders/1wXb9NDA0hli4AUTgkBckXUmwJ4USOanr" TargetMode="External"/><Relationship Id="rId71" Type="http://schemas.openxmlformats.org/officeDocument/2006/relationships/hyperlink" Target="https://drive.google.com/file/d/1xsHT47V7zxvbtkzD6VMAcdJql3TrCERU/view?usp=sharing" TargetMode="External"/><Relationship Id="rId70" Type="http://schemas.openxmlformats.org/officeDocument/2006/relationships/hyperlink" Target="https://azizstan.net/student_image/24158.jpg" TargetMode="External"/><Relationship Id="rId62" Type="http://schemas.openxmlformats.org/officeDocument/2006/relationships/hyperlink" Target="https://www.canva.com/design/DAGwDVdWWgQ/lMCEDBKL0b2K7zOy6Zh7fA/edit?utm_content=DAGwDVdWWgQ&amp;utm_campaign=designshare&amp;utm_medium=link2&amp;utm_source=sharebutton" TargetMode="External"/><Relationship Id="rId61" Type="http://schemas.openxmlformats.org/officeDocument/2006/relationships/hyperlink" Target="https://azizstan.net/student_image/24093.jpg" TargetMode="External"/><Relationship Id="rId64" Type="http://schemas.openxmlformats.org/officeDocument/2006/relationships/hyperlink" Target="https://azizstan.net/student_image/23974.jpg" TargetMode="External"/><Relationship Id="rId63" Type="http://schemas.openxmlformats.org/officeDocument/2006/relationships/hyperlink" Target="https://drive.google.com/file/d/1cUfwKykIxEsp_xtBPUTBlKO-bDS8DckW/view?usp=drivesdk" TargetMode="External"/><Relationship Id="rId66" Type="http://schemas.openxmlformats.org/officeDocument/2006/relationships/hyperlink" Target="https://drive.google.com/drive/folders/1I27P5v_8q07Lo6JzluCplRP7jopXHUNI" TargetMode="External"/><Relationship Id="rId65" Type="http://schemas.openxmlformats.org/officeDocument/2006/relationships/hyperlink" Target="https://drive.google.com/drive/folders/1rxv48dTvxupqqYSYzJT8UjdBqly663y1" TargetMode="External"/><Relationship Id="rId68" Type="http://schemas.openxmlformats.org/officeDocument/2006/relationships/hyperlink" Target="https://drive.google.com/drive/folders/1pjulch-wLwUWxLUWnKu5yGnW6mrxH-w9" TargetMode="External"/><Relationship Id="rId67" Type="http://schemas.openxmlformats.org/officeDocument/2006/relationships/hyperlink" Target="https://azizstan.net/student_image/23639.jpg" TargetMode="External"/><Relationship Id="rId60" Type="http://schemas.openxmlformats.org/officeDocument/2006/relationships/hyperlink" Target="https://drive.google.com/drive/folders/13i8ow-Nd18xxLHJKnkIaok_qS_Gtg4B7" TargetMode="External"/><Relationship Id="rId69" Type="http://schemas.openxmlformats.org/officeDocument/2006/relationships/hyperlink" Target="https://drive.google.com/drive/folders/18A5RuERzGFqTgr3QkDsYEgL0VjxVuD4H" TargetMode="External"/><Relationship Id="rId51" Type="http://schemas.openxmlformats.org/officeDocument/2006/relationships/hyperlink" Target="https://drive.google.com/drive/folders/1QXA_yGG3btO4iGCjYb4tmEOGzlSnWa2z" TargetMode="External"/><Relationship Id="rId50" Type="http://schemas.openxmlformats.org/officeDocument/2006/relationships/hyperlink" Target="https://drive.google.com/drive/folders/1B2jDP9GsLvyPNUVTZyPvuLGbt_dMMVG6" TargetMode="External"/><Relationship Id="rId53" Type="http://schemas.openxmlformats.org/officeDocument/2006/relationships/hyperlink" Target="https://drive.google.com/drive/folders/1MTPjBJ9QaH7KdlvYW8cewg9IGoOUAaUP" TargetMode="External"/><Relationship Id="rId52" Type="http://schemas.openxmlformats.org/officeDocument/2006/relationships/hyperlink" Target="https://azizstan.net/student_image/24357.jpg" TargetMode="External"/><Relationship Id="rId55" Type="http://schemas.openxmlformats.org/officeDocument/2006/relationships/hyperlink" Target="https://azizstan.net/student_image/23398.jpg" TargetMode="External"/><Relationship Id="rId54" Type="http://schemas.openxmlformats.org/officeDocument/2006/relationships/hyperlink" Target="https://drive.google.com/drive/folders/14x_KUePPIY3uL39UubJMCxKgfj9JibaN" TargetMode="External"/><Relationship Id="rId57" Type="http://schemas.openxmlformats.org/officeDocument/2006/relationships/hyperlink" Target="https://drive.google.com/file/d/1Pmg2L_GO9sr65TjHanB02oJy0m3yCA99/view?usp=drivesdk" TargetMode="External"/><Relationship Id="rId56" Type="http://schemas.openxmlformats.org/officeDocument/2006/relationships/hyperlink" Target="https://drive.google.com/drive/folders/1R1cr9OB_vtiaZtBCSPOBgHcKscxcULBL" TargetMode="External"/><Relationship Id="rId59" Type="http://schemas.openxmlformats.org/officeDocument/2006/relationships/hyperlink" Target="https://drive.google.com/drive/folders/1OGYBmk3iS0Hrwu5aUIubihFjljipqhwp" TargetMode="External"/><Relationship Id="rId58" Type="http://schemas.openxmlformats.org/officeDocument/2006/relationships/hyperlink" Target="https://azizstan.net/student_image/24105.jpg" TargetMode="External"/><Relationship Id="rId95" Type="http://schemas.openxmlformats.org/officeDocument/2006/relationships/hyperlink" Target="https://drive.google.com/drive/folders/1kQDyNVl0qGHNrXKTibYwlb-yY4Du8GJc" TargetMode="External"/><Relationship Id="rId94" Type="http://schemas.openxmlformats.org/officeDocument/2006/relationships/hyperlink" Target="https://azizstan.net/student_image/24275.jpg" TargetMode="External"/><Relationship Id="rId97" Type="http://schemas.openxmlformats.org/officeDocument/2006/relationships/hyperlink" Target="https://azizstan.net/student_image/24250.jpg" TargetMode="External"/><Relationship Id="rId96" Type="http://schemas.openxmlformats.org/officeDocument/2006/relationships/hyperlink" Target="https://drive.google.com/file/d/1ik_wvYl5PwFiUThRDmRdDwG2FTPgRnH-/view?usp=drivesdk" TargetMode="External"/><Relationship Id="rId99" Type="http://schemas.openxmlformats.org/officeDocument/2006/relationships/hyperlink" Target="https://drive.google.com/file/d/195YdIbFeVKWMxoXi9nZz80IfOO2XNe2U/view?usp=drivesdk" TargetMode="External"/><Relationship Id="rId98" Type="http://schemas.openxmlformats.org/officeDocument/2006/relationships/hyperlink" Target="https://drive.google.com/drive/folders/17OXeWwXajiLPh0oLsm0vgYrdoa0BkoFh" TargetMode="External"/><Relationship Id="rId91" Type="http://schemas.openxmlformats.org/officeDocument/2006/relationships/hyperlink" Target="https://azizstan.net/student_image/23721.jpg" TargetMode="External"/><Relationship Id="rId90" Type="http://schemas.openxmlformats.org/officeDocument/2006/relationships/hyperlink" Target="https://drive.google.com/drive/folders/1NcqRR4p1NpwNq6lQ1sBunhC64yiPfn4c" TargetMode="External"/><Relationship Id="rId93" Type="http://schemas.openxmlformats.org/officeDocument/2006/relationships/hyperlink" Target="https://drive.google.com/drive/folders/1-23JiCPzkcQ9fOpaA1WLT3AUsUzN2u5G" TargetMode="External"/><Relationship Id="rId92" Type="http://schemas.openxmlformats.org/officeDocument/2006/relationships/hyperlink" Target="https://drive.google.com/drive/folders/1iKmPLjVkgpL6i3h9usZnDwxvhpaMtBRX" TargetMode="External"/><Relationship Id="rId190" Type="http://schemas.openxmlformats.org/officeDocument/2006/relationships/hyperlink" Target="https://azizstan.net/student_image/23662.jpg" TargetMode="External"/><Relationship Id="rId193" Type="http://schemas.openxmlformats.org/officeDocument/2006/relationships/drawing" Target="../drawings/drawing19.xml"/><Relationship Id="rId192" Type="http://schemas.openxmlformats.org/officeDocument/2006/relationships/hyperlink" Target="https://drive.google.com/drive/folders/1Mh3QfHXDPypc76nUoG_zD9jCNpxmlE7B" TargetMode="External"/><Relationship Id="rId191" Type="http://schemas.openxmlformats.org/officeDocument/2006/relationships/hyperlink" Target="https://drive.google.com/drive/folders/1M0yNBASGr9uvUU9VlP_qo6ySZhBNCQ3b" TargetMode="External"/><Relationship Id="rId187" Type="http://schemas.openxmlformats.org/officeDocument/2006/relationships/hyperlink" Target="https://azizstan.net/student_image/23687.jpg" TargetMode="External"/><Relationship Id="rId186" Type="http://schemas.openxmlformats.org/officeDocument/2006/relationships/hyperlink" Target="https://drive.google.com/file/d/1jG_inLLR4563MVpngUpxl5ul0_CR7d-H/view?usp=drivesdk" TargetMode="External"/><Relationship Id="rId185" Type="http://schemas.openxmlformats.org/officeDocument/2006/relationships/hyperlink" Target="https://drive.google.com/file/d/1IEltwBqyQrcKHMDIQS3N-7qYB1ye8QDd/view?usp=drivesdk" TargetMode="External"/><Relationship Id="rId184" Type="http://schemas.openxmlformats.org/officeDocument/2006/relationships/hyperlink" Target="https://azizstan.net/student_image/23771.jpg" TargetMode="External"/><Relationship Id="rId189" Type="http://schemas.openxmlformats.org/officeDocument/2006/relationships/hyperlink" Target="https://drive.google.com/file/d/1KW7sF17m_IFkjNlRQ_bQH4rz9OqWLKkB/view?usp=sharing" TargetMode="External"/><Relationship Id="rId188" Type="http://schemas.openxmlformats.org/officeDocument/2006/relationships/hyperlink" Target="https://drive.google.com/drive/folders/1iFHu2lcP8Y4y1c4IcRqeW97iDQRUPIB6?usp=sharing" TargetMode="External"/><Relationship Id="rId183" Type="http://schemas.openxmlformats.org/officeDocument/2006/relationships/hyperlink" Target="https://drive.google.com/file/d/1fwOEdzFDSZtEhQzJpXa8dplB8bveFLmy/view?usp=drivesdk" TargetMode="External"/><Relationship Id="rId182" Type="http://schemas.openxmlformats.org/officeDocument/2006/relationships/hyperlink" Target="https://drive.google.com/file/d/1efJsu078fybCSZhTkAeAtZwtZAkQ7oHd/view?usp=drivesdk" TargetMode="External"/><Relationship Id="rId181" Type="http://schemas.openxmlformats.org/officeDocument/2006/relationships/hyperlink" Target="https://azizstan.net/student_image/25598.jpg" TargetMode="External"/><Relationship Id="rId180" Type="http://schemas.openxmlformats.org/officeDocument/2006/relationships/hyperlink" Target="https://drive.google.com/file/d/1TO7CLSEolxfX-zMwQcFjJcPV76tkxTCt/view?usp=drivesdk" TargetMode="External"/><Relationship Id="rId176" Type="http://schemas.openxmlformats.org/officeDocument/2006/relationships/hyperlink" Target="https://drive.google.com/drive/folders/1QVu1raD00g5Ab91EDyC4J7-EMrZUfmUZ" TargetMode="External"/><Relationship Id="rId175" Type="http://schemas.openxmlformats.org/officeDocument/2006/relationships/hyperlink" Target="https://azizstan.net/student_image/25925.jpg" TargetMode="External"/><Relationship Id="rId174" Type="http://schemas.openxmlformats.org/officeDocument/2006/relationships/hyperlink" Target="https://drive.google.com/drive/folders/1HR20bn5GQT8NiY3omWRDJib1jEUnylds" TargetMode="External"/><Relationship Id="rId173" Type="http://schemas.openxmlformats.org/officeDocument/2006/relationships/hyperlink" Target="https://drive.google.com/drive/folders/1I4bynECVBCGtS7SO0F05xc7kdW49vjYj" TargetMode="External"/><Relationship Id="rId179" Type="http://schemas.openxmlformats.org/officeDocument/2006/relationships/hyperlink" Target="https://drive.google.com/drive/folders/1kbpMpkrYUrclGmzU8Km4jqL89j96Hhh2" TargetMode="External"/><Relationship Id="rId178" Type="http://schemas.openxmlformats.org/officeDocument/2006/relationships/hyperlink" Target="https://azizstan.net/student_image/25772.jpg" TargetMode="External"/><Relationship Id="rId177" Type="http://schemas.openxmlformats.org/officeDocument/2006/relationships/hyperlink" Target="https://drive.google.com/drive/folders/1SnBmuqfUC7LuOL0w76DB32ntadiMcJX0" TargetMode="External"/><Relationship Id="rId195" Type="http://schemas.openxmlformats.org/officeDocument/2006/relationships/table" Target="../tables/table7.xml"/><Relationship Id="rId150" Type="http://schemas.openxmlformats.org/officeDocument/2006/relationships/hyperlink" Target="https://drive.google.com/drive/folders/1QL0k2NPwiB8SRQdip3LTRP6c7VCygwPz" TargetMode="External"/><Relationship Id="rId149" Type="http://schemas.openxmlformats.org/officeDocument/2006/relationships/hyperlink" Target="https://drive.google.com/drive/folders/1PTrd1VyfdvENO9WiOwUHrafsttaI9ua7" TargetMode="External"/><Relationship Id="rId148" Type="http://schemas.openxmlformats.org/officeDocument/2006/relationships/hyperlink" Target="https://azizstan.net/student_image/23644.jpg" TargetMode="External"/><Relationship Id="rId143" Type="http://schemas.openxmlformats.org/officeDocument/2006/relationships/hyperlink" Target="https://drive.google.com/file/d/1Gz6ZBi-D-NNlmRAZKKXyIIabS3uMSYEY/view?usp=drivesdk" TargetMode="External"/><Relationship Id="rId142" Type="http://schemas.openxmlformats.org/officeDocument/2006/relationships/hyperlink" Target="https://azizstan.net/student_image/23451.jpg" TargetMode="External"/><Relationship Id="rId141" Type="http://schemas.openxmlformats.org/officeDocument/2006/relationships/hyperlink" Target="https://drive.google.com/drive/folders/19Nw3oo2RIRY83ipDObUu4joA65j4gR6D" TargetMode="External"/><Relationship Id="rId140" Type="http://schemas.openxmlformats.org/officeDocument/2006/relationships/hyperlink" Target="https://drive.google.com/drive/folders/1efqBeLENZH8ilVdMaNxlJH48-Lg_xapC" TargetMode="External"/><Relationship Id="rId147" Type="http://schemas.openxmlformats.org/officeDocument/2006/relationships/hyperlink" Target="https://drive.google.com/file/d/1iQuJzGX1mbBF-tSfLUGQFN5EEFqjgDKi/view?usp=drivesdk" TargetMode="External"/><Relationship Id="rId146" Type="http://schemas.openxmlformats.org/officeDocument/2006/relationships/hyperlink" Target="https://drive.google.com/drive/folders/18RiyzLjsNVtRR7tgiEQWzV9YCemz_eY1" TargetMode="External"/><Relationship Id="rId145" Type="http://schemas.openxmlformats.org/officeDocument/2006/relationships/hyperlink" Target="https://azizstan.net/student_image/23385.jpg" TargetMode="External"/><Relationship Id="rId144" Type="http://schemas.openxmlformats.org/officeDocument/2006/relationships/hyperlink" Target="https://drive.google.com/file/d/1egTVnv_4SDXMk1Xm4M2rLcwJgy5luA6B/view?usp=drivesdk" TargetMode="External"/><Relationship Id="rId139" Type="http://schemas.openxmlformats.org/officeDocument/2006/relationships/hyperlink" Target="https://azizstan.net/student_image/25595.jpg" TargetMode="External"/><Relationship Id="rId138" Type="http://schemas.openxmlformats.org/officeDocument/2006/relationships/hyperlink" Target="https://drive.google.com/file/d/1TQql-sc_-hduE_OhdMalG3_DE_tfgGbq/view?usp=drivesdk" TargetMode="External"/><Relationship Id="rId137" Type="http://schemas.openxmlformats.org/officeDocument/2006/relationships/hyperlink" Target="https://drive.google.com/drive/folders/1zSn_SUVQCUs1v_pu3LWHUk3GabCcOa-m" TargetMode="External"/><Relationship Id="rId132" Type="http://schemas.openxmlformats.org/officeDocument/2006/relationships/hyperlink" Target="https://drive.google.com/file/d/1o6ZE9OqsRPzRUPxPhyFaBxqppirxYoTO/view?usp=drivesdk" TargetMode="External"/><Relationship Id="rId131" Type="http://schemas.openxmlformats.org/officeDocument/2006/relationships/hyperlink" Target="https://drive.google.com/drive/folders/1ZiRlt9-UYdFWEKgZ-0esq1oUhjP_ZiBZ" TargetMode="External"/><Relationship Id="rId130" Type="http://schemas.openxmlformats.org/officeDocument/2006/relationships/hyperlink" Target="https://azizstan.net/student_image/25757.jpg" TargetMode="External"/><Relationship Id="rId136" Type="http://schemas.openxmlformats.org/officeDocument/2006/relationships/hyperlink" Target="https://azizstan.net/student_image/23388.jpg" TargetMode="External"/><Relationship Id="rId135" Type="http://schemas.openxmlformats.org/officeDocument/2006/relationships/hyperlink" Target="https://drive.google.com/file/d/1BOCXUTncupkZc-qBUC2hU44w5ZxxmF8c/view?usp=drivesdk" TargetMode="External"/><Relationship Id="rId134" Type="http://schemas.openxmlformats.org/officeDocument/2006/relationships/hyperlink" Target="https://drive.google.com/drive/folders/1lICuME7cONPmpIU4CAn1Xz7V4hzF3QsI" TargetMode="External"/><Relationship Id="rId133" Type="http://schemas.openxmlformats.org/officeDocument/2006/relationships/hyperlink" Target="https://azizstan.net/student_image/23804.jpg" TargetMode="External"/><Relationship Id="rId172" Type="http://schemas.openxmlformats.org/officeDocument/2006/relationships/hyperlink" Target="https://azizstan.net/student_image/25982.jpg" TargetMode="External"/><Relationship Id="rId171" Type="http://schemas.openxmlformats.org/officeDocument/2006/relationships/hyperlink" Target="https://drive.google.com/file/d/1X5Cg37f3AGkFddrsNG7lwPbXKxFlWlWH/view?usp=drivesdk" TargetMode="External"/><Relationship Id="rId170" Type="http://schemas.openxmlformats.org/officeDocument/2006/relationships/hyperlink" Target="https://drive.google.com/file/d/1fE4phtBg5u2LBk5IOhe4t79PhwgHYR3G/view?usp=drivesdk" TargetMode="External"/><Relationship Id="rId165" Type="http://schemas.openxmlformats.org/officeDocument/2006/relationships/hyperlink" Target="https://drive.google.com/file/d/1URIgTtv4JMC9smT8Cf5B_6FVx1cBDS9c/view?usp=sharing" TargetMode="External"/><Relationship Id="rId164" Type="http://schemas.openxmlformats.org/officeDocument/2006/relationships/hyperlink" Target="https://l.instagram.com/?u=https%3A%2F%2Fdrive.google.com%2Fdrive%2Ffolders%2F1n1L56PxJqyaMQgWKl23AoGfgh1Fu_-2k&amp;e=AT2e_HG7RaCqm_1Evg5YKazaMOobMpOmgMiAQSLGQ8ueCRs_7X0j_cfkBdnZ2bJdgUo8Az7vkXQxUtj3g-CX4Btyj4dPvar81B7AGih9I9Hm3eevJDYwTREV_XQHg1AZnBuoQmGKZaNg" TargetMode="External"/><Relationship Id="rId163" Type="http://schemas.openxmlformats.org/officeDocument/2006/relationships/hyperlink" Target="https://azizstan.net/student_image/23347.jpg" TargetMode="External"/><Relationship Id="rId162" Type="http://schemas.openxmlformats.org/officeDocument/2006/relationships/hyperlink" Target="https://drive.google.com/file/d/13whY3MJ-tx71M28jsI0Y2RU01RXOKblS/view?usp=drivesdk" TargetMode="External"/><Relationship Id="rId169" Type="http://schemas.openxmlformats.org/officeDocument/2006/relationships/hyperlink" Target="https://azizstan.net/student_image/23636.jpg" TargetMode="External"/><Relationship Id="rId168" Type="http://schemas.openxmlformats.org/officeDocument/2006/relationships/hyperlink" Target="https://drive.google.com/drive/folders/1RJrqFINVQOYeFRC_K95puLS46QUhG-xl?usp=share_link" TargetMode="External"/><Relationship Id="rId167" Type="http://schemas.openxmlformats.org/officeDocument/2006/relationships/hyperlink" Target="https://drive.google.com/drive/folders/1wqt1dllcuRy9ikpcF-ILNe7L6bzD2QUP?usp=share_link" TargetMode="External"/><Relationship Id="rId166" Type="http://schemas.openxmlformats.org/officeDocument/2006/relationships/hyperlink" Target="https://azizstan.net/student_image/23739.jpg" TargetMode="External"/><Relationship Id="rId161" Type="http://schemas.openxmlformats.org/officeDocument/2006/relationships/hyperlink" Target="https://drive.google.com/drive/folders/1L09wXW7I4EUuPZiQs6OWeBzZ3xyU3pIf" TargetMode="External"/><Relationship Id="rId160" Type="http://schemas.openxmlformats.org/officeDocument/2006/relationships/hyperlink" Target="https://azizstan.net/student_image/23488.jpg" TargetMode="External"/><Relationship Id="rId159" Type="http://schemas.openxmlformats.org/officeDocument/2006/relationships/hyperlink" Target="https://drive.google.com/file/d/1D1AzSFgCEB7Gyi9mJyn5I-s20mtz39ne/view?usp=drivesdk" TargetMode="External"/><Relationship Id="rId154" Type="http://schemas.openxmlformats.org/officeDocument/2006/relationships/hyperlink" Target="https://azizstan.net/student_image/23537.jpg" TargetMode="External"/><Relationship Id="rId153" Type="http://schemas.openxmlformats.org/officeDocument/2006/relationships/hyperlink" Target="https://drive.google.com/file/d/1R5Ze5cwOYVyMtkKBEDh9h-M2kQ_mHiQw/view?usp=drivesdk" TargetMode="External"/><Relationship Id="rId152" Type="http://schemas.openxmlformats.org/officeDocument/2006/relationships/hyperlink" Target="https://drive.google.com/file/d/1XnlxCwbp8nIfJlgtTphgdRT9ouZ0ebnl/view?usp=drivesdk" TargetMode="External"/><Relationship Id="rId151" Type="http://schemas.openxmlformats.org/officeDocument/2006/relationships/hyperlink" Target="https://azizstan.net/student_image/23536.jpg" TargetMode="External"/><Relationship Id="rId158" Type="http://schemas.openxmlformats.org/officeDocument/2006/relationships/hyperlink" Target="https://drive.google.com/drive/folders/1HG0uXU3nQoXJTfAC5UPXYG1hs3Hatwi4" TargetMode="External"/><Relationship Id="rId157" Type="http://schemas.openxmlformats.org/officeDocument/2006/relationships/hyperlink" Target="https://azizstan.net/student_image/23501.jpg" TargetMode="External"/><Relationship Id="rId156" Type="http://schemas.openxmlformats.org/officeDocument/2006/relationships/hyperlink" Target="https://drive.google.com/file/d/1myKCkbefWgwzq4Uv62MPUAm7Q9af4QU8/view?usp=drivesdk" TargetMode="External"/><Relationship Id="rId155" Type="http://schemas.openxmlformats.org/officeDocument/2006/relationships/hyperlink" Target="https://l.instagram.com/?u=https%3A%2F%2Fdrive.google.com%2Ffile%2Fd%2F1PuGVF7FhlrFwSkUvQsh2552vtqiIezx4%2Fview%3Fusp%3Ddrivesdk&amp;e=AT0lW5qca5DeddLPItpNR9O42A4RruKFweScdgFU93a4UqiUFfH44J9j0frszBCHDBRvDOEb_l_KVJYnIz4-RzUMsgl2R5brSEgVrwXX_imWx-CDu7BqqEWr1cUAU5vf4tp41V73gN0j" TargetMode="External"/><Relationship Id="rId107" Type="http://schemas.openxmlformats.org/officeDocument/2006/relationships/hyperlink" Target="https://drive.google.com/file/d/1minFLKLeb9xL1_HDC9I8sjNmXlFSlNqH/view?usp=drivesdk" TargetMode="External"/><Relationship Id="rId106" Type="http://schemas.openxmlformats.org/officeDocument/2006/relationships/hyperlink" Target="https://azizstan.net/student_image/24453.jpg" TargetMode="External"/><Relationship Id="rId105" Type="http://schemas.openxmlformats.org/officeDocument/2006/relationships/hyperlink" Target="https://drive.google.com/drive/folders/1EwuiSKexN0cwD6wnw1oKknThhwES9e6j" TargetMode="External"/><Relationship Id="rId104" Type="http://schemas.openxmlformats.org/officeDocument/2006/relationships/hyperlink" Target="https://drive.google.com/drive/folders/1dDFGc9BNI-d9pYFvuf7glI-6l6_n4_Ig" TargetMode="External"/><Relationship Id="rId109" Type="http://schemas.openxmlformats.org/officeDocument/2006/relationships/hyperlink" Target="https://azizstan.net/student_image/24144.jpg" TargetMode="External"/><Relationship Id="rId108" Type="http://schemas.openxmlformats.org/officeDocument/2006/relationships/hyperlink" Target="https://drive.google.com/file/d/1pMHd1Jqnptlurt_hSmdj-CjKulZEt8Nt/view?usp=drivesdk" TargetMode="External"/><Relationship Id="rId103" Type="http://schemas.openxmlformats.org/officeDocument/2006/relationships/hyperlink" Target="https://azizstan.net/student_image/24008.jpg" TargetMode="External"/><Relationship Id="rId102" Type="http://schemas.openxmlformats.org/officeDocument/2006/relationships/hyperlink" Target="https://drive.google.com/file/d/1K0NeTLMIRfPzd99NZhmV4RSFwxsvW1NS/view?usp=drivesdk" TargetMode="External"/><Relationship Id="rId101" Type="http://schemas.openxmlformats.org/officeDocument/2006/relationships/hyperlink" Target="https://drive.google.com/drive/folders/1F_sV2VTWbI5sudQTS02gmpTKV5Cbx9Z1" TargetMode="External"/><Relationship Id="rId100" Type="http://schemas.openxmlformats.org/officeDocument/2006/relationships/hyperlink" Target="https://azizstan.net/student_image/26212.jpg" TargetMode="External"/><Relationship Id="rId129" Type="http://schemas.openxmlformats.org/officeDocument/2006/relationships/hyperlink" Target="https://drive.google.com/file/d/1h2jFLzQktdawYJqaGZhqp463UxJHDSy9/view?usp=drivesdk" TargetMode="External"/><Relationship Id="rId128" Type="http://schemas.openxmlformats.org/officeDocument/2006/relationships/hyperlink" Target="https://drive.google.com/drive/folders/1-1JmzOiPac9LCgi4qsOYSM7rWXEZ2L33" TargetMode="External"/><Relationship Id="rId127" Type="http://schemas.openxmlformats.org/officeDocument/2006/relationships/hyperlink" Target="https://azizstan.net/student_image/23358.jpg" TargetMode="External"/><Relationship Id="rId126" Type="http://schemas.openxmlformats.org/officeDocument/2006/relationships/hyperlink" Target="https://drive.google.com/file/d/1YaCKM7JGUSJwS5dfWViMXkV-eg2Ntjf2/view?usp=drivesdk" TargetMode="External"/><Relationship Id="rId121" Type="http://schemas.openxmlformats.org/officeDocument/2006/relationships/hyperlink" Target="https://azizstan.net/student_image/23618.jpg" TargetMode="External"/><Relationship Id="rId120" Type="http://schemas.openxmlformats.org/officeDocument/2006/relationships/hyperlink" Target="https://drive.google.com/file/d/1j7e0NrmHSkyKnrpjon3JAEA-8rVX8jGJ/view?usp=drivesdk" TargetMode="External"/><Relationship Id="rId125" Type="http://schemas.openxmlformats.org/officeDocument/2006/relationships/hyperlink" Target="https://drive.google.com/drive/folders/1Ox4aLDFOgJX3jwBX5ckpOVXOsYEqpzXb" TargetMode="External"/><Relationship Id="rId124" Type="http://schemas.openxmlformats.org/officeDocument/2006/relationships/hyperlink" Target="https://azizstan.net/student_image/23845.jpg" TargetMode="External"/><Relationship Id="rId123" Type="http://schemas.openxmlformats.org/officeDocument/2006/relationships/hyperlink" Target="https://drive.google.com/file/d/14nuofHEdC8ucgKfk00zYGbTkakNNDUGt/view?usp=drivesdk" TargetMode="External"/><Relationship Id="rId122" Type="http://schemas.openxmlformats.org/officeDocument/2006/relationships/hyperlink" Target="https://drive.google.com/file/d/1GBNC8uFSl8EzmFgvZrUMCK644w1HQsEW/view?usp=drivesdk" TargetMode="External"/><Relationship Id="rId118" Type="http://schemas.openxmlformats.org/officeDocument/2006/relationships/hyperlink" Target="https://azizstan.net/student_image/23420.jpg" TargetMode="External"/><Relationship Id="rId117" Type="http://schemas.openxmlformats.org/officeDocument/2006/relationships/hyperlink" Target="https://drive.google.com/file/d/1cO66-CNB8hzG-iiLoDLDq49IcHInZQjE/view?usp=drivesdk" TargetMode="External"/><Relationship Id="rId116" Type="http://schemas.openxmlformats.org/officeDocument/2006/relationships/hyperlink" Target="https://drive.google.com/drive/folders/1Oqvo4XBq-iUXhg6VmfVUCYydEIRAc031" TargetMode="External"/><Relationship Id="rId115" Type="http://schemas.openxmlformats.org/officeDocument/2006/relationships/hyperlink" Target="https://azizstan.net/student_image/23597.jpg" TargetMode="External"/><Relationship Id="rId119" Type="http://schemas.openxmlformats.org/officeDocument/2006/relationships/hyperlink" Target="https://drive.google.com/drive/folders/1HnxR3xKvNx1cKC4goirW4xN2TeE_i2F5" TargetMode="External"/><Relationship Id="rId110" Type="http://schemas.openxmlformats.org/officeDocument/2006/relationships/hyperlink" Target="https://drive.google.com/drive/folders/1HLxrgbbbfd7pJfPpa1wwAV1wbwIwrJzN" TargetMode="External"/><Relationship Id="rId114" Type="http://schemas.openxmlformats.org/officeDocument/2006/relationships/hyperlink" Target="https://drive.google.com/drive/folders/1lD6elVX-bPXJ7pHV9L2H5X73oM17Bin_" TargetMode="External"/><Relationship Id="rId113" Type="http://schemas.openxmlformats.org/officeDocument/2006/relationships/hyperlink" Target="https://drive.google.com/drive/folders/13aWrUHzdO2zzOUkxwm-yZ730XD-_2ExW" TargetMode="External"/><Relationship Id="rId112" Type="http://schemas.openxmlformats.org/officeDocument/2006/relationships/hyperlink" Target="https://azizstan.net/student_image/24175.jpg" TargetMode="External"/><Relationship Id="rId111" Type="http://schemas.openxmlformats.org/officeDocument/2006/relationships/hyperlink" Target="https://drive.google.com/drive/folders/1r3zsXmYPrQQJ7XJEvZlu4S1Bu9yc-m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38"/>
    <col customWidth="1" min="3" max="3" width="11.0"/>
    <col customWidth="1" min="4" max="4" width="11.38"/>
    <col customWidth="1" min="5" max="5" width="6.5"/>
    <col customWidth="1" min="6" max="6" width="48.75"/>
    <col customWidth="1" min="12" max="1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/>
      <c r="F2" s="4" t="s">
        <v>10</v>
      </c>
      <c r="G2" s="2"/>
      <c r="H2" s="2"/>
      <c r="I2" s="2"/>
      <c r="J2" s="3" t="s">
        <v>11</v>
      </c>
      <c r="K2" s="3" t="s">
        <v>12</v>
      </c>
      <c r="L2" s="2" t="str">
        <f t="array" ref="L2:L11">if(J2:J11="","",XLOOKUP(J2:J11,A:A,"ชั้นสามัญ "&amp;C:C&amp;" ชั้นศาสนา "&amp;D:D))</f>
        <v>ชั้นสามัญ ม.5/5 ชั้นศาสนา อป.2/5</v>
      </c>
      <c r="M2" s="5" t="str">
        <f t="array" ref="M2:M11">if(J2:J11="","",XLOOKUP(J2:J11,A:A,F:F))</f>
        <v>https://azizstan.net/student_image/23788.jpg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13</v>
      </c>
      <c r="B3" s="3" t="s">
        <v>14</v>
      </c>
      <c r="C3" s="3" t="s">
        <v>8</v>
      </c>
      <c r="D3" s="3" t="s">
        <v>9</v>
      </c>
      <c r="E3" s="3"/>
      <c r="F3" s="4" t="s">
        <v>15</v>
      </c>
      <c r="G3" s="2"/>
      <c r="H3" s="3" t="s">
        <v>16</v>
      </c>
      <c r="I3" s="2"/>
      <c r="J3" s="3" t="s">
        <v>17</v>
      </c>
      <c r="K3" s="3" t="s">
        <v>18</v>
      </c>
      <c r="L3" s="2" t="s">
        <v>19</v>
      </c>
      <c r="M3" s="5" t="s">
        <v>20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21</v>
      </c>
      <c r="B4" s="3" t="s">
        <v>22</v>
      </c>
      <c r="C4" s="3" t="s">
        <v>8</v>
      </c>
      <c r="D4" s="3" t="s">
        <v>9</v>
      </c>
      <c r="E4" s="3"/>
      <c r="F4" s="4" t="s">
        <v>23</v>
      </c>
      <c r="G4" s="2"/>
      <c r="H4" s="3" t="s">
        <v>24</v>
      </c>
      <c r="I4" s="2"/>
      <c r="J4" s="3" t="s">
        <v>25</v>
      </c>
      <c r="K4" s="3" t="s">
        <v>26</v>
      </c>
      <c r="L4" s="2" t="s">
        <v>27</v>
      </c>
      <c r="M4" s="5" t="s">
        <v>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29</v>
      </c>
      <c r="B5" s="3" t="s">
        <v>30</v>
      </c>
      <c r="C5" s="3" t="s">
        <v>8</v>
      </c>
      <c r="D5" s="3" t="s">
        <v>9</v>
      </c>
      <c r="E5" s="3"/>
      <c r="F5" s="4" t="s">
        <v>31</v>
      </c>
      <c r="G5" s="2"/>
      <c r="H5" s="3" t="s">
        <v>32</v>
      </c>
      <c r="I5" s="2"/>
      <c r="J5" s="3" t="s">
        <v>33</v>
      </c>
      <c r="K5" s="3" t="s">
        <v>34</v>
      </c>
      <c r="L5" s="2" t="s">
        <v>35</v>
      </c>
      <c r="M5" s="5" t="s">
        <v>36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37</v>
      </c>
      <c r="B6" s="3" t="s">
        <v>38</v>
      </c>
      <c r="C6" s="3" t="s">
        <v>8</v>
      </c>
      <c r="D6" s="3" t="s">
        <v>9</v>
      </c>
      <c r="E6" s="3"/>
      <c r="F6" s="3" t="s">
        <v>39</v>
      </c>
      <c r="G6" s="2"/>
      <c r="H6" s="2"/>
      <c r="I6" s="2"/>
      <c r="J6" s="3" t="s">
        <v>40</v>
      </c>
      <c r="K6" s="3" t="s">
        <v>41</v>
      </c>
      <c r="L6" s="2" t="s">
        <v>42</v>
      </c>
      <c r="M6" s="5" t="s">
        <v>43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44</v>
      </c>
      <c r="B7" s="3" t="s">
        <v>45</v>
      </c>
      <c r="C7" s="3" t="s">
        <v>8</v>
      </c>
      <c r="D7" s="3" t="s">
        <v>9</v>
      </c>
      <c r="E7" s="3"/>
      <c r="F7" s="3" t="s">
        <v>46</v>
      </c>
      <c r="G7" s="2"/>
      <c r="H7" s="2"/>
      <c r="I7" s="2"/>
      <c r="J7" s="3" t="s">
        <v>47</v>
      </c>
      <c r="K7" s="3" t="s">
        <v>48</v>
      </c>
      <c r="L7" s="2" t="s">
        <v>35</v>
      </c>
      <c r="M7" s="5" t="s">
        <v>49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50</v>
      </c>
      <c r="B8" s="3" t="s">
        <v>51</v>
      </c>
      <c r="C8" s="3" t="s">
        <v>8</v>
      </c>
      <c r="D8" s="3" t="s">
        <v>9</v>
      </c>
      <c r="E8" s="3"/>
      <c r="F8" s="3" t="s">
        <v>52</v>
      </c>
      <c r="G8" s="2"/>
      <c r="H8" s="2"/>
      <c r="I8" s="2"/>
      <c r="J8" s="3" t="s">
        <v>53</v>
      </c>
      <c r="K8" s="3" t="s">
        <v>54</v>
      </c>
      <c r="L8" s="2" t="s">
        <v>19</v>
      </c>
      <c r="M8" s="5" t="s">
        <v>55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56</v>
      </c>
      <c r="B9" s="3" t="s">
        <v>57</v>
      </c>
      <c r="C9" s="3" t="s">
        <v>8</v>
      </c>
      <c r="D9" s="3" t="s">
        <v>9</v>
      </c>
      <c r="E9" s="3"/>
      <c r="F9" s="3" t="s">
        <v>58</v>
      </c>
      <c r="G9" s="2"/>
      <c r="H9" s="2"/>
      <c r="I9" s="2"/>
      <c r="J9" s="3" t="s">
        <v>59</v>
      </c>
      <c r="K9" s="3" t="s">
        <v>60</v>
      </c>
      <c r="L9" s="2" t="s">
        <v>61</v>
      </c>
      <c r="M9" s="5" t="s">
        <v>62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63</v>
      </c>
      <c r="B10" s="3" t="s">
        <v>64</v>
      </c>
      <c r="C10" s="3" t="s">
        <v>8</v>
      </c>
      <c r="D10" s="3" t="s">
        <v>9</v>
      </c>
      <c r="E10" s="3"/>
      <c r="F10" s="3" t="s">
        <v>65</v>
      </c>
      <c r="G10" s="2"/>
      <c r="H10" s="2"/>
      <c r="I10" s="2"/>
      <c r="J10" s="3" t="s">
        <v>66</v>
      </c>
      <c r="K10" s="3" t="s">
        <v>67</v>
      </c>
      <c r="L10" s="2" t="s">
        <v>35</v>
      </c>
      <c r="M10" s="5" t="s">
        <v>68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69</v>
      </c>
      <c r="B11" s="3" t="s">
        <v>70</v>
      </c>
      <c r="C11" s="3" t="s">
        <v>8</v>
      </c>
      <c r="D11" s="3" t="s">
        <v>9</v>
      </c>
      <c r="E11" s="3"/>
      <c r="F11" s="3" t="s">
        <v>71</v>
      </c>
      <c r="G11" s="2"/>
      <c r="H11" s="2"/>
      <c r="I11" s="2"/>
      <c r="J11" s="3" t="s">
        <v>72</v>
      </c>
      <c r="K11" s="3" t="s">
        <v>73</v>
      </c>
      <c r="L11" s="2" t="s">
        <v>35</v>
      </c>
      <c r="M11" s="5" t="s">
        <v>74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75</v>
      </c>
      <c r="B12" s="3" t="s">
        <v>76</v>
      </c>
      <c r="C12" s="3" t="s">
        <v>8</v>
      </c>
      <c r="D12" s="3" t="s">
        <v>9</v>
      </c>
      <c r="E12" s="3"/>
      <c r="F12" s="3" t="s">
        <v>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78</v>
      </c>
      <c r="B13" s="3" t="s">
        <v>79</v>
      </c>
      <c r="C13" s="3" t="s">
        <v>8</v>
      </c>
      <c r="D13" s="3" t="s">
        <v>9</v>
      </c>
      <c r="E13" s="3"/>
      <c r="F13" s="3" t="s">
        <v>80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81</v>
      </c>
      <c r="B14" s="3" t="s">
        <v>82</v>
      </c>
      <c r="C14" s="3" t="s">
        <v>8</v>
      </c>
      <c r="D14" s="3" t="s">
        <v>9</v>
      </c>
      <c r="E14" s="3"/>
      <c r="F14" s="3" t="s">
        <v>83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84</v>
      </c>
      <c r="B15" s="3" t="s">
        <v>85</v>
      </c>
      <c r="C15" s="3" t="s">
        <v>8</v>
      </c>
      <c r="D15" s="3" t="s">
        <v>9</v>
      </c>
      <c r="E15" s="3"/>
      <c r="F15" s="3" t="s">
        <v>86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87</v>
      </c>
      <c r="B16" s="3" t="s">
        <v>88</v>
      </c>
      <c r="C16" s="3" t="s">
        <v>8</v>
      </c>
      <c r="D16" s="3" t="s">
        <v>9</v>
      </c>
      <c r="E16" s="3"/>
      <c r="F16" s="3" t="s">
        <v>89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tr">
        <f>IFERROR(__xludf.DUMMYFUNCTION("IMPORTRANGE(""1u7lAR9nwW4-g7oZgfA7AeA9MH0qtmyj6L_SwtfpifI8"",""StudentData!A2:F"")"),"26126")</f>
        <v>26126</v>
      </c>
      <c r="B17" s="3" t="str">
        <f>IFERROR(__xludf.DUMMYFUNCTION("""COMPUTED_VALUE"""),"ด.ช.มูฮำหมัดอัชรอฟ ลอดิง")</f>
        <v>ด.ช.มูฮำหมัดอัชรอฟ ลอดิง</v>
      </c>
      <c r="C17" s="3" t="str">
        <f>IFERROR(__xludf.DUMMYFUNCTION("""COMPUTED_VALUE"""),"ม.1/1")</f>
        <v>ม.1/1</v>
      </c>
      <c r="D17" s="3" t="str">
        <f>IFERROR(__xludf.DUMMYFUNCTION("""COMPUTED_VALUE"""),"PR 1/1")</f>
        <v>PR 1/1</v>
      </c>
      <c r="E17" s="2" t="str">
        <f>IFERROR(__xludf.DUMMYFUNCTION("""COMPUTED_VALUE"""),"ชาย")</f>
        <v>ชาย</v>
      </c>
      <c r="F17" s="5" t="str">
        <f>IFERROR(__xludf.DUMMYFUNCTION("""COMPUTED_VALUE"""),"https://azizstan.net/student_image/26126.jpg")</f>
        <v>https://azizstan.net/student_image/26126.jpg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tr">
        <f>IFERROR(__xludf.DUMMYFUNCTION("""COMPUTED_VALUE"""),"26143")</f>
        <v>26143</v>
      </c>
      <c r="B18" s="3" t="str">
        <f>IFERROR(__xludf.DUMMYFUNCTION("""COMPUTED_VALUE"""),"ด.ช.แวอิสมาแอ กาแบ")</f>
        <v>ด.ช.แวอิสมาแอ กาแบ</v>
      </c>
      <c r="C18" s="3" t="str">
        <f>IFERROR(__xludf.DUMMYFUNCTION("""COMPUTED_VALUE"""),"ม.1/1")</f>
        <v>ม.1/1</v>
      </c>
      <c r="D18" s="3" t="str">
        <f>IFERROR(__xludf.DUMMYFUNCTION("""COMPUTED_VALUE"""),"PR 1/1")</f>
        <v>PR 1/1</v>
      </c>
      <c r="E18" s="2" t="str">
        <f>IFERROR(__xludf.DUMMYFUNCTION("""COMPUTED_VALUE"""),"ชาย")</f>
        <v>ชาย</v>
      </c>
      <c r="F18" s="5" t="str">
        <f>IFERROR(__xludf.DUMMYFUNCTION("""COMPUTED_VALUE"""),"https://azizstan.net/student_image/26143.jpg")</f>
        <v>https://azizstan.net/student_image/26143.jpg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tr">
        <f>IFERROR(__xludf.DUMMYFUNCTION("""COMPUTED_VALUE"""),"26183")</f>
        <v>26183</v>
      </c>
      <c r="B19" s="3" t="str">
        <f>IFERROR(__xludf.DUMMYFUNCTION("""COMPUTED_VALUE"""),"ด.ช.อับดุลมุฮัยมิน เจ๊ะแห")</f>
        <v>ด.ช.อับดุลมุฮัยมิน เจ๊ะแห</v>
      </c>
      <c r="C19" s="3" t="str">
        <f>IFERROR(__xludf.DUMMYFUNCTION("""COMPUTED_VALUE"""),"ม.1/1")</f>
        <v>ม.1/1</v>
      </c>
      <c r="D19" s="3" t="str">
        <f>IFERROR(__xludf.DUMMYFUNCTION("""COMPUTED_VALUE"""),"PR 1/1")</f>
        <v>PR 1/1</v>
      </c>
      <c r="E19" s="2" t="str">
        <f>IFERROR(__xludf.DUMMYFUNCTION("""COMPUTED_VALUE"""),"ชาย")</f>
        <v>ชาย</v>
      </c>
      <c r="F19" s="5" t="str">
        <f>IFERROR(__xludf.DUMMYFUNCTION("""COMPUTED_VALUE"""),"https://azizstan.net/student_image/26183.jpg")</f>
        <v>https://azizstan.net/student_image/26183.jpg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tr">
        <f>IFERROR(__xludf.DUMMYFUNCTION("""COMPUTED_VALUE"""),"26223")</f>
        <v>26223</v>
      </c>
      <c r="B20" s="3" t="str">
        <f>IFERROR(__xludf.DUMMYFUNCTION("""COMPUTED_VALUE"""),"ด.ช.ฟูอาร์ต สาหลำสุหรี")</f>
        <v>ด.ช.ฟูอาร์ต สาหลำสุหรี</v>
      </c>
      <c r="C20" s="3" t="str">
        <f>IFERROR(__xludf.DUMMYFUNCTION("""COMPUTED_VALUE"""),"ม.1/1")</f>
        <v>ม.1/1</v>
      </c>
      <c r="D20" s="3" t="str">
        <f>IFERROR(__xludf.DUMMYFUNCTION("""COMPUTED_VALUE"""),"PR 1/1")</f>
        <v>PR 1/1</v>
      </c>
      <c r="E20" s="2" t="str">
        <f>IFERROR(__xludf.DUMMYFUNCTION("""COMPUTED_VALUE"""),"ชาย")</f>
        <v>ชาย</v>
      </c>
      <c r="F20" s="5" t="str">
        <f>IFERROR(__xludf.DUMMYFUNCTION("""COMPUTED_VALUE"""),"https://azizstan.net/student_image/26223.jpg")</f>
        <v>https://azizstan.net/student_image/26223.jpg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tr">
        <f>IFERROR(__xludf.DUMMYFUNCTION("""COMPUTED_VALUE"""),"26228")</f>
        <v>26228</v>
      </c>
      <c r="B21" s="3" t="str">
        <f>IFERROR(__xludf.DUMMYFUNCTION("""COMPUTED_VALUE"""),"ด.ช.ฮาฟิซ อารง")</f>
        <v>ด.ช.ฮาฟิซ อารง</v>
      </c>
      <c r="C21" s="3" t="str">
        <f>IFERROR(__xludf.DUMMYFUNCTION("""COMPUTED_VALUE"""),"ม.1/1")</f>
        <v>ม.1/1</v>
      </c>
      <c r="D21" s="3" t="str">
        <f>IFERROR(__xludf.DUMMYFUNCTION("""COMPUTED_VALUE"""),"PR 1/1")</f>
        <v>PR 1/1</v>
      </c>
      <c r="E21" s="2" t="str">
        <f>IFERROR(__xludf.DUMMYFUNCTION("""COMPUTED_VALUE"""),"ชาย")</f>
        <v>ชาย</v>
      </c>
      <c r="F21" s="5" t="str">
        <f>IFERROR(__xludf.DUMMYFUNCTION("""COMPUTED_VALUE"""),"https://azizstan.net/student_image/26228.jpg")</f>
        <v>https://azizstan.net/student_image/26228.jpg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tr">
        <f>IFERROR(__xludf.DUMMYFUNCTION("""COMPUTED_VALUE"""),"26229")</f>
        <v>26229</v>
      </c>
      <c r="B22" s="3" t="str">
        <f>IFERROR(__xludf.DUMMYFUNCTION("""COMPUTED_VALUE"""),"ด.ช.ฮากีม อารง")</f>
        <v>ด.ช.ฮากีม อารง</v>
      </c>
      <c r="C22" s="3" t="str">
        <f>IFERROR(__xludf.DUMMYFUNCTION("""COMPUTED_VALUE"""),"ม.1/1")</f>
        <v>ม.1/1</v>
      </c>
      <c r="D22" s="3" t="str">
        <f>IFERROR(__xludf.DUMMYFUNCTION("""COMPUTED_VALUE"""),"PR 1/1")</f>
        <v>PR 1/1</v>
      </c>
      <c r="E22" s="2" t="str">
        <f>IFERROR(__xludf.DUMMYFUNCTION("""COMPUTED_VALUE"""),"ชาย")</f>
        <v>ชาย</v>
      </c>
      <c r="F22" s="5" t="str">
        <f>IFERROR(__xludf.DUMMYFUNCTION("""COMPUTED_VALUE"""),"https://azizstan.net/student_image/26229.jpg")</f>
        <v>https://azizstan.net/student_image/26229.jpg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tr">
        <f>IFERROR(__xludf.DUMMYFUNCTION("""COMPUTED_VALUE"""),"26232")</f>
        <v>26232</v>
      </c>
      <c r="B23" s="3" t="str">
        <f>IFERROR(__xludf.DUMMYFUNCTION("""COMPUTED_VALUE"""),"ด.ช.นิฮาซัน มามะ")</f>
        <v>ด.ช.นิฮาซัน มามะ</v>
      </c>
      <c r="C23" s="3" t="str">
        <f>IFERROR(__xludf.DUMMYFUNCTION("""COMPUTED_VALUE"""),"ม.1/1")</f>
        <v>ม.1/1</v>
      </c>
      <c r="D23" s="3" t="str">
        <f>IFERROR(__xludf.DUMMYFUNCTION("""COMPUTED_VALUE"""),"PR 1/1")</f>
        <v>PR 1/1</v>
      </c>
      <c r="E23" s="2" t="str">
        <f>IFERROR(__xludf.DUMMYFUNCTION("""COMPUTED_VALUE"""),"ชาย")</f>
        <v>ชาย</v>
      </c>
      <c r="F23" s="5" t="str">
        <f>IFERROR(__xludf.DUMMYFUNCTION("""COMPUTED_VALUE"""),"https://azizstan.net/student_image/26232.jpg")</f>
        <v>https://azizstan.net/student_image/26232.jpg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tr">
        <f>IFERROR(__xludf.DUMMYFUNCTION("""COMPUTED_VALUE"""),"26271")</f>
        <v>26271</v>
      </c>
      <c r="B24" s="3" t="str">
        <f>IFERROR(__xludf.DUMMYFUNCTION("""COMPUTED_VALUE"""),"ด.ช.อดิลัน แมวาโซะ")</f>
        <v>ด.ช.อดิลัน แมวาโซะ</v>
      </c>
      <c r="C24" s="3" t="str">
        <f>IFERROR(__xludf.DUMMYFUNCTION("""COMPUTED_VALUE"""),"ม.1/1")</f>
        <v>ม.1/1</v>
      </c>
      <c r="D24" s="3" t="str">
        <f>IFERROR(__xludf.DUMMYFUNCTION("""COMPUTED_VALUE"""),"PR 1/1")</f>
        <v>PR 1/1</v>
      </c>
      <c r="E24" s="2" t="str">
        <f>IFERROR(__xludf.DUMMYFUNCTION("""COMPUTED_VALUE"""),"ชาย")</f>
        <v>ชาย</v>
      </c>
      <c r="F24" s="5" t="str">
        <f>IFERROR(__xludf.DUMMYFUNCTION("""COMPUTED_VALUE"""),"https://azizstan.net/student_image/26271.jpg")</f>
        <v>https://azizstan.net/student_image/26271.jpg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tr">
        <f>IFERROR(__xludf.DUMMYFUNCTION("""COMPUTED_VALUE"""),"26272")</f>
        <v>26272</v>
      </c>
      <c r="B25" s="3" t="str">
        <f>IFERROR(__xludf.DUMMYFUNCTION("""COMPUTED_VALUE"""),"ด.ช.มูฮัมหมัดชารีฟ สาแลหมัน")</f>
        <v>ด.ช.มูฮัมหมัดชารีฟ สาแลหมัน</v>
      </c>
      <c r="C25" s="3" t="str">
        <f>IFERROR(__xludf.DUMMYFUNCTION("""COMPUTED_VALUE"""),"ม.1/1")</f>
        <v>ม.1/1</v>
      </c>
      <c r="D25" s="3" t="str">
        <f>IFERROR(__xludf.DUMMYFUNCTION("""COMPUTED_VALUE"""),"PR 1/1")</f>
        <v>PR 1/1</v>
      </c>
      <c r="E25" s="2" t="str">
        <f>IFERROR(__xludf.DUMMYFUNCTION("""COMPUTED_VALUE"""),"ชาย")</f>
        <v>ชาย</v>
      </c>
      <c r="F25" s="5" t="str">
        <f>IFERROR(__xludf.DUMMYFUNCTION("""COMPUTED_VALUE"""),"https://azizstan.net/student_image/26272.jpg")</f>
        <v>https://azizstan.net/student_image/26272.jpg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tr">
        <f>IFERROR(__xludf.DUMMYFUNCTION("""COMPUTED_VALUE"""),"26321")</f>
        <v>26321</v>
      </c>
      <c r="B26" s="3" t="str">
        <f>IFERROR(__xludf.DUMMYFUNCTION("""COMPUTED_VALUE"""),"ด.ช.ฟาอิซ วายีเกา")</f>
        <v>ด.ช.ฟาอิซ วายีเกา</v>
      </c>
      <c r="C26" s="3" t="str">
        <f>IFERROR(__xludf.DUMMYFUNCTION("""COMPUTED_VALUE"""),"ม.1/1")</f>
        <v>ม.1/1</v>
      </c>
      <c r="D26" s="3" t="str">
        <f>IFERROR(__xludf.DUMMYFUNCTION("""COMPUTED_VALUE"""),"PR 1/1")</f>
        <v>PR 1/1</v>
      </c>
      <c r="E26" s="2" t="str">
        <f>IFERROR(__xludf.DUMMYFUNCTION("""COMPUTED_VALUE"""),"ชาย")</f>
        <v>ชาย</v>
      </c>
      <c r="F26" s="5" t="str">
        <f>IFERROR(__xludf.DUMMYFUNCTION("""COMPUTED_VALUE"""),"https://azizstan.net/student_image/26321.jpg")</f>
        <v>https://azizstan.net/student_image/26321.jpg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tr">
        <f>IFERROR(__xludf.DUMMYFUNCTION("""COMPUTED_VALUE"""),"26349")</f>
        <v>26349</v>
      </c>
      <c r="B27" s="3" t="str">
        <f>IFERROR(__xludf.DUMMYFUNCTION("""COMPUTED_VALUE"""),"ด.ช.ศิดดิก วาเลาะ")</f>
        <v>ด.ช.ศิดดิก วาเลาะ</v>
      </c>
      <c r="C27" s="3" t="str">
        <f>IFERROR(__xludf.DUMMYFUNCTION("""COMPUTED_VALUE"""),"ม.1/1")</f>
        <v>ม.1/1</v>
      </c>
      <c r="D27" s="3" t="str">
        <f>IFERROR(__xludf.DUMMYFUNCTION("""COMPUTED_VALUE"""),"PR 1/1")</f>
        <v>PR 1/1</v>
      </c>
      <c r="E27" s="2" t="str">
        <f>IFERROR(__xludf.DUMMYFUNCTION("""COMPUTED_VALUE"""),"ชาย")</f>
        <v>ชาย</v>
      </c>
      <c r="F27" s="5" t="str">
        <f>IFERROR(__xludf.DUMMYFUNCTION("""COMPUTED_VALUE"""),"https://azizstan.net/student_image/26349.jpg")</f>
        <v>https://azizstan.net/student_image/26349.jpg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tr">
        <f>IFERROR(__xludf.DUMMYFUNCTION("""COMPUTED_VALUE"""),"26353")</f>
        <v>26353</v>
      </c>
      <c r="B28" s="3" t="str">
        <f>IFERROR(__xludf.DUMMYFUNCTION("""COMPUTED_VALUE"""),"ด.ช.สุไลมาน เจะเละ")</f>
        <v>ด.ช.สุไลมาน เจะเละ</v>
      </c>
      <c r="C28" s="3" t="str">
        <f>IFERROR(__xludf.DUMMYFUNCTION("""COMPUTED_VALUE"""),"ม.1/1")</f>
        <v>ม.1/1</v>
      </c>
      <c r="D28" s="3" t="str">
        <f>IFERROR(__xludf.DUMMYFUNCTION("""COMPUTED_VALUE"""),"PR 1/1")</f>
        <v>PR 1/1</v>
      </c>
      <c r="E28" s="2" t="str">
        <f>IFERROR(__xludf.DUMMYFUNCTION("""COMPUTED_VALUE"""),"ชาย")</f>
        <v>ชาย</v>
      </c>
      <c r="F28" s="5" t="str">
        <f>IFERROR(__xludf.DUMMYFUNCTION("""COMPUTED_VALUE"""),"https://azizstan.net/student_image/26353.jpg")</f>
        <v>https://azizstan.net/student_image/26353.jpg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tr">
        <f>IFERROR(__xludf.DUMMYFUNCTION("""COMPUTED_VALUE"""),"26355")</f>
        <v>26355</v>
      </c>
      <c r="B29" s="3" t="str">
        <f>IFERROR(__xludf.DUMMYFUNCTION("""COMPUTED_VALUE"""),"ด.ช.อายุบ ดือรามัน")</f>
        <v>ด.ช.อายุบ ดือรามัน</v>
      </c>
      <c r="C29" s="3" t="str">
        <f>IFERROR(__xludf.DUMMYFUNCTION("""COMPUTED_VALUE"""),"ม.1/1")</f>
        <v>ม.1/1</v>
      </c>
      <c r="D29" s="3" t="str">
        <f>IFERROR(__xludf.DUMMYFUNCTION("""COMPUTED_VALUE"""),"PR 1/1")</f>
        <v>PR 1/1</v>
      </c>
      <c r="E29" s="2" t="str">
        <f>IFERROR(__xludf.DUMMYFUNCTION("""COMPUTED_VALUE"""),"ชาย")</f>
        <v>ชาย</v>
      </c>
      <c r="F29" s="5" t="str">
        <f>IFERROR(__xludf.DUMMYFUNCTION("""COMPUTED_VALUE"""),"https://azizstan.net/student_image/26355.jpg")</f>
        <v>https://azizstan.net/student_image/26355.jpg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tr">
        <f>IFERROR(__xludf.DUMMYFUNCTION("""COMPUTED_VALUE"""),"26357")</f>
        <v>26357</v>
      </c>
      <c r="B30" s="3" t="str">
        <f>IFERROR(__xludf.DUMMYFUNCTION("""COMPUTED_VALUE"""),"ด.ช.อัรฟาน ดามะยะ")</f>
        <v>ด.ช.อัรฟาน ดามะยะ</v>
      </c>
      <c r="C30" s="3" t="str">
        <f>IFERROR(__xludf.DUMMYFUNCTION("""COMPUTED_VALUE"""),"ม.1/1")</f>
        <v>ม.1/1</v>
      </c>
      <c r="D30" s="3" t="str">
        <f>IFERROR(__xludf.DUMMYFUNCTION("""COMPUTED_VALUE"""),"PR 1/1")</f>
        <v>PR 1/1</v>
      </c>
      <c r="E30" s="2" t="str">
        <f>IFERROR(__xludf.DUMMYFUNCTION("""COMPUTED_VALUE"""),"ชาย")</f>
        <v>ชาย</v>
      </c>
      <c r="F30" s="5" t="str">
        <f>IFERROR(__xludf.DUMMYFUNCTION("""COMPUTED_VALUE"""),"https://azizstan.net/student_image/26357.jpg")</f>
        <v>https://azizstan.net/student_image/26357.jpg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tr">
        <f>IFERROR(__xludf.DUMMYFUNCTION("""COMPUTED_VALUE"""),"26366")</f>
        <v>26366</v>
      </c>
      <c r="B31" s="3" t="str">
        <f>IFERROR(__xludf.DUMMYFUNCTION("""COMPUTED_VALUE"""),"ด.ช.อับดุลค๊อฟฟัต ตาเฮ")</f>
        <v>ด.ช.อับดุลค๊อฟฟัต ตาเฮ</v>
      </c>
      <c r="C31" s="3" t="str">
        <f>IFERROR(__xludf.DUMMYFUNCTION("""COMPUTED_VALUE"""),"ม.1/1")</f>
        <v>ม.1/1</v>
      </c>
      <c r="D31" s="3" t="str">
        <f>IFERROR(__xludf.DUMMYFUNCTION("""COMPUTED_VALUE"""),"PR 1/1")</f>
        <v>PR 1/1</v>
      </c>
      <c r="E31" s="2" t="str">
        <f>IFERROR(__xludf.DUMMYFUNCTION("""COMPUTED_VALUE"""),"ชาย")</f>
        <v>ชาย</v>
      </c>
      <c r="F31" s="5" t="str">
        <f>IFERROR(__xludf.DUMMYFUNCTION("""COMPUTED_VALUE"""),"https://azizstan.net/student_image/26366.jpg")</f>
        <v>https://azizstan.net/student_image/26366.jpg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tr">
        <f>IFERROR(__xludf.DUMMYFUNCTION("""COMPUTED_VALUE"""),"26388")</f>
        <v>26388</v>
      </c>
      <c r="B32" s="3" t="str">
        <f>IFERROR(__xludf.DUMMYFUNCTION("""COMPUTED_VALUE"""),"ด.ช.รอมฎอน สุวรรณฤทธิ์")</f>
        <v>ด.ช.รอมฎอน สุวรรณฤทธิ์</v>
      </c>
      <c r="C32" s="3" t="str">
        <f>IFERROR(__xludf.DUMMYFUNCTION("""COMPUTED_VALUE"""),"ม.1/1")</f>
        <v>ม.1/1</v>
      </c>
      <c r="D32" s="3" t="str">
        <f>IFERROR(__xludf.DUMMYFUNCTION("""COMPUTED_VALUE"""),"PR 1/1")</f>
        <v>PR 1/1</v>
      </c>
      <c r="E32" s="2" t="str">
        <f>IFERROR(__xludf.DUMMYFUNCTION("""COMPUTED_VALUE"""),"ชาย")</f>
        <v>ชาย</v>
      </c>
      <c r="F32" s="5" t="str">
        <f>IFERROR(__xludf.DUMMYFUNCTION("""COMPUTED_VALUE"""),"https://azizstan.net/student_image/26388.jpg")</f>
        <v>https://azizstan.net/student_image/26388.jpg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tr">
        <f>IFERROR(__xludf.DUMMYFUNCTION("""COMPUTED_VALUE"""),"26405")</f>
        <v>26405</v>
      </c>
      <c r="B33" s="3" t="str">
        <f>IFERROR(__xludf.DUMMYFUNCTION("""COMPUTED_VALUE"""),"ด.ช.อามีร ตาเยะ")</f>
        <v>ด.ช.อามีร ตาเยะ</v>
      </c>
      <c r="C33" s="3" t="str">
        <f>IFERROR(__xludf.DUMMYFUNCTION("""COMPUTED_VALUE"""),"ม.1/1")</f>
        <v>ม.1/1</v>
      </c>
      <c r="D33" s="3" t="str">
        <f>IFERROR(__xludf.DUMMYFUNCTION("""COMPUTED_VALUE"""),"PR 1/1")</f>
        <v>PR 1/1</v>
      </c>
      <c r="E33" s="2" t="str">
        <f>IFERROR(__xludf.DUMMYFUNCTION("""COMPUTED_VALUE"""),"ชาย")</f>
        <v>ชาย</v>
      </c>
      <c r="F33" s="5" t="str">
        <f>IFERROR(__xludf.DUMMYFUNCTION("""COMPUTED_VALUE"""),"https://azizstan.net/student_image/26405.jpg")</f>
        <v>https://azizstan.net/student_image/26405.jpg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tr">
        <f>IFERROR(__xludf.DUMMYFUNCTION("""COMPUTED_VALUE"""),"26408")</f>
        <v>26408</v>
      </c>
      <c r="B34" s="3" t="str">
        <f>IFERROR(__xludf.DUMMYFUNCTION("""COMPUTED_VALUE"""),"ด.ช.ฟัยรุส แวหะยี")</f>
        <v>ด.ช.ฟัยรุส แวหะยี</v>
      </c>
      <c r="C34" s="3" t="str">
        <f>IFERROR(__xludf.DUMMYFUNCTION("""COMPUTED_VALUE"""),"ม.1/1")</f>
        <v>ม.1/1</v>
      </c>
      <c r="D34" s="3" t="str">
        <f>IFERROR(__xludf.DUMMYFUNCTION("""COMPUTED_VALUE"""),"PR 1/1")</f>
        <v>PR 1/1</v>
      </c>
      <c r="E34" s="2" t="str">
        <f>IFERROR(__xludf.DUMMYFUNCTION("""COMPUTED_VALUE"""),"ชาย")</f>
        <v>ชาย</v>
      </c>
      <c r="F34" s="5" t="str">
        <f>IFERROR(__xludf.DUMMYFUNCTION("""COMPUTED_VALUE"""),"https://azizstan.net/student_image/26408.jpg")</f>
        <v>https://azizstan.net/student_image/26408.jpg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tr">
        <f>IFERROR(__xludf.DUMMYFUNCTION("""COMPUTED_VALUE"""),"26414")</f>
        <v>26414</v>
      </c>
      <c r="B35" s="3" t="str">
        <f>IFERROR(__xludf.DUMMYFUNCTION("""COMPUTED_VALUE"""),"ด.ช.อาเวียร์ เจะนะ")</f>
        <v>ด.ช.อาเวียร์ เจะนะ</v>
      </c>
      <c r="C35" s="3" t="str">
        <f>IFERROR(__xludf.DUMMYFUNCTION("""COMPUTED_VALUE"""),"ม.1/1")</f>
        <v>ม.1/1</v>
      </c>
      <c r="D35" s="3" t="str">
        <f>IFERROR(__xludf.DUMMYFUNCTION("""COMPUTED_VALUE"""),"PR 1/1")</f>
        <v>PR 1/1</v>
      </c>
      <c r="E35" s="2" t="str">
        <f>IFERROR(__xludf.DUMMYFUNCTION("""COMPUTED_VALUE"""),"ชาย")</f>
        <v>ชาย</v>
      </c>
      <c r="F35" s="5" t="str">
        <f>IFERROR(__xludf.DUMMYFUNCTION("""COMPUTED_VALUE"""),"https://azizstan.net/student_image/26414.jpg")</f>
        <v>https://azizstan.net/student_image/26414.jpg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tr">
        <f>IFERROR(__xludf.DUMMYFUNCTION("""COMPUTED_VALUE"""),"26439")</f>
        <v>26439</v>
      </c>
      <c r="B36" s="3" t="str">
        <f>IFERROR(__xludf.DUMMYFUNCTION("""COMPUTED_VALUE"""),"ด.ช.ฟัยรุส นุ้ยสุชล")</f>
        <v>ด.ช.ฟัยรุส นุ้ยสุชล</v>
      </c>
      <c r="C36" s="3" t="str">
        <f>IFERROR(__xludf.DUMMYFUNCTION("""COMPUTED_VALUE"""),"ม.1/1")</f>
        <v>ม.1/1</v>
      </c>
      <c r="D36" s="3" t="str">
        <f>IFERROR(__xludf.DUMMYFUNCTION("""COMPUTED_VALUE"""),"PR 1/1")</f>
        <v>PR 1/1</v>
      </c>
      <c r="E36" s="2" t="str">
        <f>IFERROR(__xludf.DUMMYFUNCTION("""COMPUTED_VALUE"""),"ชาย")</f>
        <v>ชาย</v>
      </c>
      <c r="F36" s="5" t="str">
        <f>IFERROR(__xludf.DUMMYFUNCTION("""COMPUTED_VALUE"""),"https://azizstan.net/student_image/26439.jpg")</f>
        <v>https://azizstan.net/student_image/26439.jpg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tr">
        <f>IFERROR(__xludf.DUMMYFUNCTION("""COMPUTED_VALUE"""),"26519")</f>
        <v>26519</v>
      </c>
      <c r="B37" s="3" t="str">
        <f>IFERROR(__xludf.DUMMYFUNCTION("""COMPUTED_VALUE"""),"ด.ช.ฮาฟีซีน สามะ")</f>
        <v>ด.ช.ฮาฟีซีน สามะ</v>
      </c>
      <c r="C37" s="3" t="str">
        <f>IFERROR(__xludf.DUMMYFUNCTION("""COMPUTED_VALUE"""),"ม.1/1")</f>
        <v>ม.1/1</v>
      </c>
      <c r="D37" s="3" t="str">
        <f>IFERROR(__xludf.DUMMYFUNCTION("""COMPUTED_VALUE"""),"PR 1/1")</f>
        <v>PR 1/1</v>
      </c>
      <c r="E37" s="2" t="str">
        <f>IFERROR(__xludf.DUMMYFUNCTION("""COMPUTED_VALUE"""),"ชาย")</f>
        <v>ชาย</v>
      </c>
      <c r="F37" s="5" t="str">
        <f>IFERROR(__xludf.DUMMYFUNCTION("""COMPUTED_VALUE"""),"https://azizstan.net/student_image/26519.jpg")</f>
        <v>https://azizstan.net/student_image/26519.jpg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tr">
        <f>IFERROR(__xludf.DUMMYFUNCTION("""COMPUTED_VALUE"""),"26532")</f>
        <v>26532</v>
      </c>
      <c r="B38" s="3" t="str">
        <f>IFERROR(__xludf.DUMMYFUNCTION("""COMPUTED_VALUE"""),"ด.ช.อาดีลัง กูวิง")</f>
        <v>ด.ช.อาดีลัง กูวิง</v>
      </c>
      <c r="C38" s="3" t="str">
        <f>IFERROR(__xludf.DUMMYFUNCTION("""COMPUTED_VALUE"""),"ม.1/1")</f>
        <v>ม.1/1</v>
      </c>
      <c r="D38" s="3" t="str">
        <f>IFERROR(__xludf.DUMMYFUNCTION("""COMPUTED_VALUE"""),"PR 1/1")</f>
        <v>PR 1/1</v>
      </c>
      <c r="E38" s="2" t="str">
        <f>IFERROR(__xludf.DUMMYFUNCTION("""COMPUTED_VALUE"""),"ชาย")</f>
        <v>ชาย</v>
      </c>
      <c r="F38" s="5" t="str">
        <f>IFERROR(__xludf.DUMMYFUNCTION("""COMPUTED_VALUE"""),"https://azizstan.net/student_image/26532.jpg")</f>
        <v>https://azizstan.net/student_image/26532.jpg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tr">
        <f>IFERROR(__xludf.DUMMYFUNCTION("""COMPUTED_VALUE"""),"26536")</f>
        <v>26536</v>
      </c>
      <c r="B39" s="3" t="str">
        <f>IFERROR(__xludf.DUMMYFUNCTION("""COMPUTED_VALUE"""),"ด.ช.อับดุลอาร์ฟู เจ๊ะเล๊าะ")</f>
        <v>ด.ช.อับดุลอาร์ฟู เจ๊ะเล๊าะ</v>
      </c>
      <c r="C39" s="3" t="str">
        <f>IFERROR(__xludf.DUMMYFUNCTION("""COMPUTED_VALUE"""),"ม.1/1")</f>
        <v>ม.1/1</v>
      </c>
      <c r="D39" s="3" t="str">
        <f>IFERROR(__xludf.DUMMYFUNCTION("""COMPUTED_VALUE"""),"PR 1/1")</f>
        <v>PR 1/1</v>
      </c>
      <c r="E39" s="2" t="str">
        <f>IFERROR(__xludf.DUMMYFUNCTION("""COMPUTED_VALUE"""),"ชาย")</f>
        <v>ชาย</v>
      </c>
      <c r="F39" s="5" t="str">
        <f>IFERROR(__xludf.DUMMYFUNCTION("""COMPUTED_VALUE"""),"https://azizstan.net/student_image/26536.jpg")</f>
        <v>https://azizstan.net/student_image/26536.jpg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tr">
        <f>IFERROR(__xludf.DUMMYFUNCTION("""COMPUTED_VALUE"""),"26537")</f>
        <v>26537</v>
      </c>
      <c r="B40" s="3" t="str">
        <f>IFERROR(__xludf.DUMMYFUNCTION("""COMPUTED_VALUE"""),"ด.ช.อัซมี มะมิง")</f>
        <v>ด.ช.อัซมี มะมิง</v>
      </c>
      <c r="C40" s="3" t="str">
        <f>IFERROR(__xludf.DUMMYFUNCTION("""COMPUTED_VALUE"""),"ม.1/1")</f>
        <v>ม.1/1</v>
      </c>
      <c r="D40" s="3" t="str">
        <f>IFERROR(__xludf.DUMMYFUNCTION("""COMPUTED_VALUE"""),"PR 1/1")</f>
        <v>PR 1/1</v>
      </c>
      <c r="E40" s="2" t="str">
        <f>IFERROR(__xludf.DUMMYFUNCTION("""COMPUTED_VALUE"""),"ชาย")</f>
        <v>ชาย</v>
      </c>
      <c r="F40" s="5" t="str">
        <f>IFERROR(__xludf.DUMMYFUNCTION("""COMPUTED_VALUE"""),"https://azizstan.net/student_image/26537.jpg")</f>
        <v>https://azizstan.net/student_image/26537.jpg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tr">
        <f>IFERROR(__xludf.DUMMYFUNCTION("""COMPUTED_VALUE"""),"26538")</f>
        <v>26538</v>
      </c>
      <c r="B41" s="3" t="str">
        <f>IFERROR(__xludf.DUMMYFUNCTION("""COMPUTED_VALUE"""),"ด.ช.มูฮัมหมัดกัฎดาฟี หะยีเจะอาแว")</f>
        <v>ด.ช.มูฮัมหมัดกัฎดาฟี หะยีเจะอาแว</v>
      </c>
      <c r="C41" s="3" t="str">
        <f>IFERROR(__xludf.DUMMYFUNCTION("""COMPUTED_VALUE"""),"ม.1/1")</f>
        <v>ม.1/1</v>
      </c>
      <c r="D41" s="3" t="str">
        <f>IFERROR(__xludf.DUMMYFUNCTION("""COMPUTED_VALUE"""),"PR 1/1")</f>
        <v>PR 1/1</v>
      </c>
      <c r="E41" s="2" t="str">
        <f>IFERROR(__xludf.DUMMYFUNCTION("""COMPUTED_VALUE"""),"ชาย")</f>
        <v>ชาย</v>
      </c>
      <c r="F41" s="5" t="str">
        <f>IFERROR(__xludf.DUMMYFUNCTION("""COMPUTED_VALUE"""),"https://azizstan.net/student_image/26538.jpg")</f>
        <v>https://azizstan.net/student_image/26538.jpg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tr">
        <f>IFERROR(__xludf.DUMMYFUNCTION("""COMPUTED_VALUE"""),"26551")</f>
        <v>26551</v>
      </c>
      <c r="B42" s="3" t="str">
        <f>IFERROR(__xludf.DUMMYFUNCTION("""COMPUTED_VALUE"""),"ด.ช.สิลาวุดีน สุหลง")</f>
        <v>ด.ช.สิลาวุดีน สุหลง</v>
      </c>
      <c r="C42" s="3" t="str">
        <f>IFERROR(__xludf.DUMMYFUNCTION("""COMPUTED_VALUE"""),"ม.1/1")</f>
        <v>ม.1/1</v>
      </c>
      <c r="D42" s="3" t="str">
        <f>IFERROR(__xludf.DUMMYFUNCTION("""COMPUTED_VALUE"""),"PR 1/1")</f>
        <v>PR 1/1</v>
      </c>
      <c r="E42" s="2" t="str">
        <f>IFERROR(__xludf.DUMMYFUNCTION("""COMPUTED_VALUE"""),"ชาย")</f>
        <v>ชาย</v>
      </c>
      <c r="F42" s="5" t="str">
        <f>IFERROR(__xludf.DUMMYFUNCTION("""COMPUTED_VALUE"""),"https://azizstan.net/student_image/26551.jpg")</f>
        <v>https://azizstan.net/student_image/26551.jpg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tr">
        <f>IFERROR(__xludf.DUMMYFUNCTION("""COMPUTED_VALUE"""),"26561")</f>
        <v>26561</v>
      </c>
      <c r="B43" s="3" t="str">
        <f>IFERROR(__xludf.DUMMYFUNCTION("""COMPUTED_VALUE"""),"ด.ช.อานัส อุมา")</f>
        <v>ด.ช.อานัส อุมา</v>
      </c>
      <c r="C43" s="3" t="str">
        <f>IFERROR(__xludf.DUMMYFUNCTION("""COMPUTED_VALUE"""),"ม.1/1")</f>
        <v>ม.1/1</v>
      </c>
      <c r="D43" s="3" t="str">
        <f>IFERROR(__xludf.DUMMYFUNCTION("""COMPUTED_VALUE"""),"PR 1/1")</f>
        <v>PR 1/1</v>
      </c>
      <c r="E43" s="2" t="str">
        <f>IFERROR(__xludf.DUMMYFUNCTION("""COMPUTED_VALUE"""),"ชาย")</f>
        <v>ชาย</v>
      </c>
      <c r="F43" s="5" t="str">
        <f>IFERROR(__xludf.DUMMYFUNCTION("""COMPUTED_VALUE"""),"https://azizstan.net/student_image/26561.jpg")</f>
        <v>https://azizstan.net/student_image/26561.jpg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tr">
        <f>IFERROR(__xludf.DUMMYFUNCTION("""COMPUTED_VALUE"""),"26620")</f>
        <v>26620</v>
      </c>
      <c r="B44" s="3" t="str">
        <f>IFERROR(__xludf.DUMMYFUNCTION("""COMPUTED_VALUE"""),"ด.ช.อาฟาน แวเล๊าะ")</f>
        <v>ด.ช.อาฟาน แวเล๊าะ</v>
      </c>
      <c r="C44" s="3" t="str">
        <f>IFERROR(__xludf.DUMMYFUNCTION("""COMPUTED_VALUE"""),"ม.1/1")</f>
        <v>ม.1/1</v>
      </c>
      <c r="D44" s="3" t="str">
        <f>IFERROR(__xludf.DUMMYFUNCTION("""COMPUTED_VALUE"""),"PR 1/1")</f>
        <v>PR 1/1</v>
      </c>
      <c r="E44" s="2" t="str">
        <f>IFERROR(__xludf.DUMMYFUNCTION("""COMPUTED_VALUE"""),"ชาย")</f>
        <v>ชาย</v>
      </c>
      <c r="F44" s="5" t="str">
        <f>IFERROR(__xludf.DUMMYFUNCTION("""COMPUTED_VALUE"""),"https://azizstan.net/student_image/26620.jpg")</f>
        <v>https://azizstan.net/student_image/26620.jpg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tr">
        <f>IFERROR(__xludf.DUMMYFUNCTION("""COMPUTED_VALUE"""),"26623")</f>
        <v>26623</v>
      </c>
      <c r="B45" s="3" t="str">
        <f>IFERROR(__xludf.DUMMYFUNCTION("""COMPUTED_VALUE"""),"ด.ช.มูฮัมหมัดอารีฟ มะนอสะ")</f>
        <v>ด.ช.มูฮัมหมัดอารีฟ มะนอสะ</v>
      </c>
      <c r="C45" s="3" t="str">
        <f>IFERROR(__xludf.DUMMYFUNCTION("""COMPUTED_VALUE"""),"ม.1/1")</f>
        <v>ม.1/1</v>
      </c>
      <c r="D45" s="3" t="str">
        <f>IFERROR(__xludf.DUMMYFUNCTION("""COMPUTED_VALUE"""),"PR 1/1")</f>
        <v>PR 1/1</v>
      </c>
      <c r="E45" s="2" t="str">
        <f>IFERROR(__xludf.DUMMYFUNCTION("""COMPUTED_VALUE"""),"ชาย")</f>
        <v>ชาย</v>
      </c>
      <c r="F45" s="5" t="str">
        <f>IFERROR(__xludf.DUMMYFUNCTION("""COMPUTED_VALUE"""),"https://azizstan.net/student_image/26623.jpg")</f>
        <v>https://azizstan.net/student_image/26623.jpg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tr">
        <f>IFERROR(__xludf.DUMMYFUNCTION("""COMPUTED_VALUE"""),"26634")</f>
        <v>26634</v>
      </c>
      <c r="B46" s="3" t="str">
        <f>IFERROR(__xludf.DUMMYFUNCTION("""COMPUTED_VALUE"""),"ด.ช.มูอาซ ยูโซ๊ะ")</f>
        <v>ด.ช.มูอาซ ยูโซ๊ะ</v>
      </c>
      <c r="C46" s="3" t="str">
        <f>IFERROR(__xludf.DUMMYFUNCTION("""COMPUTED_VALUE"""),"ม.1/1")</f>
        <v>ม.1/1</v>
      </c>
      <c r="D46" s="3" t="str">
        <f>IFERROR(__xludf.DUMMYFUNCTION("""COMPUTED_VALUE"""),"PR 1/1")</f>
        <v>PR 1/1</v>
      </c>
      <c r="E46" s="2" t="str">
        <f>IFERROR(__xludf.DUMMYFUNCTION("""COMPUTED_VALUE"""),"ชาย")</f>
        <v>ชาย</v>
      </c>
      <c r="F46" s="5" t="str">
        <f>IFERROR(__xludf.DUMMYFUNCTION("""COMPUTED_VALUE"""),"https://azizstan.net/student_image/26634.jpg")</f>
        <v>https://azizstan.net/student_image/26634.jpg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tr">
        <f>IFERROR(__xludf.DUMMYFUNCTION("""COMPUTED_VALUE"""),"26659")</f>
        <v>26659</v>
      </c>
      <c r="B47" s="3" t="str">
        <f>IFERROR(__xludf.DUMMYFUNCTION("""COMPUTED_VALUE"""),"ด.ช.ยะห์ยา มะเด็ง")</f>
        <v>ด.ช.ยะห์ยา มะเด็ง</v>
      </c>
      <c r="C47" s="3" t="str">
        <f>IFERROR(__xludf.DUMMYFUNCTION("""COMPUTED_VALUE"""),"ม.1/1")</f>
        <v>ม.1/1</v>
      </c>
      <c r="D47" s="3" t="str">
        <f>IFERROR(__xludf.DUMMYFUNCTION("""COMPUTED_VALUE"""),"PR 1/1")</f>
        <v>PR 1/1</v>
      </c>
      <c r="E47" s="2" t="str">
        <f>IFERROR(__xludf.DUMMYFUNCTION("""COMPUTED_VALUE"""),"ชาย")</f>
        <v>ชาย</v>
      </c>
      <c r="F47" s="5" t="str">
        <f>IFERROR(__xludf.DUMMYFUNCTION("""COMPUTED_VALUE"""),"https://azizstan.net/student_image/26659.jpg")</f>
        <v>https://azizstan.net/student_image/26659.jpg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tr">
        <f>IFERROR(__xludf.DUMMYFUNCTION("""COMPUTED_VALUE"""),"26711")</f>
        <v>26711</v>
      </c>
      <c r="B48" s="3" t="str">
        <f>IFERROR(__xludf.DUMMYFUNCTION("""COMPUTED_VALUE"""),"ด.ช.ซอฟวัน นัจวัน มะตีเยาะ")</f>
        <v>ด.ช.ซอฟวัน นัจวัน มะตีเยาะ</v>
      </c>
      <c r="C48" s="3" t="str">
        <f>IFERROR(__xludf.DUMMYFUNCTION("""COMPUTED_VALUE"""),"ม.1/1")</f>
        <v>ม.1/1</v>
      </c>
      <c r="D48" s="3" t="str">
        <f>IFERROR(__xludf.DUMMYFUNCTION("""COMPUTED_VALUE"""),"PR 1/1")</f>
        <v>PR 1/1</v>
      </c>
      <c r="E48" s="2" t="str">
        <f>IFERROR(__xludf.DUMMYFUNCTION("""COMPUTED_VALUE"""),"ชาย")</f>
        <v>ชาย</v>
      </c>
      <c r="F48" s="5" t="str">
        <f>IFERROR(__xludf.DUMMYFUNCTION("""COMPUTED_VALUE"""),"https://azizstan.net/student_image/26711.jpg")</f>
        <v>https://azizstan.net/student_image/26711.jpg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tr">
        <f>IFERROR(__xludf.DUMMYFUNCTION("""COMPUTED_VALUE"""),"26716")</f>
        <v>26716</v>
      </c>
      <c r="B49" s="3" t="str">
        <f>IFERROR(__xludf.DUMMYFUNCTION("""COMPUTED_VALUE"""),"ด.ช.อิซฟาฮัม สากอ")</f>
        <v>ด.ช.อิซฟาฮัม สากอ</v>
      </c>
      <c r="C49" s="3" t="str">
        <f>IFERROR(__xludf.DUMMYFUNCTION("""COMPUTED_VALUE"""),"ม.1/1")</f>
        <v>ม.1/1</v>
      </c>
      <c r="D49" s="3" t="str">
        <f>IFERROR(__xludf.DUMMYFUNCTION("""COMPUTED_VALUE"""),"PR 1/1")</f>
        <v>PR 1/1</v>
      </c>
      <c r="E49" s="2" t="str">
        <f>IFERROR(__xludf.DUMMYFUNCTION("""COMPUTED_VALUE"""),"ชาย")</f>
        <v>ชาย</v>
      </c>
      <c r="F49" s="5" t="str">
        <f>IFERROR(__xludf.DUMMYFUNCTION("""COMPUTED_VALUE"""),"https://azizstan.net/student_image/26716.jpg")</f>
        <v>https://azizstan.net/student_image/26716.jpg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tr">
        <f>IFERROR(__xludf.DUMMYFUNCTION("""COMPUTED_VALUE"""),"26785")</f>
        <v>26785</v>
      </c>
      <c r="B50" s="3" t="str">
        <f>IFERROR(__xludf.DUMMYFUNCTION("""COMPUTED_VALUE"""),"ด.ช.มูฮัมหมัดมุคลิศ โตะกือจิ")</f>
        <v>ด.ช.มูฮัมหมัดมุคลิศ โตะกือจิ</v>
      </c>
      <c r="C50" s="3" t="str">
        <f>IFERROR(__xludf.DUMMYFUNCTION("""COMPUTED_VALUE"""),"ม.1/1")</f>
        <v>ม.1/1</v>
      </c>
      <c r="D50" s="3" t="str">
        <f>IFERROR(__xludf.DUMMYFUNCTION("""COMPUTED_VALUE"""),"PR 1/1")</f>
        <v>PR 1/1</v>
      </c>
      <c r="E50" s="2" t="str">
        <f>IFERROR(__xludf.DUMMYFUNCTION("""COMPUTED_VALUE"""),"ชาย")</f>
        <v>ชาย</v>
      </c>
      <c r="F50" s="5" t="str">
        <f>IFERROR(__xludf.DUMMYFUNCTION("""COMPUTED_VALUE"""),"https://azizstan.net/student_image/26785.jpg")</f>
        <v>https://azizstan.net/student_image/26785.jpg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 t="str">
        <f>IFERROR(__xludf.DUMMYFUNCTION("""COMPUTED_VALUE"""),"26810")</f>
        <v>26810</v>
      </c>
      <c r="B51" s="3" t="str">
        <f>IFERROR(__xludf.DUMMYFUNCTION("""COMPUTED_VALUE"""),"ด.ช.อาลี สาฮะ")</f>
        <v>ด.ช.อาลี สาฮะ</v>
      </c>
      <c r="C51" s="3" t="str">
        <f>IFERROR(__xludf.DUMMYFUNCTION("""COMPUTED_VALUE"""),"ม.1/1")</f>
        <v>ม.1/1</v>
      </c>
      <c r="D51" s="3" t="str">
        <f>IFERROR(__xludf.DUMMYFUNCTION("""COMPUTED_VALUE"""),"PR 1/1")</f>
        <v>PR 1/1</v>
      </c>
      <c r="E51" s="2" t="str">
        <f>IFERROR(__xludf.DUMMYFUNCTION("""COMPUTED_VALUE"""),"ชาย")</f>
        <v>ชาย</v>
      </c>
      <c r="F51" s="5" t="str">
        <f>IFERROR(__xludf.DUMMYFUNCTION("""COMPUTED_VALUE"""),"https://azizstan.net/student_image/26810.jpg")</f>
        <v>https://azizstan.net/student_image/26810.jpg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tr">
        <f>IFERROR(__xludf.DUMMYFUNCTION("""COMPUTED_VALUE"""),"26048")</f>
        <v>26048</v>
      </c>
      <c r="B52" s="3" t="str">
        <f>IFERROR(__xludf.DUMMYFUNCTION("""COMPUTED_VALUE"""),"ด.ช.อิบรอฟาน ดีเยาะ")</f>
        <v>ด.ช.อิบรอฟาน ดีเยาะ</v>
      </c>
      <c r="C52" s="3" t="str">
        <f>IFERROR(__xludf.DUMMYFUNCTION("""COMPUTED_VALUE"""),"ม.1/2")</f>
        <v>ม.1/2</v>
      </c>
      <c r="D52" s="3" t="str">
        <f>IFERROR(__xludf.DUMMYFUNCTION("""COMPUTED_VALUE"""),"PR 1/2")</f>
        <v>PR 1/2</v>
      </c>
      <c r="E52" s="2" t="str">
        <f>IFERROR(__xludf.DUMMYFUNCTION("""COMPUTED_VALUE"""),"ชาย")</f>
        <v>ชาย</v>
      </c>
      <c r="F52" s="5" t="str">
        <f>IFERROR(__xludf.DUMMYFUNCTION("""COMPUTED_VALUE"""),"https://azizstan.net/student_image/26048.jpg")</f>
        <v>https://azizstan.net/student_image/26048.jpg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tr">
        <f>IFERROR(__xludf.DUMMYFUNCTION("""COMPUTED_VALUE"""),"26070")</f>
        <v>26070</v>
      </c>
      <c r="B53" s="3" t="str">
        <f>IFERROR(__xludf.DUMMYFUNCTION("""COMPUTED_VALUE"""),"ด.ช.ฟุรกอนร์ ลาเตะ")</f>
        <v>ด.ช.ฟุรกอนร์ ลาเตะ</v>
      </c>
      <c r="C53" s="3" t="str">
        <f>IFERROR(__xludf.DUMMYFUNCTION("""COMPUTED_VALUE"""),"ม.1/2")</f>
        <v>ม.1/2</v>
      </c>
      <c r="D53" s="3" t="str">
        <f>IFERROR(__xludf.DUMMYFUNCTION("""COMPUTED_VALUE"""),"PR 1/2")</f>
        <v>PR 1/2</v>
      </c>
      <c r="E53" s="2" t="str">
        <f>IFERROR(__xludf.DUMMYFUNCTION("""COMPUTED_VALUE"""),"ชาย")</f>
        <v>ชาย</v>
      </c>
      <c r="F53" s="5" t="str">
        <f>IFERROR(__xludf.DUMMYFUNCTION("""COMPUTED_VALUE"""),"https://azizstan.net/student_image/26070.jpg")</f>
        <v>https://azizstan.net/student_image/26070.jpg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 t="str">
        <f>IFERROR(__xludf.DUMMYFUNCTION("""COMPUTED_VALUE"""),"26081")</f>
        <v>26081</v>
      </c>
      <c r="B54" s="3" t="str">
        <f>IFERROR(__xludf.DUMMYFUNCTION("""COMPUTED_VALUE"""),"ด.ช.นิอิรฟาน เส็นโรจน์")</f>
        <v>ด.ช.นิอิรฟาน เส็นโรจน์</v>
      </c>
      <c r="C54" s="3" t="str">
        <f>IFERROR(__xludf.DUMMYFUNCTION("""COMPUTED_VALUE"""),"ม.1/2")</f>
        <v>ม.1/2</v>
      </c>
      <c r="D54" s="3" t="str">
        <f>IFERROR(__xludf.DUMMYFUNCTION("""COMPUTED_VALUE"""),"PR 1/2")</f>
        <v>PR 1/2</v>
      </c>
      <c r="E54" s="2" t="str">
        <f>IFERROR(__xludf.DUMMYFUNCTION("""COMPUTED_VALUE"""),"ชาย")</f>
        <v>ชาย</v>
      </c>
      <c r="F54" s="5" t="str">
        <f>IFERROR(__xludf.DUMMYFUNCTION("""COMPUTED_VALUE"""),"https://azizstan.net/student_image/26081.jpg")</f>
        <v>https://azizstan.net/student_image/26081.jpg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 t="str">
        <f>IFERROR(__xludf.DUMMYFUNCTION("""COMPUTED_VALUE"""),"26085")</f>
        <v>26085</v>
      </c>
      <c r="B55" s="3" t="str">
        <f>IFERROR(__xludf.DUMMYFUNCTION("""COMPUTED_VALUE"""),"ด.ช.ซากีร สุหลง")</f>
        <v>ด.ช.ซากีร สุหลง</v>
      </c>
      <c r="C55" s="3" t="str">
        <f>IFERROR(__xludf.DUMMYFUNCTION("""COMPUTED_VALUE"""),"ม.1/2")</f>
        <v>ม.1/2</v>
      </c>
      <c r="D55" s="3" t="str">
        <f>IFERROR(__xludf.DUMMYFUNCTION("""COMPUTED_VALUE"""),"PR 1/2")</f>
        <v>PR 1/2</v>
      </c>
      <c r="E55" s="2" t="str">
        <f>IFERROR(__xludf.DUMMYFUNCTION("""COMPUTED_VALUE"""),"ชาย")</f>
        <v>ชาย</v>
      </c>
      <c r="F55" s="5" t="str">
        <f>IFERROR(__xludf.DUMMYFUNCTION("""COMPUTED_VALUE"""),"https://azizstan.net/student_image/26085.jpg")</f>
        <v>https://azizstan.net/student_image/26085.jpg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 t="str">
        <f>IFERROR(__xludf.DUMMYFUNCTION("""COMPUTED_VALUE"""),"26089")</f>
        <v>26089</v>
      </c>
      <c r="B56" s="3" t="str">
        <f>IFERROR(__xludf.DUMMYFUNCTION("""COMPUTED_VALUE"""),"ด.ช.หนิอานัส โมงหนิมะ")</f>
        <v>ด.ช.หนิอานัส โมงหนิมะ</v>
      </c>
      <c r="C56" s="3" t="str">
        <f>IFERROR(__xludf.DUMMYFUNCTION("""COMPUTED_VALUE"""),"ม.1/2")</f>
        <v>ม.1/2</v>
      </c>
      <c r="D56" s="3" t="str">
        <f>IFERROR(__xludf.DUMMYFUNCTION("""COMPUTED_VALUE"""),"PR 1/2")</f>
        <v>PR 1/2</v>
      </c>
      <c r="E56" s="2" t="str">
        <f>IFERROR(__xludf.DUMMYFUNCTION("""COMPUTED_VALUE"""),"ชาย")</f>
        <v>ชาย</v>
      </c>
      <c r="F56" s="5" t="str">
        <f>IFERROR(__xludf.DUMMYFUNCTION("""COMPUTED_VALUE"""),"https://azizstan.net/student_image/26089.jpg")</f>
        <v>https://azizstan.net/student_image/26089.jpg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 t="str">
        <f>IFERROR(__xludf.DUMMYFUNCTION("""COMPUTED_VALUE"""),"26116")</f>
        <v>26116</v>
      </c>
      <c r="B57" s="3" t="str">
        <f>IFERROR(__xludf.DUMMYFUNCTION("""COMPUTED_VALUE"""),"ด.ช.มูฮัมหมัดอัฟฟาน ดอเลาะ")</f>
        <v>ด.ช.มูฮัมหมัดอัฟฟาน ดอเลาะ</v>
      </c>
      <c r="C57" s="3" t="str">
        <f>IFERROR(__xludf.DUMMYFUNCTION("""COMPUTED_VALUE"""),"ม.1/2")</f>
        <v>ม.1/2</v>
      </c>
      <c r="D57" s="3" t="str">
        <f>IFERROR(__xludf.DUMMYFUNCTION("""COMPUTED_VALUE"""),"PR 1/2")</f>
        <v>PR 1/2</v>
      </c>
      <c r="E57" s="2" t="str">
        <f>IFERROR(__xludf.DUMMYFUNCTION("""COMPUTED_VALUE"""),"ชาย")</f>
        <v>ชาย</v>
      </c>
      <c r="F57" s="5" t="str">
        <f>IFERROR(__xludf.DUMMYFUNCTION("""COMPUTED_VALUE"""),"https://azizstan.net/student_image/26116.jpg")</f>
        <v>https://azizstan.net/student_image/26116.jpg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 t="str">
        <f>IFERROR(__xludf.DUMMYFUNCTION("""COMPUTED_VALUE"""),"26131")</f>
        <v>26131</v>
      </c>
      <c r="B58" s="3" t="str">
        <f>IFERROR(__xludf.DUMMYFUNCTION("""COMPUTED_VALUE"""),"ด.ช.แวบัสรี เจะเฮาะ")</f>
        <v>ด.ช.แวบัสรี เจะเฮาะ</v>
      </c>
      <c r="C58" s="3" t="str">
        <f>IFERROR(__xludf.DUMMYFUNCTION("""COMPUTED_VALUE"""),"ม.1/2")</f>
        <v>ม.1/2</v>
      </c>
      <c r="D58" s="3" t="str">
        <f>IFERROR(__xludf.DUMMYFUNCTION("""COMPUTED_VALUE"""),"PR 1/2")</f>
        <v>PR 1/2</v>
      </c>
      <c r="E58" s="2" t="str">
        <f>IFERROR(__xludf.DUMMYFUNCTION("""COMPUTED_VALUE"""),"ชาย")</f>
        <v>ชาย</v>
      </c>
      <c r="F58" s="5" t="str">
        <f>IFERROR(__xludf.DUMMYFUNCTION("""COMPUTED_VALUE"""),"https://azizstan.net/student_image/26131.jpg")</f>
        <v>https://azizstan.net/student_image/26131.jpg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 t="str">
        <f>IFERROR(__xludf.DUMMYFUNCTION("""COMPUTED_VALUE"""),"26136")</f>
        <v>26136</v>
      </c>
      <c r="B59" s="3" t="str">
        <f>IFERROR(__xludf.DUMMYFUNCTION("""COMPUTED_VALUE"""),"ด.ช.อัซบี หมวดหลำ")</f>
        <v>ด.ช.อัซบี หมวดหลำ</v>
      </c>
      <c r="C59" s="3" t="str">
        <f>IFERROR(__xludf.DUMMYFUNCTION("""COMPUTED_VALUE"""),"ม.1/2")</f>
        <v>ม.1/2</v>
      </c>
      <c r="D59" s="3" t="str">
        <f>IFERROR(__xludf.DUMMYFUNCTION("""COMPUTED_VALUE"""),"PR 1/2")</f>
        <v>PR 1/2</v>
      </c>
      <c r="E59" s="2" t="str">
        <f>IFERROR(__xludf.DUMMYFUNCTION("""COMPUTED_VALUE"""),"ชาย")</f>
        <v>ชาย</v>
      </c>
      <c r="F59" s="5" t="str">
        <f>IFERROR(__xludf.DUMMYFUNCTION("""COMPUTED_VALUE"""),"https://azizstan.net/student_image/26136.jpg")</f>
        <v>https://azizstan.net/student_image/26136.jpg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 t="str">
        <f>IFERROR(__xludf.DUMMYFUNCTION("""COMPUTED_VALUE"""),"26154")</f>
        <v>26154</v>
      </c>
      <c r="B60" s="3" t="str">
        <f>IFERROR(__xludf.DUMMYFUNCTION("""COMPUTED_VALUE"""),"ด.ช.อัชรอฟ สังข์จันทร์")</f>
        <v>ด.ช.อัชรอฟ สังข์จันทร์</v>
      </c>
      <c r="C60" s="3" t="str">
        <f>IFERROR(__xludf.DUMMYFUNCTION("""COMPUTED_VALUE"""),"ม.1/2")</f>
        <v>ม.1/2</v>
      </c>
      <c r="D60" s="3" t="str">
        <f>IFERROR(__xludf.DUMMYFUNCTION("""COMPUTED_VALUE"""),"PR 1/2")</f>
        <v>PR 1/2</v>
      </c>
      <c r="E60" s="2" t="str">
        <f>IFERROR(__xludf.DUMMYFUNCTION("""COMPUTED_VALUE"""),"ชาย")</f>
        <v>ชาย</v>
      </c>
      <c r="F60" s="5" t="str">
        <f>IFERROR(__xludf.DUMMYFUNCTION("""COMPUTED_VALUE"""),"https://azizstan.net/student_image/26154.jpg")</f>
        <v>https://azizstan.net/student_image/26154.jpg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 t="str">
        <f>IFERROR(__xludf.DUMMYFUNCTION("""COMPUTED_VALUE"""),"26157")</f>
        <v>26157</v>
      </c>
      <c r="B61" s="3" t="str">
        <f>IFERROR(__xludf.DUMMYFUNCTION("""COMPUTED_VALUE"""),"ด.ช.กูอานีส ยือแร")</f>
        <v>ด.ช.กูอานีส ยือแร</v>
      </c>
      <c r="C61" s="3" t="str">
        <f>IFERROR(__xludf.DUMMYFUNCTION("""COMPUTED_VALUE"""),"ม.1/2")</f>
        <v>ม.1/2</v>
      </c>
      <c r="D61" s="3" t="str">
        <f>IFERROR(__xludf.DUMMYFUNCTION("""COMPUTED_VALUE"""),"PR 1/2")</f>
        <v>PR 1/2</v>
      </c>
      <c r="E61" s="2" t="str">
        <f>IFERROR(__xludf.DUMMYFUNCTION("""COMPUTED_VALUE"""),"ชาย")</f>
        <v>ชาย</v>
      </c>
      <c r="F61" s="5" t="str">
        <f>IFERROR(__xludf.DUMMYFUNCTION("""COMPUTED_VALUE"""),"https://azizstan.net/student_image/26157.jpg")</f>
        <v>https://azizstan.net/student_image/26157.jpg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 t="str">
        <f>IFERROR(__xludf.DUMMYFUNCTION("""COMPUTED_VALUE"""),"26160")</f>
        <v>26160</v>
      </c>
      <c r="B62" s="3" t="str">
        <f>IFERROR(__xludf.DUMMYFUNCTION("""COMPUTED_VALUE"""),"ด.ช.มูอัซซิน สือแมง")</f>
        <v>ด.ช.มูอัซซิน สือแมง</v>
      </c>
      <c r="C62" s="3" t="str">
        <f>IFERROR(__xludf.DUMMYFUNCTION("""COMPUTED_VALUE"""),"ม.1/2")</f>
        <v>ม.1/2</v>
      </c>
      <c r="D62" s="3" t="str">
        <f>IFERROR(__xludf.DUMMYFUNCTION("""COMPUTED_VALUE"""),"PR 1/2")</f>
        <v>PR 1/2</v>
      </c>
      <c r="E62" s="2" t="str">
        <f>IFERROR(__xludf.DUMMYFUNCTION("""COMPUTED_VALUE"""),"ชาย")</f>
        <v>ชาย</v>
      </c>
      <c r="F62" s="5" t="str">
        <f>IFERROR(__xludf.DUMMYFUNCTION("""COMPUTED_VALUE"""),"https://azizstan.net/student_image/26160.jpg")</f>
        <v>https://azizstan.net/student_image/26160.jpg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 t="str">
        <f>IFERROR(__xludf.DUMMYFUNCTION("""COMPUTED_VALUE"""),"26262")</f>
        <v>26262</v>
      </c>
      <c r="B63" s="3" t="str">
        <f>IFERROR(__xludf.DUMMYFUNCTION("""COMPUTED_VALUE"""),"ด.ช.ซอฟรอน สามีแล")</f>
        <v>ด.ช.ซอฟรอน สามีแล</v>
      </c>
      <c r="C63" s="3" t="str">
        <f>IFERROR(__xludf.DUMMYFUNCTION("""COMPUTED_VALUE"""),"ม.1/2")</f>
        <v>ม.1/2</v>
      </c>
      <c r="D63" s="3" t="str">
        <f>IFERROR(__xludf.DUMMYFUNCTION("""COMPUTED_VALUE"""),"PR 1/2")</f>
        <v>PR 1/2</v>
      </c>
      <c r="E63" s="2" t="str">
        <f>IFERROR(__xludf.DUMMYFUNCTION("""COMPUTED_VALUE"""),"ชาย")</f>
        <v>ชาย</v>
      </c>
      <c r="F63" s="5" t="str">
        <f>IFERROR(__xludf.DUMMYFUNCTION("""COMPUTED_VALUE"""),"https://azizstan.net/student_image/26262.jpg")</f>
        <v>https://azizstan.net/student_image/26262.jpg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 t="str">
        <f>IFERROR(__xludf.DUMMYFUNCTION("""COMPUTED_VALUE"""),"26273")</f>
        <v>26273</v>
      </c>
      <c r="B64" s="3" t="str">
        <f>IFERROR(__xludf.DUMMYFUNCTION("""COMPUTED_VALUE"""),"ด.ช.อับดุลเราะห์มาน สานิ")</f>
        <v>ด.ช.อับดุลเราะห์มาน สานิ</v>
      </c>
      <c r="C64" s="3" t="str">
        <f>IFERROR(__xludf.DUMMYFUNCTION("""COMPUTED_VALUE"""),"ม.1/2")</f>
        <v>ม.1/2</v>
      </c>
      <c r="D64" s="3" t="str">
        <f>IFERROR(__xludf.DUMMYFUNCTION("""COMPUTED_VALUE"""),"PR 1/2")</f>
        <v>PR 1/2</v>
      </c>
      <c r="E64" s="2" t="str">
        <f>IFERROR(__xludf.DUMMYFUNCTION("""COMPUTED_VALUE"""),"ชาย")</f>
        <v>ชาย</v>
      </c>
      <c r="F64" s="5" t="str">
        <f>IFERROR(__xludf.DUMMYFUNCTION("""COMPUTED_VALUE"""),"https://azizstan.net/student_image/26273.jpg")</f>
        <v>https://azizstan.net/student_image/26273.jpg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 t="str">
        <f>IFERROR(__xludf.DUMMYFUNCTION("""COMPUTED_VALUE"""),"26279")</f>
        <v>26279</v>
      </c>
      <c r="B65" s="3" t="str">
        <f>IFERROR(__xludf.DUMMYFUNCTION("""COMPUTED_VALUE"""),"ด.ช.นราวิชญ์ บินหมูด")</f>
        <v>ด.ช.นราวิชญ์ บินหมูด</v>
      </c>
      <c r="C65" s="3" t="str">
        <f>IFERROR(__xludf.DUMMYFUNCTION("""COMPUTED_VALUE"""),"ม.1/2")</f>
        <v>ม.1/2</v>
      </c>
      <c r="D65" s="3" t="str">
        <f>IFERROR(__xludf.DUMMYFUNCTION("""COMPUTED_VALUE"""),"PR 1/2")</f>
        <v>PR 1/2</v>
      </c>
      <c r="E65" s="2" t="str">
        <f>IFERROR(__xludf.DUMMYFUNCTION("""COMPUTED_VALUE"""),"ชาย")</f>
        <v>ชาย</v>
      </c>
      <c r="F65" s="5" t="str">
        <f>IFERROR(__xludf.DUMMYFUNCTION("""COMPUTED_VALUE"""),"https://azizstan.net/student_image/26279.jpg")</f>
        <v>https://azizstan.net/student_image/26279.jpg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 t="str">
        <f>IFERROR(__xludf.DUMMYFUNCTION("""COMPUTED_VALUE"""),"26291")</f>
        <v>26291</v>
      </c>
      <c r="B66" s="3" t="str">
        <f>IFERROR(__xludf.DUMMYFUNCTION("""COMPUTED_VALUE"""),"ด.ช.ณัซมีย์ โตะและ")</f>
        <v>ด.ช.ณัซมีย์ โตะและ</v>
      </c>
      <c r="C66" s="3" t="str">
        <f>IFERROR(__xludf.DUMMYFUNCTION("""COMPUTED_VALUE"""),"ม.1/2")</f>
        <v>ม.1/2</v>
      </c>
      <c r="D66" s="3" t="str">
        <f>IFERROR(__xludf.DUMMYFUNCTION("""COMPUTED_VALUE"""),"PR 1/2")</f>
        <v>PR 1/2</v>
      </c>
      <c r="E66" s="2" t="str">
        <f>IFERROR(__xludf.DUMMYFUNCTION("""COMPUTED_VALUE"""),"ชาย")</f>
        <v>ชาย</v>
      </c>
      <c r="F66" s="5" t="str">
        <f>IFERROR(__xludf.DUMMYFUNCTION("""COMPUTED_VALUE"""),"https://azizstan.net/student_image/26291.jpg")</f>
        <v>https://azizstan.net/student_image/26291.jpg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 t="str">
        <f>IFERROR(__xludf.DUMMYFUNCTION("""COMPUTED_VALUE"""),"26293")</f>
        <v>26293</v>
      </c>
      <c r="B67" s="3" t="str">
        <f>IFERROR(__xludf.DUMMYFUNCTION("""COMPUTED_VALUE"""),"ด.ช.อิฟฟาน แซมิง")</f>
        <v>ด.ช.อิฟฟาน แซมิง</v>
      </c>
      <c r="C67" s="3" t="str">
        <f>IFERROR(__xludf.DUMMYFUNCTION("""COMPUTED_VALUE"""),"ม.1/2")</f>
        <v>ม.1/2</v>
      </c>
      <c r="D67" s="3" t="str">
        <f>IFERROR(__xludf.DUMMYFUNCTION("""COMPUTED_VALUE"""),"PR 1/2")</f>
        <v>PR 1/2</v>
      </c>
      <c r="E67" s="2" t="str">
        <f>IFERROR(__xludf.DUMMYFUNCTION("""COMPUTED_VALUE"""),"ชาย")</f>
        <v>ชาย</v>
      </c>
      <c r="F67" s="5" t="str">
        <f>IFERROR(__xludf.DUMMYFUNCTION("""COMPUTED_VALUE"""),"https://azizstan.net/student_image/26293.jpg")</f>
        <v>https://azizstan.net/student_image/26293.jpg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 t="str">
        <f>IFERROR(__xludf.DUMMYFUNCTION("""COMPUTED_VALUE"""),"26327")</f>
        <v>26327</v>
      </c>
      <c r="B68" s="3" t="str">
        <f>IFERROR(__xludf.DUMMYFUNCTION("""COMPUTED_VALUE"""),"ด.ช.มัรฟู อูมา")</f>
        <v>ด.ช.มัรฟู อูมา</v>
      </c>
      <c r="C68" s="3" t="str">
        <f>IFERROR(__xludf.DUMMYFUNCTION("""COMPUTED_VALUE"""),"ม.1/2")</f>
        <v>ม.1/2</v>
      </c>
      <c r="D68" s="3" t="str">
        <f>IFERROR(__xludf.DUMMYFUNCTION("""COMPUTED_VALUE"""),"PR 1/2")</f>
        <v>PR 1/2</v>
      </c>
      <c r="E68" s="2" t="str">
        <f>IFERROR(__xludf.DUMMYFUNCTION("""COMPUTED_VALUE"""),"ชาย")</f>
        <v>ชาย</v>
      </c>
      <c r="F68" s="5" t="str">
        <f>IFERROR(__xludf.DUMMYFUNCTION("""COMPUTED_VALUE"""),"https://azizstan.net/student_image/26327.jpg")</f>
        <v>https://azizstan.net/student_image/26327.jpg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 t="str">
        <f>IFERROR(__xludf.DUMMYFUNCTION("""COMPUTED_VALUE"""),"26328")</f>
        <v>26328</v>
      </c>
      <c r="B69" s="3" t="str">
        <f>IFERROR(__xludf.DUMMYFUNCTION("""COMPUTED_VALUE"""),"ด.ช.นิอารีส กุโน")</f>
        <v>ด.ช.นิอารีส กุโน</v>
      </c>
      <c r="C69" s="3" t="str">
        <f>IFERROR(__xludf.DUMMYFUNCTION("""COMPUTED_VALUE"""),"ม.1/2")</f>
        <v>ม.1/2</v>
      </c>
      <c r="D69" s="3" t="str">
        <f>IFERROR(__xludf.DUMMYFUNCTION("""COMPUTED_VALUE"""),"PR 1/2")</f>
        <v>PR 1/2</v>
      </c>
      <c r="E69" s="2" t="str">
        <f>IFERROR(__xludf.DUMMYFUNCTION("""COMPUTED_VALUE"""),"ชาย")</f>
        <v>ชาย</v>
      </c>
      <c r="F69" s="5" t="str">
        <f>IFERROR(__xludf.DUMMYFUNCTION("""COMPUTED_VALUE"""),"https://azizstan.net/student_image/26328.jpg")</f>
        <v>https://azizstan.net/student_image/26328.jpg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 t="str">
        <f>IFERROR(__xludf.DUMMYFUNCTION("""COMPUTED_VALUE"""),"26362")</f>
        <v>26362</v>
      </c>
      <c r="B70" s="3" t="str">
        <f>IFERROR(__xludf.DUMMYFUNCTION("""COMPUTED_VALUE"""),"ด.ช.ฮะนีฟ สันบากอ")</f>
        <v>ด.ช.ฮะนีฟ สันบากอ</v>
      </c>
      <c r="C70" s="3" t="str">
        <f>IFERROR(__xludf.DUMMYFUNCTION("""COMPUTED_VALUE"""),"ม.1/2")</f>
        <v>ม.1/2</v>
      </c>
      <c r="D70" s="3" t="str">
        <f>IFERROR(__xludf.DUMMYFUNCTION("""COMPUTED_VALUE"""),"PR 1/2")</f>
        <v>PR 1/2</v>
      </c>
      <c r="E70" s="2" t="str">
        <f>IFERROR(__xludf.DUMMYFUNCTION("""COMPUTED_VALUE"""),"ชาย")</f>
        <v>ชาย</v>
      </c>
      <c r="F70" s="5" t="str">
        <f>IFERROR(__xludf.DUMMYFUNCTION("""COMPUTED_VALUE"""),"https://azizstan.net/student_image/26362.jpg")</f>
        <v>https://azizstan.net/student_image/26362.jpg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 t="str">
        <f>IFERROR(__xludf.DUMMYFUNCTION("""COMPUTED_VALUE"""),"26370")</f>
        <v>26370</v>
      </c>
      <c r="B71" s="3" t="str">
        <f>IFERROR(__xludf.DUMMYFUNCTION("""COMPUTED_VALUE"""),"ด.ช.ฟาดิล กาสอ")</f>
        <v>ด.ช.ฟาดิล กาสอ</v>
      </c>
      <c r="C71" s="3" t="str">
        <f>IFERROR(__xludf.DUMMYFUNCTION("""COMPUTED_VALUE"""),"ม.1/2")</f>
        <v>ม.1/2</v>
      </c>
      <c r="D71" s="3" t="str">
        <f>IFERROR(__xludf.DUMMYFUNCTION("""COMPUTED_VALUE"""),"PR 1/2")</f>
        <v>PR 1/2</v>
      </c>
      <c r="E71" s="2" t="str">
        <f>IFERROR(__xludf.DUMMYFUNCTION("""COMPUTED_VALUE"""),"ชาย")</f>
        <v>ชาย</v>
      </c>
      <c r="F71" s="5" t="str">
        <f>IFERROR(__xludf.DUMMYFUNCTION("""COMPUTED_VALUE"""),"https://azizstan.net/student_image/26370.jpg")</f>
        <v>https://azizstan.net/student_image/26370.jpg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 t="str">
        <f>IFERROR(__xludf.DUMMYFUNCTION("""COMPUTED_VALUE"""),"26425")</f>
        <v>26425</v>
      </c>
      <c r="B72" s="3" t="str">
        <f>IFERROR(__xludf.DUMMYFUNCTION("""COMPUTED_VALUE"""),"ด.ช.มูฮัมหมัดฟาดิล สะติยา")</f>
        <v>ด.ช.มูฮัมหมัดฟาดิล สะติยา</v>
      </c>
      <c r="C72" s="3" t="str">
        <f>IFERROR(__xludf.DUMMYFUNCTION("""COMPUTED_VALUE"""),"ม.1/2")</f>
        <v>ม.1/2</v>
      </c>
      <c r="D72" s="3" t="str">
        <f>IFERROR(__xludf.DUMMYFUNCTION("""COMPUTED_VALUE"""),"PR 1/2")</f>
        <v>PR 1/2</v>
      </c>
      <c r="E72" s="2" t="str">
        <f>IFERROR(__xludf.DUMMYFUNCTION("""COMPUTED_VALUE"""),"ชาย")</f>
        <v>ชาย</v>
      </c>
      <c r="F72" s="5" t="str">
        <f>IFERROR(__xludf.DUMMYFUNCTION("""COMPUTED_VALUE"""),"https://azizstan.net/student_image/26425.jpg")</f>
        <v>https://azizstan.net/student_image/26425.jpg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 t="str">
        <f>IFERROR(__xludf.DUMMYFUNCTION("""COMPUTED_VALUE"""),"26433")</f>
        <v>26433</v>
      </c>
      <c r="B73" s="3" t="str">
        <f>IFERROR(__xludf.DUMMYFUNCTION("""COMPUTED_VALUE"""),"ด.ช.ฟัรฮาน หมีนเจ๊ะ")</f>
        <v>ด.ช.ฟัรฮาน หมีนเจ๊ะ</v>
      </c>
      <c r="C73" s="3" t="str">
        <f>IFERROR(__xludf.DUMMYFUNCTION("""COMPUTED_VALUE"""),"ม.1/2")</f>
        <v>ม.1/2</v>
      </c>
      <c r="D73" s="3" t="str">
        <f>IFERROR(__xludf.DUMMYFUNCTION("""COMPUTED_VALUE"""),"PR 1/2")</f>
        <v>PR 1/2</v>
      </c>
      <c r="E73" s="2" t="str">
        <f>IFERROR(__xludf.DUMMYFUNCTION("""COMPUTED_VALUE"""),"ชาย")</f>
        <v>ชาย</v>
      </c>
      <c r="F73" s="5" t="str">
        <f>IFERROR(__xludf.DUMMYFUNCTION("""COMPUTED_VALUE"""),"https://azizstan.net/student_image/26433.jpg")</f>
        <v>https://azizstan.net/student_image/26433.jpg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 t="str">
        <f>IFERROR(__xludf.DUMMYFUNCTION("""COMPUTED_VALUE"""),"26437")</f>
        <v>26437</v>
      </c>
      <c r="B74" s="3" t="str">
        <f>IFERROR(__xludf.DUMMYFUNCTION("""COMPUTED_VALUE"""),"ด.ช.ซุบฮาน สะแม")</f>
        <v>ด.ช.ซุบฮาน สะแม</v>
      </c>
      <c r="C74" s="3" t="str">
        <f>IFERROR(__xludf.DUMMYFUNCTION("""COMPUTED_VALUE"""),"ม.1/2")</f>
        <v>ม.1/2</v>
      </c>
      <c r="D74" s="3" t="str">
        <f>IFERROR(__xludf.DUMMYFUNCTION("""COMPUTED_VALUE"""),"PR 1/2")</f>
        <v>PR 1/2</v>
      </c>
      <c r="E74" s="2" t="str">
        <f>IFERROR(__xludf.DUMMYFUNCTION("""COMPUTED_VALUE"""),"ชาย")</f>
        <v>ชาย</v>
      </c>
      <c r="F74" s="5" t="str">
        <f>IFERROR(__xludf.DUMMYFUNCTION("""COMPUTED_VALUE"""),"https://azizstan.net/student_image/26437.jpg")</f>
        <v>https://azizstan.net/student_image/26437.jpg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 t="str">
        <f>IFERROR(__xludf.DUMMYFUNCTION("""COMPUTED_VALUE"""),"26438")</f>
        <v>26438</v>
      </c>
      <c r="B75" s="3" t="str">
        <f>IFERROR(__xludf.DUMMYFUNCTION("""COMPUTED_VALUE"""),"ด.ช.ซูลฟาตะห์ กายียุ")</f>
        <v>ด.ช.ซูลฟาตะห์ กายียุ</v>
      </c>
      <c r="C75" s="3" t="str">
        <f>IFERROR(__xludf.DUMMYFUNCTION("""COMPUTED_VALUE"""),"ม.1/2")</f>
        <v>ม.1/2</v>
      </c>
      <c r="D75" s="3" t="str">
        <f>IFERROR(__xludf.DUMMYFUNCTION("""COMPUTED_VALUE"""),"PR 1/2")</f>
        <v>PR 1/2</v>
      </c>
      <c r="E75" s="2" t="str">
        <f>IFERROR(__xludf.DUMMYFUNCTION("""COMPUTED_VALUE"""),"ชาย")</f>
        <v>ชาย</v>
      </c>
      <c r="F75" s="5" t="str">
        <f>IFERROR(__xludf.DUMMYFUNCTION("""COMPUTED_VALUE"""),"https://azizstan.net/student_image/26438.jpg")</f>
        <v>https://azizstan.net/student_image/26438.jpg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 t="str">
        <f>IFERROR(__xludf.DUMMYFUNCTION("""COMPUTED_VALUE"""),"26440")</f>
        <v>26440</v>
      </c>
      <c r="B76" s="3" t="str">
        <f>IFERROR(__xludf.DUMMYFUNCTION("""COMPUTED_VALUE"""),"ด.ช.หนิฮานาฟี ตาหา")</f>
        <v>ด.ช.หนิฮานาฟี ตาหา</v>
      </c>
      <c r="C76" s="3" t="str">
        <f>IFERROR(__xludf.DUMMYFUNCTION("""COMPUTED_VALUE"""),"ม.1/2")</f>
        <v>ม.1/2</v>
      </c>
      <c r="D76" s="3" t="str">
        <f>IFERROR(__xludf.DUMMYFUNCTION("""COMPUTED_VALUE"""),"PR 1/2")</f>
        <v>PR 1/2</v>
      </c>
      <c r="E76" s="2" t="str">
        <f>IFERROR(__xludf.DUMMYFUNCTION("""COMPUTED_VALUE"""),"ชาย")</f>
        <v>ชาย</v>
      </c>
      <c r="F76" s="5" t="str">
        <f>IFERROR(__xludf.DUMMYFUNCTION("""COMPUTED_VALUE"""),"https://azizstan.net/student_image/26440.jpg")</f>
        <v>https://azizstan.net/student_image/26440.jpg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 t="str">
        <f>IFERROR(__xludf.DUMMYFUNCTION("""COMPUTED_VALUE"""),"26461")</f>
        <v>26461</v>
      </c>
      <c r="B77" s="3" t="str">
        <f>IFERROR(__xludf.DUMMYFUNCTION("""COMPUTED_VALUE"""),"ด.ช.มูฮัมหมัดไซฟุล สะนิดอเลาะ")</f>
        <v>ด.ช.มูฮัมหมัดไซฟุล สะนิดอเลาะ</v>
      </c>
      <c r="C77" s="3" t="str">
        <f>IFERROR(__xludf.DUMMYFUNCTION("""COMPUTED_VALUE"""),"ม.1/2")</f>
        <v>ม.1/2</v>
      </c>
      <c r="D77" s="3" t="str">
        <f>IFERROR(__xludf.DUMMYFUNCTION("""COMPUTED_VALUE"""),"PR 1/2")</f>
        <v>PR 1/2</v>
      </c>
      <c r="E77" s="2" t="str">
        <f>IFERROR(__xludf.DUMMYFUNCTION("""COMPUTED_VALUE"""),"ชาย")</f>
        <v>ชาย</v>
      </c>
      <c r="F77" s="5" t="str">
        <f>IFERROR(__xludf.DUMMYFUNCTION("""COMPUTED_VALUE"""),"https://azizstan.net/student_image/26461.jpg")</f>
        <v>https://azizstan.net/student_image/26461.jpg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 t="str">
        <f>IFERROR(__xludf.DUMMYFUNCTION("""COMPUTED_VALUE"""),"26487")</f>
        <v>26487</v>
      </c>
      <c r="B78" s="3" t="str">
        <f>IFERROR(__xludf.DUMMYFUNCTION("""COMPUTED_VALUE"""),"ด.ช.มูฮัมหมัดฟัฏอีน บาฮอ")</f>
        <v>ด.ช.มูฮัมหมัดฟัฏอีน บาฮอ</v>
      </c>
      <c r="C78" s="3" t="str">
        <f>IFERROR(__xludf.DUMMYFUNCTION("""COMPUTED_VALUE"""),"ม.1/2")</f>
        <v>ม.1/2</v>
      </c>
      <c r="D78" s="3" t="str">
        <f>IFERROR(__xludf.DUMMYFUNCTION("""COMPUTED_VALUE"""),"PR 1/2")</f>
        <v>PR 1/2</v>
      </c>
      <c r="E78" s="2" t="str">
        <f>IFERROR(__xludf.DUMMYFUNCTION("""COMPUTED_VALUE"""),"ชาย")</f>
        <v>ชาย</v>
      </c>
      <c r="F78" s="5" t="str">
        <f>IFERROR(__xludf.DUMMYFUNCTION("""COMPUTED_VALUE"""),"https://azizstan.net/student_image/26487.jpg")</f>
        <v>https://azizstan.net/student_image/26487.jpg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 t="str">
        <f>IFERROR(__xludf.DUMMYFUNCTION("""COMPUTED_VALUE"""),"26515")</f>
        <v>26515</v>
      </c>
      <c r="B79" s="3" t="str">
        <f>IFERROR(__xludf.DUMMYFUNCTION("""COMPUTED_VALUE"""),"ด.ช.ซุกรัน มะมิง")</f>
        <v>ด.ช.ซุกรัน มะมิง</v>
      </c>
      <c r="C79" s="3" t="str">
        <f>IFERROR(__xludf.DUMMYFUNCTION("""COMPUTED_VALUE"""),"ม.1/2")</f>
        <v>ม.1/2</v>
      </c>
      <c r="D79" s="3" t="str">
        <f>IFERROR(__xludf.DUMMYFUNCTION("""COMPUTED_VALUE"""),"PR 1/2")</f>
        <v>PR 1/2</v>
      </c>
      <c r="E79" s="2" t="str">
        <f>IFERROR(__xludf.DUMMYFUNCTION("""COMPUTED_VALUE"""),"ชาย")</f>
        <v>ชาย</v>
      </c>
      <c r="F79" s="5" t="str">
        <f>IFERROR(__xludf.DUMMYFUNCTION("""COMPUTED_VALUE"""),"https://azizstan.net/student_image/26515.jpg")</f>
        <v>https://azizstan.net/student_image/26515.jpg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 t="str">
        <f>IFERROR(__xludf.DUMMYFUNCTION("""COMPUTED_VALUE"""),"26535")</f>
        <v>26535</v>
      </c>
      <c r="B80" s="3" t="str">
        <f>IFERROR(__xludf.DUMMYFUNCTION("""COMPUTED_VALUE"""),"ด.ช.อัลอิลซาน เจะเละ")</f>
        <v>ด.ช.อัลอิลซาน เจะเละ</v>
      </c>
      <c r="C80" s="3" t="str">
        <f>IFERROR(__xludf.DUMMYFUNCTION("""COMPUTED_VALUE"""),"ม.1/2")</f>
        <v>ม.1/2</v>
      </c>
      <c r="D80" s="3" t="str">
        <f>IFERROR(__xludf.DUMMYFUNCTION("""COMPUTED_VALUE"""),"PR 1/2")</f>
        <v>PR 1/2</v>
      </c>
      <c r="E80" s="2" t="str">
        <f>IFERROR(__xludf.DUMMYFUNCTION("""COMPUTED_VALUE"""),"ชาย")</f>
        <v>ชาย</v>
      </c>
      <c r="F80" s="5" t="str">
        <f>IFERROR(__xludf.DUMMYFUNCTION("""COMPUTED_VALUE"""),"https://azizstan.net/student_image/26535.jpg")</f>
        <v>https://azizstan.net/student_image/26535.jpg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 t="str">
        <f>IFERROR(__xludf.DUMMYFUNCTION("""COMPUTED_VALUE"""),"26603")</f>
        <v>26603</v>
      </c>
      <c r="B81" s="3" t="str">
        <f>IFERROR(__xludf.DUMMYFUNCTION("""COMPUTED_VALUE"""),"ด.ช.ฟาฮาม สาเร๊ะ")</f>
        <v>ด.ช.ฟาฮาม สาเร๊ะ</v>
      </c>
      <c r="C81" s="3" t="str">
        <f>IFERROR(__xludf.DUMMYFUNCTION("""COMPUTED_VALUE"""),"ม.1/2")</f>
        <v>ม.1/2</v>
      </c>
      <c r="D81" s="3" t="str">
        <f>IFERROR(__xludf.DUMMYFUNCTION("""COMPUTED_VALUE"""),"PR 1/2")</f>
        <v>PR 1/2</v>
      </c>
      <c r="E81" s="2" t="str">
        <f>IFERROR(__xludf.DUMMYFUNCTION("""COMPUTED_VALUE"""),"ชาย")</f>
        <v>ชาย</v>
      </c>
      <c r="F81" s="5" t="str">
        <f>IFERROR(__xludf.DUMMYFUNCTION("""COMPUTED_VALUE"""),"https://azizstan.net/student_image/26603.jpg")</f>
        <v>https://azizstan.net/student_image/26603.jpg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 t="str">
        <f>IFERROR(__xludf.DUMMYFUNCTION("""COMPUTED_VALUE"""),"26627")</f>
        <v>26627</v>
      </c>
      <c r="B82" s="3" t="str">
        <f>IFERROR(__xludf.DUMMYFUNCTION("""COMPUTED_VALUE"""),"ด.ช.หมัดชาริฟ สาเระ")</f>
        <v>ด.ช.หมัดชาริฟ สาเระ</v>
      </c>
      <c r="C82" s="3" t="str">
        <f>IFERROR(__xludf.DUMMYFUNCTION("""COMPUTED_VALUE"""),"ม.1/2")</f>
        <v>ม.1/2</v>
      </c>
      <c r="D82" s="3" t="str">
        <f>IFERROR(__xludf.DUMMYFUNCTION("""COMPUTED_VALUE"""),"PR 1/2")</f>
        <v>PR 1/2</v>
      </c>
      <c r="E82" s="2" t="str">
        <f>IFERROR(__xludf.DUMMYFUNCTION("""COMPUTED_VALUE"""),"ชาย")</f>
        <v>ชาย</v>
      </c>
      <c r="F82" s="5" t="str">
        <f>IFERROR(__xludf.DUMMYFUNCTION("""COMPUTED_VALUE"""),"https://azizstan.net/student_image/26627.jpg")</f>
        <v>https://azizstan.net/student_image/26627.jpg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 t="str">
        <f>IFERROR(__xludf.DUMMYFUNCTION("""COMPUTED_VALUE"""),"26654")</f>
        <v>26654</v>
      </c>
      <c r="B83" s="3" t="str">
        <f>IFERROR(__xludf.DUMMYFUNCTION("""COMPUTED_VALUE"""),"ด.ช.อภิสิทธิ์ สาและ")</f>
        <v>ด.ช.อภิสิทธิ์ สาและ</v>
      </c>
      <c r="C83" s="3" t="str">
        <f>IFERROR(__xludf.DUMMYFUNCTION("""COMPUTED_VALUE"""),"ม.1/2")</f>
        <v>ม.1/2</v>
      </c>
      <c r="D83" s="3" t="str">
        <f>IFERROR(__xludf.DUMMYFUNCTION("""COMPUTED_VALUE"""),"PR 1/2")</f>
        <v>PR 1/2</v>
      </c>
      <c r="E83" s="2" t="str">
        <f>IFERROR(__xludf.DUMMYFUNCTION("""COMPUTED_VALUE"""),"ชาย")</f>
        <v>ชาย</v>
      </c>
      <c r="F83" s="5" t="str">
        <f>IFERROR(__xludf.DUMMYFUNCTION("""COMPUTED_VALUE"""),"https://azizstan.net/student_image/26654.jpg")</f>
        <v>https://azizstan.net/student_image/26654.jpg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 t="str">
        <f>IFERROR(__xludf.DUMMYFUNCTION("""COMPUTED_VALUE"""),"26667")</f>
        <v>26667</v>
      </c>
      <c r="B84" s="3" t="str">
        <f>IFERROR(__xludf.DUMMYFUNCTION("""COMPUTED_VALUE"""),"ด.ช.มูฮัมหมัดลุดดีน มหันกฤษ")</f>
        <v>ด.ช.มูฮัมหมัดลุดดีน มหันกฤษ</v>
      </c>
      <c r="C84" s="3" t="str">
        <f>IFERROR(__xludf.DUMMYFUNCTION("""COMPUTED_VALUE"""),"ม.1/2")</f>
        <v>ม.1/2</v>
      </c>
      <c r="D84" s="3" t="str">
        <f>IFERROR(__xludf.DUMMYFUNCTION("""COMPUTED_VALUE"""),"PR 1/2")</f>
        <v>PR 1/2</v>
      </c>
      <c r="E84" s="2" t="str">
        <f>IFERROR(__xludf.DUMMYFUNCTION("""COMPUTED_VALUE"""),"ชาย")</f>
        <v>ชาย</v>
      </c>
      <c r="F84" s="5" t="str">
        <f>IFERROR(__xludf.DUMMYFUNCTION("""COMPUTED_VALUE"""),"https://azizstan.net/student_image/26667.jpg")</f>
        <v>https://azizstan.net/student_image/26667.jpg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 t="str">
        <f>IFERROR(__xludf.DUMMYFUNCTION("""COMPUTED_VALUE"""),"26693")</f>
        <v>26693</v>
      </c>
      <c r="B85" s="3" t="str">
        <f>IFERROR(__xludf.DUMMYFUNCTION("""COMPUTED_VALUE"""),"ด.ช.อับดุลฮากีม แวกือจิ")</f>
        <v>ด.ช.อับดุลฮากีม แวกือจิ</v>
      </c>
      <c r="C85" s="3" t="str">
        <f>IFERROR(__xludf.DUMMYFUNCTION("""COMPUTED_VALUE"""),"ม.1/2")</f>
        <v>ม.1/2</v>
      </c>
      <c r="D85" s="3" t="str">
        <f>IFERROR(__xludf.DUMMYFUNCTION("""COMPUTED_VALUE"""),"PR 1/2")</f>
        <v>PR 1/2</v>
      </c>
      <c r="E85" s="2" t="str">
        <f>IFERROR(__xludf.DUMMYFUNCTION("""COMPUTED_VALUE"""),"ชาย")</f>
        <v>ชาย</v>
      </c>
      <c r="F85" s="5" t="str">
        <f>IFERROR(__xludf.DUMMYFUNCTION("""COMPUTED_VALUE"""),"https://azizstan.net/student_image/26693.jpg")</f>
        <v>https://azizstan.net/student_image/26693.jpg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 t="str">
        <f>IFERROR(__xludf.DUMMYFUNCTION("""COMPUTED_VALUE"""),"26722")</f>
        <v>26722</v>
      </c>
      <c r="B86" s="3" t="str">
        <f>IFERROR(__xludf.DUMMYFUNCTION("""COMPUTED_VALUE"""),"ด.ช.อานัส แวกะจิ")</f>
        <v>ด.ช.อานัส แวกะจิ</v>
      </c>
      <c r="C86" s="3" t="str">
        <f>IFERROR(__xludf.DUMMYFUNCTION("""COMPUTED_VALUE"""),"ม.1/2")</f>
        <v>ม.1/2</v>
      </c>
      <c r="D86" s="3" t="str">
        <f>IFERROR(__xludf.DUMMYFUNCTION("""COMPUTED_VALUE"""),"PR 1/2")</f>
        <v>PR 1/2</v>
      </c>
      <c r="E86" s="2" t="str">
        <f>IFERROR(__xludf.DUMMYFUNCTION("""COMPUTED_VALUE"""),"ชาย")</f>
        <v>ชาย</v>
      </c>
      <c r="F86" s="5" t="str">
        <f>IFERROR(__xludf.DUMMYFUNCTION("""COMPUTED_VALUE"""),"https://azizstan.net/student_image/26722.jpg")</f>
        <v>https://azizstan.net/student_image/26722.jpg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 t="str">
        <f>IFERROR(__xludf.DUMMYFUNCTION("""COMPUTED_VALUE"""),"26792")</f>
        <v>26792</v>
      </c>
      <c r="B87" s="3" t="str">
        <f>IFERROR(__xludf.DUMMYFUNCTION("""COMPUTED_VALUE"""),"ด.ช.อาลิฟ ปูดาเล็ง")</f>
        <v>ด.ช.อาลิฟ ปูดาเล็ง</v>
      </c>
      <c r="C87" s="3" t="str">
        <f>IFERROR(__xludf.DUMMYFUNCTION("""COMPUTED_VALUE"""),"ม.1/2")</f>
        <v>ม.1/2</v>
      </c>
      <c r="D87" s="3" t="str">
        <f>IFERROR(__xludf.DUMMYFUNCTION("""COMPUTED_VALUE"""),"PR 1/2")</f>
        <v>PR 1/2</v>
      </c>
      <c r="E87" s="2" t="str">
        <f>IFERROR(__xludf.DUMMYFUNCTION("""COMPUTED_VALUE"""),"ชาย")</f>
        <v>ชาย</v>
      </c>
      <c r="F87" s="5" t="str">
        <f>IFERROR(__xludf.DUMMYFUNCTION("""COMPUTED_VALUE"""),"https://azizstan.net/student_image/26792.jpg")</f>
        <v>https://azizstan.net/student_image/26792.jpg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 t="str">
        <f>IFERROR(__xludf.DUMMYFUNCTION("""COMPUTED_VALUE"""),"26798")</f>
        <v>26798</v>
      </c>
      <c r="B88" s="3" t="str">
        <f>IFERROR(__xludf.DUMMYFUNCTION("""COMPUTED_VALUE"""),"ด.ช.มายิดดี กะจิบือซา")</f>
        <v>ด.ช.มายิดดี กะจิบือซา</v>
      </c>
      <c r="C88" s="3" t="str">
        <f>IFERROR(__xludf.DUMMYFUNCTION("""COMPUTED_VALUE"""),"ม.1/2")</f>
        <v>ม.1/2</v>
      </c>
      <c r="D88" s="3" t="str">
        <f>IFERROR(__xludf.DUMMYFUNCTION("""COMPUTED_VALUE"""),"PR 1/2")</f>
        <v>PR 1/2</v>
      </c>
      <c r="E88" s="2" t="str">
        <f>IFERROR(__xludf.DUMMYFUNCTION("""COMPUTED_VALUE"""),"ชาย")</f>
        <v>ชาย</v>
      </c>
      <c r="F88" s="5" t="str">
        <f>IFERROR(__xludf.DUMMYFUNCTION("""COMPUTED_VALUE"""),"https://azizstan.net/student_image/26798.jpg")</f>
        <v>https://azizstan.net/student_image/26798.jpg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 t="str">
        <f>IFERROR(__xludf.DUMMYFUNCTION("""COMPUTED_VALUE"""),"26814")</f>
        <v>26814</v>
      </c>
      <c r="B89" s="3" t="str">
        <f>IFERROR(__xludf.DUMMYFUNCTION("""COMPUTED_VALUE"""),"ด.ช.นัสรี่ย์ หวังหมัด")</f>
        <v>ด.ช.นัสรี่ย์ หวังหมัด</v>
      </c>
      <c r="C89" s="3" t="str">
        <f>IFERROR(__xludf.DUMMYFUNCTION("""COMPUTED_VALUE"""),"ม.1/2")</f>
        <v>ม.1/2</v>
      </c>
      <c r="D89" s="3" t="str">
        <f>IFERROR(__xludf.DUMMYFUNCTION("""COMPUTED_VALUE"""),"PR 1/2")</f>
        <v>PR 1/2</v>
      </c>
      <c r="E89" s="2" t="str">
        <f>IFERROR(__xludf.DUMMYFUNCTION("""COMPUTED_VALUE"""),"ชาย")</f>
        <v>ชาย</v>
      </c>
      <c r="F89" s="5" t="str">
        <f>IFERROR(__xludf.DUMMYFUNCTION("""COMPUTED_VALUE"""),"https://azizstan.net/student_image/26814.jpg")</f>
        <v>https://azizstan.net/student_image/26814.jpg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 t="str">
        <f>IFERROR(__xludf.DUMMYFUNCTION("""COMPUTED_VALUE"""),"26035")</f>
        <v>26035</v>
      </c>
      <c r="B90" s="3" t="str">
        <f>IFERROR(__xludf.DUMMYFUNCTION("""COMPUTED_VALUE"""),"ด.ช.อัฟหนัน เลาะสาเร๊าะ")</f>
        <v>ด.ช.อัฟหนัน เลาะสาเร๊าะ</v>
      </c>
      <c r="C90" s="3" t="str">
        <f>IFERROR(__xludf.DUMMYFUNCTION("""COMPUTED_VALUE"""),"ม.1/3")</f>
        <v>ม.1/3</v>
      </c>
      <c r="D90" s="3" t="str">
        <f>IFERROR(__xludf.DUMMYFUNCTION("""COMPUTED_VALUE"""),"อก.1/3")</f>
        <v>อก.1/3</v>
      </c>
      <c r="E90" s="2" t="str">
        <f>IFERROR(__xludf.DUMMYFUNCTION("""COMPUTED_VALUE"""),"ชาย")</f>
        <v>ชาย</v>
      </c>
      <c r="F90" s="5" t="str">
        <f>IFERROR(__xludf.DUMMYFUNCTION("""COMPUTED_VALUE"""),"https://azizstan.net/student_image/26035.jpg")</f>
        <v>https://azizstan.net/student_image/26035.jpg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 t="str">
        <f>IFERROR(__xludf.DUMMYFUNCTION("""COMPUTED_VALUE"""),"26045")</f>
        <v>26045</v>
      </c>
      <c r="B91" s="3" t="str">
        <f>IFERROR(__xludf.DUMMYFUNCTION("""COMPUTED_VALUE"""),"ด.ช.ณเดชน์ องศารา")</f>
        <v>ด.ช.ณเดชน์ องศารา</v>
      </c>
      <c r="C91" s="3" t="str">
        <f>IFERROR(__xludf.DUMMYFUNCTION("""COMPUTED_VALUE"""),"ม.1/3")</f>
        <v>ม.1/3</v>
      </c>
      <c r="D91" s="3" t="str">
        <f>IFERROR(__xludf.DUMMYFUNCTION("""COMPUTED_VALUE"""),"อก.1/3")</f>
        <v>อก.1/3</v>
      </c>
      <c r="E91" s="2" t="str">
        <f>IFERROR(__xludf.DUMMYFUNCTION("""COMPUTED_VALUE"""),"ชาย")</f>
        <v>ชาย</v>
      </c>
      <c r="F91" s="5" t="str">
        <f>IFERROR(__xludf.DUMMYFUNCTION("""COMPUTED_VALUE"""),"https://azizstan.net/student_image/26045.jpg")</f>
        <v>https://azizstan.net/student_image/26045.jpg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 t="str">
        <f>IFERROR(__xludf.DUMMYFUNCTION("""COMPUTED_VALUE"""),"26056")</f>
        <v>26056</v>
      </c>
      <c r="B92" s="3" t="str">
        <f>IFERROR(__xludf.DUMMYFUNCTION("""COMPUTED_VALUE"""),"ด.ช.อัฟฟาน สาแม")</f>
        <v>ด.ช.อัฟฟาน สาแม</v>
      </c>
      <c r="C92" s="3" t="str">
        <f>IFERROR(__xludf.DUMMYFUNCTION("""COMPUTED_VALUE"""),"ม.1/3")</f>
        <v>ม.1/3</v>
      </c>
      <c r="D92" s="3" t="str">
        <f>IFERROR(__xludf.DUMMYFUNCTION("""COMPUTED_VALUE"""),"อก.1/3")</f>
        <v>อก.1/3</v>
      </c>
      <c r="E92" s="2" t="str">
        <f>IFERROR(__xludf.DUMMYFUNCTION("""COMPUTED_VALUE"""),"ชาย")</f>
        <v>ชาย</v>
      </c>
      <c r="F92" s="5" t="str">
        <f>IFERROR(__xludf.DUMMYFUNCTION("""COMPUTED_VALUE"""),"https://azizstan.net/student_image/26056.jpg")</f>
        <v>https://azizstan.net/student_image/26056.jpg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 t="str">
        <f>IFERROR(__xludf.DUMMYFUNCTION("""COMPUTED_VALUE"""),"26063")</f>
        <v>26063</v>
      </c>
      <c r="B93" s="3" t="str">
        <f>IFERROR(__xludf.DUMMYFUNCTION("""COMPUTED_VALUE"""),"ด.ช.อัฟฟาน ดาซิง")</f>
        <v>ด.ช.อัฟฟาน ดาซิง</v>
      </c>
      <c r="C93" s="3" t="str">
        <f>IFERROR(__xludf.DUMMYFUNCTION("""COMPUTED_VALUE"""),"ม.1/3")</f>
        <v>ม.1/3</v>
      </c>
      <c r="D93" s="3" t="str">
        <f>IFERROR(__xludf.DUMMYFUNCTION("""COMPUTED_VALUE"""),"อก.1/3")</f>
        <v>อก.1/3</v>
      </c>
      <c r="E93" s="2" t="str">
        <f>IFERROR(__xludf.DUMMYFUNCTION("""COMPUTED_VALUE"""),"ชาย")</f>
        <v>ชาย</v>
      </c>
      <c r="F93" s="5" t="str">
        <f>IFERROR(__xludf.DUMMYFUNCTION("""COMPUTED_VALUE"""),"https://azizstan.net/student_image/26063.jpg")</f>
        <v>https://azizstan.net/student_image/26063.jpg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 t="str">
        <f>IFERROR(__xludf.DUMMYFUNCTION("""COMPUTED_VALUE"""),"26074")</f>
        <v>26074</v>
      </c>
      <c r="B94" s="3" t="str">
        <f>IFERROR(__xludf.DUMMYFUNCTION("""COMPUTED_VALUE"""),"ด.ช.ซุบฮา ปรีฆี")</f>
        <v>ด.ช.ซุบฮา ปรีฆี</v>
      </c>
      <c r="C94" s="3" t="str">
        <f>IFERROR(__xludf.DUMMYFUNCTION("""COMPUTED_VALUE"""),"ม.1/3")</f>
        <v>ม.1/3</v>
      </c>
      <c r="D94" s="3" t="str">
        <f>IFERROR(__xludf.DUMMYFUNCTION("""COMPUTED_VALUE"""),"อก.1/3")</f>
        <v>อก.1/3</v>
      </c>
      <c r="E94" s="2" t="str">
        <f>IFERROR(__xludf.DUMMYFUNCTION("""COMPUTED_VALUE"""),"ชาย")</f>
        <v>ชาย</v>
      </c>
      <c r="F94" s="5" t="str">
        <f>IFERROR(__xludf.DUMMYFUNCTION("""COMPUTED_VALUE"""),"https://azizstan.net/student_image/26074.jpg")</f>
        <v>https://azizstan.net/student_image/26074.jpg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 t="str">
        <f>IFERROR(__xludf.DUMMYFUNCTION("""COMPUTED_VALUE"""),"26172")</f>
        <v>26172</v>
      </c>
      <c r="B95" s="3" t="str">
        <f>IFERROR(__xludf.DUMMYFUNCTION("""COMPUTED_VALUE"""),"ด.ช.ยุสรอน เจ๊ะสอเหาะ")</f>
        <v>ด.ช.ยุสรอน เจ๊ะสอเหาะ</v>
      </c>
      <c r="C95" s="3" t="str">
        <f>IFERROR(__xludf.DUMMYFUNCTION("""COMPUTED_VALUE"""),"ม.1/3")</f>
        <v>ม.1/3</v>
      </c>
      <c r="D95" s="3" t="str">
        <f>IFERROR(__xludf.DUMMYFUNCTION("""COMPUTED_VALUE"""),"อก.1/3")</f>
        <v>อก.1/3</v>
      </c>
      <c r="E95" s="2" t="str">
        <f>IFERROR(__xludf.DUMMYFUNCTION("""COMPUTED_VALUE"""),"ชาย")</f>
        <v>ชาย</v>
      </c>
      <c r="F95" s="5" t="str">
        <f>IFERROR(__xludf.DUMMYFUNCTION("""COMPUTED_VALUE"""),"https://azizstan.net/student_image/26172.jpg")</f>
        <v>https://azizstan.net/student_image/26172.jpg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 t="str">
        <f>IFERROR(__xludf.DUMMYFUNCTION("""COMPUTED_VALUE"""),"26187")</f>
        <v>26187</v>
      </c>
      <c r="B96" s="3" t="str">
        <f>IFERROR(__xludf.DUMMYFUNCTION("""COMPUTED_VALUE"""),"ด.ช.อัยมัน ดาเระมูซอ")</f>
        <v>ด.ช.อัยมัน ดาเระมูซอ</v>
      </c>
      <c r="C96" s="3" t="str">
        <f>IFERROR(__xludf.DUMMYFUNCTION("""COMPUTED_VALUE"""),"ม.1/3")</f>
        <v>ม.1/3</v>
      </c>
      <c r="D96" s="3" t="str">
        <f>IFERROR(__xludf.DUMMYFUNCTION("""COMPUTED_VALUE"""),"อก.1/3")</f>
        <v>อก.1/3</v>
      </c>
      <c r="E96" s="2" t="str">
        <f>IFERROR(__xludf.DUMMYFUNCTION("""COMPUTED_VALUE"""),"ชาย")</f>
        <v>ชาย</v>
      </c>
      <c r="F96" s="5" t="str">
        <f>IFERROR(__xludf.DUMMYFUNCTION("""COMPUTED_VALUE"""),"https://azizstan.net/student_image/26187.jpg")</f>
        <v>https://azizstan.net/student_image/26187.jpg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 t="str">
        <f>IFERROR(__xludf.DUMMYFUNCTION("""COMPUTED_VALUE"""),"26220")</f>
        <v>26220</v>
      </c>
      <c r="B97" s="3" t="str">
        <f>IFERROR(__xludf.DUMMYFUNCTION("""COMPUTED_VALUE"""),"ด.ช.ซูลกิฟลี อาแด")</f>
        <v>ด.ช.ซูลกิฟลี อาแด</v>
      </c>
      <c r="C97" s="3" t="str">
        <f>IFERROR(__xludf.DUMMYFUNCTION("""COMPUTED_VALUE"""),"ม.1/3")</f>
        <v>ม.1/3</v>
      </c>
      <c r="D97" s="3" t="str">
        <f>IFERROR(__xludf.DUMMYFUNCTION("""COMPUTED_VALUE"""),"อก.1/3")</f>
        <v>อก.1/3</v>
      </c>
      <c r="E97" s="2" t="str">
        <f>IFERROR(__xludf.DUMMYFUNCTION("""COMPUTED_VALUE"""),"ชาย")</f>
        <v>ชาย</v>
      </c>
      <c r="F97" s="5" t="str">
        <f>IFERROR(__xludf.DUMMYFUNCTION("""COMPUTED_VALUE"""),"https://azizstan.net/student_image/26220.jpg")</f>
        <v>https://azizstan.net/student_image/26220.jpg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 t="str">
        <f>IFERROR(__xludf.DUMMYFUNCTION("""COMPUTED_VALUE"""),"26221")</f>
        <v>26221</v>
      </c>
      <c r="B98" s="3" t="str">
        <f>IFERROR(__xludf.DUMMYFUNCTION("""COMPUTED_VALUE"""),"ด.ช.อิรซาม ตาเละ")</f>
        <v>ด.ช.อิรซาม ตาเละ</v>
      </c>
      <c r="C98" s="3" t="str">
        <f>IFERROR(__xludf.DUMMYFUNCTION("""COMPUTED_VALUE"""),"ม.1/3")</f>
        <v>ม.1/3</v>
      </c>
      <c r="D98" s="3" t="str">
        <f>IFERROR(__xludf.DUMMYFUNCTION("""COMPUTED_VALUE"""),"อก.1/3")</f>
        <v>อก.1/3</v>
      </c>
      <c r="E98" s="2" t="str">
        <f>IFERROR(__xludf.DUMMYFUNCTION("""COMPUTED_VALUE"""),"ชาย")</f>
        <v>ชาย</v>
      </c>
      <c r="F98" s="5" t="str">
        <f>IFERROR(__xludf.DUMMYFUNCTION("""COMPUTED_VALUE"""),"https://azizstan.net/student_image/26221.jpg")</f>
        <v>https://azizstan.net/student_image/26221.jpg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 t="str">
        <f>IFERROR(__xludf.DUMMYFUNCTION("""COMPUTED_VALUE"""),"26222")</f>
        <v>26222</v>
      </c>
      <c r="B99" s="3" t="str">
        <f>IFERROR(__xludf.DUMMYFUNCTION("""COMPUTED_VALUE"""),"ด.ช.ซูฮัยมี ดามะเล๊าะ")</f>
        <v>ด.ช.ซูฮัยมี ดามะเล๊าะ</v>
      </c>
      <c r="C99" s="3" t="str">
        <f>IFERROR(__xludf.DUMMYFUNCTION("""COMPUTED_VALUE"""),"ม.1/3")</f>
        <v>ม.1/3</v>
      </c>
      <c r="D99" s="3" t="str">
        <f>IFERROR(__xludf.DUMMYFUNCTION("""COMPUTED_VALUE"""),"อก.1/3")</f>
        <v>อก.1/3</v>
      </c>
      <c r="E99" s="2" t="str">
        <f>IFERROR(__xludf.DUMMYFUNCTION("""COMPUTED_VALUE"""),"ชาย")</f>
        <v>ชาย</v>
      </c>
      <c r="F99" s="5" t="str">
        <f>IFERROR(__xludf.DUMMYFUNCTION("""COMPUTED_VALUE"""),"https://azizstan.net/student_image/26222.jpg")</f>
        <v>https://azizstan.net/student_image/26222.jpg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 t="str">
        <f>IFERROR(__xludf.DUMMYFUNCTION("""COMPUTED_VALUE"""),"26304")</f>
        <v>26304</v>
      </c>
      <c r="B100" s="3" t="str">
        <f>IFERROR(__xludf.DUMMYFUNCTION("""COMPUTED_VALUE"""),"ด.ช.ฟารุต อาแวนิ")</f>
        <v>ด.ช.ฟารุต อาแวนิ</v>
      </c>
      <c r="C100" s="3" t="str">
        <f>IFERROR(__xludf.DUMMYFUNCTION("""COMPUTED_VALUE"""),"ม.1/3")</f>
        <v>ม.1/3</v>
      </c>
      <c r="D100" s="3" t="str">
        <f>IFERROR(__xludf.DUMMYFUNCTION("""COMPUTED_VALUE"""),"อก.1/3")</f>
        <v>อก.1/3</v>
      </c>
      <c r="E100" s="2" t="str">
        <f>IFERROR(__xludf.DUMMYFUNCTION("""COMPUTED_VALUE"""),"ชาย")</f>
        <v>ชาย</v>
      </c>
      <c r="F100" s="5" t="str">
        <f>IFERROR(__xludf.DUMMYFUNCTION("""COMPUTED_VALUE"""),"https://azizstan.net/student_image/26304.jpg")</f>
        <v>https://azizstan.net/student_image/26304.jpg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 t="str">
        <f>IFERROR(__xludf.DUMMYFUNCTION("""COMPUTED_VALUE"""),"26319")</f>
        <v>26319</v>
      </c>
      <c r="B101" s="3" t="str">
        <f>IFERROR(__xludf.DUMMYFUNCTION("""COMPUTED_VALUE"""),"ด.ช.ฟากิร ดือราแม")</f>
        <v>ด.ช.ฟากิร ดือราแม</v>
      </c>
      <c r="C101" s="3" t="str">
        <f>IFERROR(__xludf.DUMMYFUNCTION("""COMPUTED_VALUE"""),"ม.1/3")</f>
        <v>ม.1/3</v>
      </c>
      <c r="D101" s="3" t="str">
        <f>IFERROR(__xludf.DUMMYFUNCTION("""COMPUTED_VALUE"""),"อก.1/3")</f>
        <v>อก.1/3</v>
      </c>
      <c r="E101" s="2" t="str">
        <f>IFERROR(__xludf.DUMMYFUNCTION("""COMPUTED_VALUE"""),"ชาย")</f>
        <v>ชาย</v>
      </c>
      <c r="F101" s="5" t="str">
        <f>IFERROR(__xludf.DUMMYFUNCTION("""COMPUTED_VALUE"""),"https://azizstan.net/student_image/26319.jpg")</f>
        <v>https://azizstan.net/student_image/26319.jpg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 t="str">
        <f>IFERROR(__xludf.DUMMYFUNCTION("""COMPUTED_VALUE"""),"26336")</f>
        <v>26336</v>
      </c>
      <c r="B102" s="3" t="str">
        <f>IFERROR(__xludf.DUMMYFUNCTION("""COMPUTED_VALUE"""),"ด.ช.นัสราน บือราเฮง")</f>
        <v>ด.ช.นัสราน บือราเฮง</v>
      </c>
      <c r="C102" s="3" t="str">
        <f>IFERROR(__xludf.DUMMYFUNCTION("""COMPUTED_VALUE"""),"ม.1/3")</f>
        <v>ม.1/3</v>
      </c>
      <c r="D102" s="3" t="str">
        <f>IFERROR(__xludf.DUMMYFUNCTION("""COMPUTED_VALUE"""),"อก.1/3")</f>
        <v>อก.1/3</v>
      </c>
      <c r="E102" s="2" t="str">
        <f>IFERROR(__xludf.DUMMYFUNCTION("""COMPUTED_VALUE"""),"ชาย")</f>
        <v>ชาย</v>
      </c>
      <c r="F102" s="5" t="str">
        <f>IFERROR(__xludf.DUMMYFUNCTION("""COMPUTED_VALUE"""),"https://azizstan.net/student_image/26336.jpg")</f>
        <v>https://azizstan.net/student_image/26336.jpg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 t="str">
        <f>IFERROR(__xludf.DUMMYFUNCTION("""COMPUTED_VALUE"""),"26356")</f>
        <v>26356</v>
      </c>
      <c r="B103" s="3" t="str">
        <f>IFERROR(__xludf.DUMMYFUNCTION("""COMPUTED_VALUE"""),"ด.ช.กฤษณ์ตะวัน ทองรอด")</f>
        <v>ด.ช.กฤษณ์ตะวัน ทองรอด</v>
      </c>
      <c r="C103" s="3" t="str">
        <f>IFERROR(__xludf.DUMMYFUNCTION("""COMPUTED_VALUE"""),"ม.1/3")</f>
        <v>ม.1/3</v>
      </c>
      <c r="D103" s="3" t="str">
        <f>IFERROR(__xludf.DUMMYFUNCTION("""COMPUTED_VALUE"""),"อก.1/3")</f>
        <v>อก.1/3</v>
      </c>
      <c r="E103" s="2" t="str">
        <f>IFERROR(__xludf.DUMMYFUNCTION("""COMPUTED_VALUE"""),"ชาย")</f>
        <v>ชาย</v>
      </c>
      <c r="F103" s="5" t="str">
        <f>IFERROR(__xludf.DUMMYFUNCTION("""COMPUTED_VALUE"""),"https://azizstan.net/student_image/26356.jpg")</f>
        <v>https://azizstan.net/student_image/26356.jpg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 t="str">
        <f>IFERROR(__xludf.DUMMYFUNCTION("""COMPUTED_VALUE"""),"26361")</f>
        <v>26361</v>
      </c>
      <c r="B104" s="3" t="str">
        <f>IFERROR(__xludf.DUMMYFUNCTION("""COMPUTED_VALUE"""),"ด.ช.มูฮำหมัดซุกรอน แวเดร์")</f>
        <v>ด.ช.มูฮำหมัดซุกรอน แวเดร์</v>
      </c>
      <c r="C104" s="3" t="str">
        <f>IFERROR(__xludf.DUMMYFUNCTION("""COMPUTED_VALUE"""),"ม.1/3")</f>
        <v>ม.1/3</v>
      </c>
      <c r="D104" s="3" t="str">
        <f>IFERROR(__xludf.DUMMYFUNCTION("""COMPUTED_VALUE"""),"อก.1/3")</f>
        <v>อก.1/3</v>
      </c>
      <c r="E104" s="2" t="str">
        <f>IFERROR(__xludf.DUMMYFUNCTION("""COMPUTED_VALUE"""),"ชาย")</f>
        <v>ชาย</v>
      </c>
      <c r="F104" s="5" t="str">
        <f>IFERROR(__xludf.DUMMYFUNCTION("""COMPUTED_VALUE"""),"https://azizstan.net/student_image/26361.jpg")</f>
        <v>https://azizstan.net/student_image/26361.jpg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 t="str">
        <f>IFERROR(__xludf.DUMMYFUNCTION("""COMPUTED_VALUE"""),"26363")</f>
        <v>26363</v>
      </c>
      <c r="B105" s="3" t="str">
        <f>IFERROR(__xludf.DUMMYFUNCTION("""COMPUTED_VALUE"""),"ด.ช.อิควันทร์ เจะมะ")</f>
        <v>ด.ช.อิควันทร์ เจะมะ</v>
      </c>
      <c r="C105" s="3" t="str">
        <f>IFERROR(__xludf.DUMMYFUNCTION("""COMPUTED_VALUE"""),"ม.1/3")</f>
        <v>ม.1/3</v>
      </c>
      <c r="D105" s="3" t="str">
        <f>IFERROR(__xludf.DUMMYFUNCTION("""COMPUTED_VALUE"""),"อก.1/3")</f>
        <v>อก.1/3</v>
      </c>
      <c r="E105" s="2" t="str">
        <f>IFERROR(__xludf.DUMMYFUNCTION("""COMPUTED_VALUE"""),"ชาย")</f>
        <v>ชาย</v>
      </c>
      <c r="F105" s="5" t="str">
        <f>IFERROR(__xludf.DUMMYFUNCTION("""COMPUTED_VALUE"""),"https://azizstan.net/student_image/26363.jpg")</f>
        <v>https://azizstan.net/student_image/26363.jpg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 t="str">
        <f>IFERROR(__xludf.DUMMYFUNCTION("""COMPUTED_VALUE"""),"26377")</f>
        <v>26377</v>
      </c>
      <c r="B106" s="3" t="str">
        <f>IFERROR(__xludf.DUMMYFUNCTION("""COMPUTED_VALUE"""),"ด.ช.ฟัรฮาน หะยียะซา")</f>
        <v>ด.ช.ฟัรฮาน หะยียะซา</v>
      </c>
      <c r="C106" s="3" t="str">
        <f>IFERROR(__xludf.DUMMYFUNCTION("""COMPUTED_VALUE"""),"ม.1/3")</f>
        <v>ม.1/3</v>
      </c>
      <c r="D106" s="3" t="str">
        <f>IFERROR(__xludf.DUMMYFUNCTION("""COMPUTED_VALUE"""),"อก.1/3")</f>
        <v>อก.1/3</v>
      </c>
      <c r="E106" s="2" t="str">
        <f>IFERROR(__xludf.DUMMYFUNCTION("""COMPUTED_VALUE"""),"ชาย")</f>
        <v>ชาย</v>
      </c>
      <c r="F106" s="5" t="str">
        <f>IFERROR(__xludf.DUMMYFUNCTION("""COMPUTED_VALUE"""),"https://azizstan.net/student_image/26377.jpg")</f>
        <v>https://azizstan.net/student_image/26377.jpg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 t="str">
        <f>IFERROR(__xludf.DUMMYFUNCTION("""COMPUTED_VALUE"""),"26378")</f>
        <v>26378</v>
      </c>
      <c r="B107" s="3" t="str">
        <f>IFERROR(__xludf.DUMMYFUNCTION("""COMPUTED_VALUE"""),"ด.ช.วารีส จินตานุสาร")</f>
        <v>ด.ช.วารีส จินตานุสาร</v>
      </c>
      <c r="C107" s="3" t="str">
        <f>IFERROR(__xludf.DUMMYFUNCTION("""COMPUTED_VALUE"""),"ม.1/3")</f>
        <v>ม.1/3</v>
      </c>
      <c r="D107" s="3" t="str">
        <f>IFERROR(__xludf.DUMMYFUNCTION("""COMPUTED_VALUE"""),"อก.1/3")</f>
        <v>อก.1/3</v>
      </c>
      <c r="E107" s="2" t="str">
        <f>IFERROR(__xludf.DUMMYFUNCTION("""COMPUTED_VALUE"""),"ชาย")</f>
        <v>ชาย</v>
      </c>
      <c r="F107" s="5" t="str">
        <f>IFERROR(__xludf.DUMMYFUNCTION("""COMPUTED_VALUE"""),"https://azizstan.net/student_image/26378.jpg")</f>
        <v>https://azizstan.net/student_image/26378.jpg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 t="str">
        <f>IFERROR(__xludf.DUMMYFUNCTION("""COMPUTED_VALUE"""),"26380")</f>
        <v>26380</v>
      </c>
      <c r="B108" s="3" t="str">
        <f>IFERROR(__xludf.DUMMYFUNCTION("""COMPUTED_VALUE"""),"ด.ช.มูฮัมหมัดฟาอิฟ บอเตาะ")</f>
        <v>ด.ช.มูฮัมหมัดฟาอิฟ บอเตาะ</v>
      </c>
      <c r="C108" s="3" t="str">
        <f>IFERROR(__xludf.DUMMYFUNCTION("""COMPUTED_VALUE"""),"ม.1/3")</f>
        <v>ม.1/3</v>
      </c>
      <c r="D108" s="3" t="str">
        <f>IFERROR(__xludf.DUMMYFUNCTION("""COMPUTED_VALUE"""),"อก.1/3")</f>
        <v>อก.1/3</v>
      </c>
      <c r="E108" s="2" t="str">
        <f>IFERROR(__xludf.DUMMYFUNCTION("""COMPUTED_VALUE"""),"ชาย")</f>
        <v>ชาย</v>
      </c>
      <c r="F108" s="5" t="str">
        <f>IFERROR(__xludf.DUMMYFUNCTION("""COMPUTED_VALUE"""),"https://azizstan.net/student_image/26380.jpg")</f>
        <v>https://azizstan.net/student_image/26380.jpg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 t="str">
        <f>IFERROR(__xludf.DUMMYFUNCTION("""COMPUTED_VALUE"""),"26382")</f>
        <v>26382</v>
      </c>
      <c r="B109" s="3" t="str">
        <f>IFERROR(__xludf.DUMMYFUNCTION("""COMPUTED_VALUE"""),"ด.ช.อับดุลเลาะ มอน๊อง")</f>
        <v>ด.ช.อับดุลเลาะ มอน๊อง</v>
      </c>
      <c r="C109" s="3" t="str">
        <f>IFERROR(__xludf.DUMMYFUNCTION("""COMPUTED_VALUE"""),"ม.1/3")</f>
        <v>ม.1/3</v>
      </c>
      <c r="D109" s="3" t="str">
        <f>IFERROR(__xludf.DUMMYFUNCTION("""COMPUTED_VALUE"""),"อก.1/3")</f>
        <v>อก.1/3</v>
      </c>
      <c r="E109" s="2" t="str">
        <f>IFERROR(__xludf.DUMMYFUNCTION("""COMPUTED_VALUE"""),"ชาย")</f>
        <v>ชาย</v>
      </c>
      <c r="F109" s="5" t="str">
        <f>IFERROR(__xludf.DUMMYFUNCTION("""COMPUTED_VALUE"""),"https://azizstan.net/student_image/26382.jpg")</f>
        <v>https://azizstan.net/student_image/26382.jpg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 t="str">
        <f>IFERROR(__xludf.DUMMYFUNCTION("""COMPUTED_VALUE"""),"26383")</f>
        <v>26383</v>
      </c>
      <c r="B110" s="3" t="str">
        <f>IFERROR(__xludf.DUMMYFUNCTION("""COMPUTED_VALUE"""),"ด.ช.กฤตชยกันต์ เจ๊ะแล๊ะ")</f>
        <v>ด.ช.กฤตชยกันต์ เจ๊ะแล๊ะ</v>
      </c>
      <c r="C110" s="3" t="str">
        <f>IFERROR(__xludf.DUMMYFUNCTION("""COMPUTED_VALUE"""),"ม.1/3")</f>
        <v>ม.1/3</v>
      </c>
      <c r="D110" s="3" t="str">
        <f>IFERROR(__xludf.DUMMYFUNCTION("""COMPUTED_VALUE"""),"อก.1/3")</f>
        <v>อก.1/3</v>
      </c>
      <c r="E110" s="2" t="str">
        <f>IFERROR(__xludf.DUMMYFUNCTION("""COMPUTED_VALUE"""),"ชาย")</f>
        <v>ชาย</v>
      </c>
      <c r="F110" s="5" t="str">
        <f>IFERROR(__xludf.DUMMYFUNCTION("""COMPUTED_VALUE"""),"https://azizstan.net/student_image/26383.jpg")</f>
        <v>https://azizstan.net/student_image/26383.jpg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 t="str">
        <f>IFERROR(__xludf.DUMMYFUNCTION("""COMPUTED_VALUE"""),"26384")</f>
        <v>26384</v>
      </c>
      <c r="B111" s="3" t="str">
        <f>IFERROR(__xludf.DUMMYFUNCTION("""COMPUTED_VALUE"""),"ด.ช.บัซรีย์ สะอะ")</f>
        <v>ด.ช.บัซรีย์ สะอะ</v>
      </c>
      <c r="C111" s="3" t="str">
        <f>IFERROR(__xludf.DUMMYFUNCTION("""COMPUTED_VALUE"""),"ม.1/3")</f>
        <v>ม.1/3</v>
      </c>
      <c r="D111" s="3" t="str">
        <f>IFERROR(__xludf.DUMMYFUNCTION("""COMPUTED_VALUE"""),"อก.1/3")</f>
        <v>อก.1/3</v>
      </c>
      <c r="E111" s="2" t="str">
        <f>IFERROR(__xludf.DUMMYFUNCTION("""COMPUTED_VALUE"""),"ชาย")</f>
        <v>ชาย</v>
      </c>
      <c r="F111" s="5" t="str">
        <f>IFERROR(__xludf.DUMMYFUNCTION("""COMPUTED_VALUE"""),"https://azizstan.net/student_image/26384.jpg")</f>
        <v>https://azizstan.net/student_image/26384.jpg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 t="str">
        <f>IFERROR(__xludf.DUMMYFUNCTION("""COMPUTED_VALUE"""),"26386")</f>
        <v>26386</v>
      </c>
      <c r="B112" s="3" t="str">
        <f>IFERROR(__xludf.DUMMYFUNCTION("""COMPUTED_VALUE"""),"ด.ช.ซัลซาบีล สาและ")</f>
        <v>ด.ช.ซัลซาบีล สาและ</v>
      </c>
      <c r="C112" s="3" t="str">
        <f>IFERROR(__xludf.DUMMYFUNCTION("""COMPUTED_VALUE"""),"ม.1/3")</f>
        <v>ม.1/3</v>
      </c>
      <c r="D112" s="3" t="str">
        <f>IFERROR(__xludf.DUMMYFUNCTION("""COMPUTED_VALUE"""),"อก.1/3")</f>
        <v>อก.1/3</v>
      </c>
      <c r="E112" s="2" t="str">
        <f>IFERROR(__xludf.DUMMYFUNCTION("""COMPUTED_VALUE"""),"ชาย")</f>
        <v>ชาย</v>
      </c>
      <c r="F112" s="5" t="str">
        <f>IFERROR(__xludf.DUMMYFUNCTION("""COMPUTED_VALUE"""),"https://azizstan.net/student_image/26386.jpg")</f>
        <v>https://azizstan.net/student_image/26386.jpg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 t="str">
        <f>IFERROR(__xludf.DUMMYFUNCTION("""COMPUTED_VALUE"""),"26449")</f>
        <v>26449</v>
      </c>
      <c r="B113" s="3" t="str">
        <f>IFERROR(__xludf.DUMMYFUNCTION("""COMPUTED_VALUE"""),"ด.ช.นิอิคฟาน สะมาลา")</f>
        <v>ด.ช.นิอิคฟาน สะมาลา</v>
      </c>
      <c r="C113" s="3" t="str">
        <f>IFERROR(__xludf.DUMMYFUNCTION("""COMPUTED_VALUE"""),"ม.1/3")</f>
        <v>ม.1/3</v>
      </c>
      <c r="D113" s="3" t="str">
        <f>IFERROR(__xludf.DUMMYFUNCTION("""COMPUTED_VALUE"""),"อก.1/3")</f>
        <v>อก.1/3</v>
      </c>
      <c r="E113" s="2" t="str">
        <f>IFERROR(__xludf.DUMMYFUNCTION("""COMPUTED_VALUE"""),"ชาย")</f>
        <v>ชาย</v>
      </c>
      <c r="F113" s="5" t="str">
        <f>IFERROR(__xludf.DUMMYFUNCTION("""COMPUTED_VALUE"""),"https://azizstan.net/student_image/26449.jpg")</f>
        <v>https://azizstan.net/student_image/26449.jpg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 t="str">
        <f>IFERROR(__xludf.DUMMYFUNCTION("""COMPUTED_VALUE"""),"26478")</f>
        <v>26478</v>
      </c>
      <c r="B114" s="3" t="str">
        <f>IFERROR(__xludf.DUMMYFUNCTION("""COMPUTED_VALUE"""),"ด.ช.มูฮัมหมัดฮานาฟี อาแว")</f>
        <v>ด.ช.มูฮัมหมัดฮานาฟี อาแว</v>
      </c>
      <c r="C114" s="3" t="str">
        <f>IFERROR(__xludf.DUMMYFUNCTION("""COMPUTED_VALUE"""),"ม.1/3")</f>
        <v>ม.1/3</v>
      </c>
      <c r="D114" s="3" t="str">
        <f>IFERROR(__xludf.DUMMYFUNCTION("""COMPUTED_VALUE"""),"อก.1/3")</f>
        <v>อก.1/3</v>
      </c>
      <c r="E114" s="2" t="str">
        <f>IFERROR(__xludf.DUMMYFUNCTION("""COMPUTED_VALUE"""),"ชาย")</f>
        <v>ชาย</v>
      </c>
      <c r="F114" s="5" t="str">
        <f>IFERROR(__xludf.DUMMYFUNCTION("""COMPUTED_VALUE"""),"https://azizstan.net/student_image/26478.jpg")</f>
        <v>https://azizstan.net/student_image/26478.jpg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 t="str">
        <f>IFERROR(__xludf.DUMMYFUNCTION("""COMPUTED_VALUE"""),"26496")</f>
        <v>26496</v>
      </c>
      <c r="B115" s="3" t="str">
        <f>IFERROR(__xludf.DUMMYFUNCTION("""COMPUTED_VALUE"""),"ด.ช.อับดุลคอบีร สะมะแอ")</f>
        <v>ด.ช.อับดุลคอบีร สะมะแอ</v>
      </c>
      <c r="C115" s="3" t="str">
        <f>IFERROR(__xludf.DUMMYFUNCTION("""COMPUTED_VALUE"""),"ม.1/3")</f>
        <v>ม.1/3</v>
      </c>
      <c r="D115" s="3" t="str">
        <f>IFERROR(__xludf.DUMMYFUNCTION("""COMPUTED_VALUE"""),"อก.1/3")</f>
        <v>อก.1/3</v>
      </c>
      <c r="E115" s="2" t="str">
        <f>IFERROR(__xludf.DUMMYFUNCTION("""COMPUTED_VALUE"""),"ชาย")</f>
        <v>ชาย</v>
      </c>
      <c r="F115" s="5" t="str">
        <f>IFERROR(__xludf.DUMMYFUNCTION("""COMPUTED_VALUE"""),"https://azizstan.net/student_image/26496.jpg")</f>
        <v>https://azizstan.net/student_image/26496.jpg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 t="str">
        <f>IFERROR(__xludf.DUMMYFUNCTION("""COMPUTED_VALUE"""),"26498")</f>
        <v>26498</v>
      </c>
      <c r="B116" s="3" t="str">
        <f>IFERROR(__xludf.DUMMYFUNCTION("""COMPUTED_VALUE"""),"ด.ช.ฮัมดี กอและ")</f>
        <v>ด.ช.ฮัมดี กอและ</v>
      </c>
      <c r="C116" s="3" t="str">
        <f>IFERROR(__xludf.DUMMYFUNCTION("""COMPUTED_VALUE"""),"ม.1/3")</f>
        <v>ม.1/3</v>
      </c>
      <c r="D116" s="3" t="str">
        <f>IFERROR(__xludf.DUMMYFUNCTION("""COMPUTED_VALUE"""),"อก.1/3")</f>
        <v>อก.1/3</v>
      </c>
      <c r="E116" s="2" t="str">
        <f>IFERROR(__xludf.DUMMYFUNCTION("""COMPUTED_VALUE"""),"ชาย")</f>
        <v>ชาย</v>
      </c>
      <c r="F116" s="5" t="str">
        <f>IFERROR(__xludf.DUMMYFUNCTION("""COMPUTED_VALUE"""),"https://azizstan.net/student_image/26498.jpg")</f>
        <v>https://azizstan.net/student_image/26498.jpg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 t="str">
        <f>IFERROR(__xludf.DUMMYFUNCTION("""COMPUTED_VALUE"""),"26499")</f>
        <v>26499</v>
      </c>
      <c r="B117" s="3" t="str">
        <f>IFERROR(__xludf.DUMMYFUNCTION("""COMPUTED_VALUE"""),"ด.ช.อามีน สะมาแอ")</f>
        <v>ด.ช.อามีน สะมาแอ</v>
      </c>
      <c r="C117" s="3" t="str">
        <f>IFERROR(__xludf.DUMMYFUNCTION("""COMPUTED_VALUE"""),"ม.1/3")</f>
        <v>ม.1/3</v>
      </c>
      <c r="D117" s="3" t="str">
        <f>IFERROR(__xludf.DUMMYFUNCTION("""COMPUTED_VALUE"""),"อก.1/3")</f>
        <v>อก.1/3</v>
      </c>
      <c r="E117" s="2" t="str">
        <f>IFERROR(__xludf.DUMMYFUNCTION("""COMPUTED_VALUE"""),"ชาย")</f>
        <v>ชาย</v>
      </c>
      <c r="F117" s="5" t="str">
        <f>IFERROR(__xludf.DUMMYFUNCTION("""COMPUTED_VALUE"""),"https://azizstan.net/student_image/26499.jpg")</f>
        <v>https://azizstan.net/student_image/26499.jpg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 t="str">
        <f>IFERROR(__xludf.DUMMYFUNCTION("""COMPUTED_VALUE"""),"26500")</f>
        <v>26500</v>
      </c>
      <c r="B118" s="3" t="str">
        <f>IFERROR(__xludf.DUMMYFUNCTION("""COMPUTED_VALUE"""),"ด.ช.แวนัศรูน แวหะมะ")</f>
        <v>ด.ช.แวนัศรูน แวหะมะ</v>
      </c>
      <c r="C118" s="3" t="str">
        <f>IFERROR(__xludf.DUMMYFUNCTION("""COMPUTED_VALUE"""),"ม.1/3")</f>
        <v>ม.1/3</v>
      </c>
      <c r="D118" s="3" t="str">
        <f>IFERROR(__xludf.DUMMYFUNCTION("""COMPUTED_VALUE"""),"อก.1/3")</f>
        <v>อก.1/3</v>
      </c>
      <c r="E118" s="2" t="str">
        <f>IFERROR(__xludf.DUMMYFUNCTION("""COMPUTED_VALUE"""),"ชาย")</f>
        <v>ชาย</v>
      </c>
      <c r="F118" s="5" t="str">
        <f>IFERROR(__xludf.DUMMYFUNCTION("""COMPUTED_VALUE"""),"https://azizstan.net/student_image/26500.jpg")</f>
        <v>https://azizstan.net/student_image/26500.jpg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 t="str">
        <f>IFERROR(__xludf.DUMMYFUNCTION("""COMPUTED_VALUE"""),"26703")</f>
        <v>26703</v>
      </c>
      <c r="B119" s="3" t="str">
        <f>IFERROR(__xludf.DUMMYFUNCTION("""COMPUTED_VALUE"""),"ด.ช.อับดุลวาซิส สาและ")</f>
        <v>ด.ช.อับดุลวาซิส สาและ</v>
      </c>
      <c r="C119" s="3" t="str">
        <f>IFERROR(__xludf.DUMMYFUNCTION("""COMPUTED_VALUE"""),"ม.1/3")</f>
        <v>ม.1/3</v>
      </c>
      <c r="D119" s="3" t="str">
        <f>IFERROR(__xludf.DUMMYFUNCTION("""COMPUTED_VALUE"""),"อก.1/3")</f>
        <v>อก.1/3</v>
      </c>
      <c r="E119" s="2" t="str">
        <f>IFERROR(__xludf.DUMMYFUNCTION("""COMPUTED_VALUE"""),"ชาย")</f>
        <v>ชาย</v>
      </c>
      <c r="F119" s="5" t="str">
        <f>IFERROR(__xludf.DUMMYFUNCTION("""COMPUTED_VALUE"""),"https://azizstan.net/student_image/26703.jpg")</f>
        <v>https://azizstan.net/student_image/26703.jpg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 t="str">
        <f>IFERROR(__xludf.DUMMYFUNCTION("""COMPUTED_VALUE"""),"26812")</f>
        <v>26812</v>
      </c>
      <c r="B120" s="3" t="str">
        <f>IFERROR(__xludf.DUMMYFUNCTION("""COMPUTED_VALUE"""),"ด.ช.มูฮัมหมัดซากีรีน มะยี")</f>
        <v>ด.ช.มูฮัมหมัดซากีรีน มะยี</v>
      </c>
      <c r="C120" s="3" t="str">
        <f>IFERROR(__xludf.DUMMYFUNCTION("""COMPUTED_VALUE"""),"ม.1/3")</f>
        <v>ม.1/3</v>
      </c>
      <c r="D120" s="3" t="str">
        <f>IFERROR(__xludf.DUMMYFUNCTION("""COMPUTED_VALUE"""),"อก.1/3")</f>
        <v>อก.1/3</v>
      </c>
      <c r="E120" s="2" t="str">
        <f>IFERROR(__xludf.DUMMYFUNCTION("""COMPUTED_VALUE"""),"ชาย")</f>
        <v>ชาย</v>
      </c>
      <c r="F120" s="5" t="str">
        <f>IFERROR(__xludf.DUMMYFUNCTION("""COMPUTED_VALUE"""),"https://azizstan.net/student_image/26812.jpg")</f>
        <v>https://azizstan.net/student_image/26812.jpg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 t="str">
        <f>IFERROR(__xludf.DUMMYFUNCTION("""COMPUTED_VALUE"""),"26042")</f>
        <v>26042</v>
      </c>
      <c r="B121" s="3" t="str">
        <f>IFERROR(__xludf.DUMMYFUNCTION("""COMPUTED_VALUE"""),"ด.ช.นิอัรฟาน ตาเห")</f>
        <v>ด.ช.นิอัรฟาน ตาเห</v>
      </c>
      <c r="C121" s="3" t="str">
        <f>IFERROR(__xludf.DUMMYFUNCTION("""COMPUTED_VALUE"""),"ม.1/4")</f>
        <v>ม.1/4</v>
      </c>
      <c r="D121" s="3" t="str">
        <f>IFERROR(__xludf.DUMMYFUNCTION("""COMPUTED_VALUE"""),"PR 1/4")</f>
        <v>PR 1/4</v>
      </c>
      <c r="E121" s="2" t="str">
        <f>IFERROR(__xludf.DUMMYFUNCTION("""COMPUTED_VALUE"""),"ชาย")</f>
        <v>ชาย</v>
      </c>
      <c r="F121" s="5" t="str">
        <f>IFERROR(__xludf.DUMMYFUNCTION("""COMPUTED_VALUE"""),"https://azizstan.net/student_image/26042.jpg")</f>
        <v>https://azizstan.net/student_image/26042.jpg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 t="str">
        <f>IFERROR(__xludf.DUMMYFUNCTION("""COMPUTED_VALUE"""),"26101")</f>
        <v>26101</v>
      </c>
      <c r="B122" s="3" t="str">
        <f>IFERROR(__xludf.DUMMYFUNCTION("""COMPUTED_VALUE"""),"ด.ช.มูฮัมหมัดอินซาน หวังนุรักษ์")</f>
        <v>ด.ช.มูฮัมหมัดอินซาน หวังนุรักษ์</v>
      </c>
      <c r="C122" s="3" t="str">
        <f>IFERROR(__xludf.DUMMYFUNCTION("""COMPUTED_VALUE"""),"ม.1/4")</f>
        <v>ม.1/4</v>
      </c>
      <c r="D122" s="3" t="str">
        <f>IFERROR(__xludf.DUMMYFUNCTION("""COMPUTED_VALUE"""),"PR 1/4")</f>
        <v>PR 1/4</v>
      </c>
      <c r="E122" s="2" t="str">
        <f>IFERROR(__xludf.DUMMYFUNCTION("""COMPUTED_VALUE"""),"ชาย")</f>
        <v>ชาย</v>
      </c>
      <c r="F122" s="5" t="str">
        <f>IFERROR(__xludf.DUMMYFUNCTION("""COMPUTED_VALUE"""),"https://azizstan.net/student_image/26101.jpg")</f>
        <v>https://azizstan.net/student_image/26101.jpg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 t="str">
        <f>IFERROR(__xludf.DUMMYFUNCTION("""COMPUTED_VALUE"""),"26102")</f>
        <v>26102</v>
      </c>
      <c r="B123" s="3" t="str">
        <f>IFERROR(__xludf.DUMMYFUNCTION("""COMPUTED_VALUE"""),"ด.ช.ฟิรฮาน หะมะ")</f>
        <v>ด.ช.ฟิรฮาน หะมะ</v>
      </c>
      <c r="C123" s="3" t="str">
        <f>IFERROR(__xludf.DUMMYFUNCTION("""COMPUTED_VALUE"""),"ม.1/4")</f>
        <v>ม.1/4</v>
      </c>
      <c r="D123" s="3" t="str">
        <f>IFERROR(__xludf.DUMMYFUNCTION("""COMPUTED_VALUE"""),"PR 1/4")</f>
        <v>PR 1/4</v>
      </c>
      <c r="E123" s="2" t="str">
        <f>IFERROR(__xludf.DUMMYFUNCTION("""COMPUTED_VALUE"""),"ชาย")</f>
        <v>ชาย</v>
      </c>
      <c r="F123" s="5" t="str">
        <f>IFERROR(__xludf.DUMMYFUNCTION("""COMPUTED_VALUE"""),"https://azizstan.net/student_image/26102.jpg")</f>
        <v>https://azizstan.net/student_image/26102.jpg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 t="str">
        <f>IFERROR(__xludf.DUMMYFUNCTION("""COMPUTED_VALUE"""),"26156")</f>
        <v>26156</v>
      </c>
      <c r="B124" s="3" t="str">
        <f>IFERROR(__xludf.DUMMYFUNCTION("""COMPUTED_VALUE"""),"ด.ช.อนิส แวหะยี")</f>
        <v>ด.ช.อนิส แวหะยี</v>
      </c>
      <c r="C124" s="3" t="str">
        <f>IFERROR(__xludf.DUMMYFUNCTION("""COMPUTED_VALUE"""),"ม.1/4")</f>
        <v>ม.1/4</v>
      </c>
      <c r="D124" s="3" t="str">
        <f>IFERROR(__xludf.DUMMYFUNCTION("""COMPUTED_VALUE"""),"PR 1/4")</f>
        <v>PR 1/4</v>
      </c>
      <c r="E124" s="2" t="str">
        <f>IFERROR(__xludf.DUMMYFUNCTION("""COMPUTED_VALUE"""),"ชาย")</f>
        <v>ชาย</v>
      </c>
      <c r="F124" s="5" t="str">
        <f>IFERROR(__xludf.DUMMYFUNCTION("""COMPUTED_VALUE"""),"https://azizstan.net/student_image/26156.jpg")</f>
        <v>https://azizstan.net/student_image/26156.jpg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 t="str">
        <f>IFERROR(__xludf.DUMMYFUNCTION("""COMPUTED_VALUE"""),"26161")</f>
        <v>26161</v>
      </c>
      <c r="B125" s="3" t="str">
        <f>IFERROR(__xludf.DUMMYFUNCTION("""COMPUTED_VALUE"""),"ด.ช.อัมรัน มะมิง")</f>
        <v>ด.ช.อัมรัน มะมิง</v>
      </c>
      <c r="C125" s="3" t="str">
        <f>IFERROR(__xludf.DUMMYFUNCTION("""COMPUTED_VALUE"""),"ม.1/4")</f>
        <v>ม.1/4</v>
      </c>
      <c r="D125" s="3" t="str">
        <f>IFERROR(__xludf.DUMMYFUNCTION("""COMPUTED_VALUE"""),"PR 1/4")</f>
        <v>PR 1/4</v>
      </c>
      <c r="E125" s="2" t="str">
        <f>IFERROR(__xludf.DUMMYFUNCTION("""COMPUTED_VALUE"""),"ชาย")</f>
        <v>ชาย</v>
      </c>
      <c r="F125" s="5" t="str">
        <f>IFERROR(__xludf.DUMMYFUNCTION("""COMPUTED_VALUE"""),"https://azizstan.net/student_image/26161.jpg")</f>
        <v>https://azizstan.net/student_image/26161.jpg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 t="str">
        <f>IFERROR(__xludf.DUMMYFUNCTION("""COMPUTED_VALUE"""),"26184")</f>
        <v>26184</v>
      </c>
      <c r="B126" s="3" t="str">
        <f>IFERROR(__xludf.DUMMYFUNCTION("""COMPUTED_VALUE"""),"ด.ช.อับดุลคอริด กะลูแป")</f>
        <v>ด.ช.อับดุลคอริด กะลูแป</v>
      </c>
      <c r="C126" s="3" t="str">
        <f>IFERROR(__xludf.DUMMYFUNCTION("""COMPUTED_VALUE"""),"ม.1/4")</f>
        <v>ม.1/4</v>
      </c>
      <c r="D126" s="3" t="str">
        <f>IFERROR(__xludf.DUMMYFUNCTION("""COMPUTED_VALUE"""),"PR 1/4")</f>
        <v>PR 1/4</v>
      </c>
      <c r="E126" s="2" t="str">
        <f>IFERROR(__xludf.DUMMYFUNCTION("""COMPUTED_VALUE"""),"ชาย")</f>
        <v>ชาย</v>
      </c>
      <c r="F126" s="5" t="str">
        <f>IFERROR(__xludf.DUMMYFUNCTION("""COMPUTED_VALUE"""),"https://azizstan.net/student_image/26184.jpg")</f>
        <v>https://azizstan.net/student_image/26184.jpg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 t="str">
        <f>IFERROR(__xludf.DUMMYFUNCTION("""COMPUTED_VALUE"""),"26189")</f>
        <v>26189</v>
      </c>
      <c r="B127" s="3" t="str">
        <f>IFERROR(__xludf.DUMMYFUNCTION("""COMPUTED_VALUE"""),"ด.ช.ซูไลมาน สะมะแอ")</f>
        <v>ด.ช.ซูไลมาน สะมะแอ</v>
      </c>
      <c r="C127" s="3" t="str">
        <f>IFERROR(__xludf.DUMMYFUNCTION("""COMPUTED_VALUE"""),"ม.1/4")</f>
        <v>ม.1/4</v>
      </c>
      <c r="D127" s="3" t="str">
        <f>IFERROR(__xludf.DUMMYFUNCTION("""COMPUTED_VALUE"""),"PR 1/4")</f>
        <v>PR 1/4</v>
      </c>
      <c r="E127" s="2" t="str">
        <f>IFERROR(__xludf.DUMMYFUNCTION("""COMPUTED_VALUE"""),"ชาย")</f>
        <v>ชาย</v>
      </c>
      <c r="F127" s="5" t="str">
        <f>IFERROR(__xludf.DUMMYFUNCTION("""COMPUTED_VALUE"""),"https://azizstan.net/student_image/26189.jpg")</f>
        <v>https://azizstan.net/student_image/26189.jpg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 t="str">
        <f>IFERROR(__xludf.DUMMYFUNCTION("""COMPUTED_VALUE"""),"26206")</f>
        <v>26206</v>
      </c>
      <c r="B128" s="3" t="str">
        <f>IFERROR(__xludf.DUMMYFUNCTION("""COMPUTED_VALUE"""),"ด.ช.นิอิรฟาน มีเนาะ")</f>
        <v>ด.ช.นิอิรฟาน มีเนาะ</v>
      </c>
      <c r="C128" s="3" t="str">
        <f>IFERROR(__xludf.DUMMYFUNCTION("""COMPUTED_VALUE"""),"ม.1/4")</f>
        <v>ม.1/4</v>
      </c>
      <c r="D128" s="3" t="str">
        <f>IFERROR(__xludf.DUMMYFUNCTION("""COMPUTED_VALUE"""),"PR 1/4")</f>
        <v>PR 1/4</v>
      </c>
      <c r="E128" s="2" t="str">
        <f>IFERROR(__xludf.DUMMYFUNCTION("""COMPUTED_VALUE"""),"ชาย")</f>
        <v>ชาย</v>
      </c>
      <c r="F128" s="5" t="str">
        <f>IFERROR(__xludf.DUMMYFUNCTION("""COMPUTED_VALUE"""),"https://azizstan.net/student_image/26206.jpg")</f>
        <v>https://azizstan.net/student_image/26206.jpg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 t="str">
        <f>IFERROR(__xludf.DUMMYFUNCTION("""COMPUTED_VALUE"""),"26254")</f>
        <v>26254</v>
      </c>
      <c r="B129" s="3" t="str">
        <f>IFERROR(__xludf.DUMMYFUNCTION("""COMPUTED_VALUE"""),"ด.ช.อิลฮาม สาและ")</f>
        <v>ด.ช.อิลฮาม สาและ</v>
      </c>
      <c r="C129" s="3" t="str">
        <f>IFERROR(__xludf.DUMMYFUNCTION("""COMPUTED_VALUE"""),"ม.1/4")</f>
        <v>ม.1/4</v>
      </c>
      <c r="D129" s="3" t="str">
        <f>IFERROR(__xludf.DUMMYFUNCTION("""COMPUTED_VALUE"""),"PR 1/4")</f>
        <v>PR 1/4</v>
      </c>
      <c r="E129" s="2" t="str">
        <f>IFERROR(__xludf.DUMMYFUNCTION("""COMPUTED_VALUE"""),"ชาย")</f>
        <v>ชาย</v>
      </c>
      <c r="F129" s="5" t="str">
        <f>IFERROR(__xludf.DUMMYFUNCTION("""COMPUTED_VALUE"""),"https://azizstan.net/student_image/26254.jpg")</f>
        <v>https://azizstan.net/student_image/26254.jpg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 t="str">
        <f>IFERROR(__xludf.DUMMYFUNCTION("""COMPUTED_VALUE"""),"26258")</f>
        <v>26258</v>
      </c>
      <c r="B130" s="3" t="str">
        <f>IFERROR(__xludf.DUMMYFUNCTION("""COMPUTED_VALUE"""),"ด.ช.นัสรี เจ๊ะมะ")</f>
        <v>ด.ช.นัสรี เจ๊ะมะ</v>
      </c>
      <c r="C130" s="3" t="str">
        <f>IFERROR(__xludf.DUMMYFUNCTION("""COMPUTED_VALUE"""),"ม.1/4")</f>
        <v>ม.1/4</v>
      </c>
      <c r="D130" s="3" t="str">
        <f>IFERROR(__xludf.DUMMYFUNCTION("""COMPUTED_VALUE"""),"PR 1/4")</f>
        <v>PR 1/4</v>
      </c>
      <c r="E130" s="2" t="str">
        <f>IFERROR(__xludf.DUMMYFUNCTION("""COMPUTED_VALUE"""),"ชาย")</f>
        <v>ชาย</v>
      </c>
      <c r="F130" s="5" t="str">
        <f>IFERROR(__xludf.DUMMYFUNCTION("""COMPUTED_VALUE"""),"https://azizstan.net/student_image/26258.jpg")</f>
        <v>https://azizstan.net/student_image/26258.jpg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 t="str">
        <f>IFERROR(__xludf.DUMMYFUNCTION("""COMPUTED_VALUE"""),"26269")</f>
        <v>26269</v>
      </c>
      <c r="B131" s="3" t="str">
        <f>IFERROR(__xludf.DUMMYFUNCTION("""COMPUTED_VALUE"""),"ด.ช.มูฮัมหมัดอามีน หะมะ")</f>
        <v>ด.ช.มูฮัมหมัดอามีน หะมะ</v>
      </c>
      <c r="C131" s="3" t="str">
        <f>IFERROR(__xludf.DUMMYFUNCTION("""COMPUTED_VALUE"""),"ม.1/4")</f>
        <v>ม.1/4</v>
      </c>
      <c r="D131" s="3" t="str">
        <f>IFERROR(__xludf.DUMMYFUNCTION("""COMPUTED_VALUE"""),"PR 1/4")</f>
        <v>PR 1/4</v>
      </c>
      <c r="E131" s="2" t="str">
        <f>IFERROR(__xludf.DUMMYFUNCTION("""COMPUTED_VALUE"""),"ชาย")</f>
        <v>ชาย</v>
      </c>
      <c r="F131" s="5" t="str">
        <f>IFERROR(__xludf.DUMMYFUNCTION("""COMPUTED_VALUE"""),"https://azizstan.net/student_image/26269.jpg")</f>
        <v>https://azizstan.net/student_image/26269.jpg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 t="str">
        <f>IFERROR(__xludf.DUMMYFUNCTION("""COMPUTED_VALUE"""),"26274")</f>
        <v>26274</v>
      </c>
      <c r="B132" s="3" t="str">
        <f>IFERROR(__xludf.DUMMYFUNCTION("""COMPUTED_VALUE"""),"ด.ช.ฟารุ รอฮิง")</f>
        <v>ด.ช.ฟารุ รอฮิง</v>
      </c>
      <c r="C132" s="3" t="str">
        <f>IFERROR(__xludf.DUMMYFUNCTION("""COMPUTED_VALUE"""),"ม.1/4")</f>
        <v>ม.1/4</v>
      </c>
      <c r="D132" s="3" t="str">
        <f>IFERROR(__xludf.DUMMYFUNCTION("""COMPUTED_VALUE"""),"PR 1/4")</f>
        <v>PR 1/4</v>
      </c>
      <c r="E132" s="2" t="str">
        <f>IFERROR(__xludf.DUMMYFUNCTION("""COMPUTED_VALUE"""),"ชาย")</f>
        <v>ชาย</v>
      </c>
      <c r="F132" s="5" t="str">
        <f>IFERROR(__xludf.DUMMYFUNCTION("""COMPUTED_VALUE"""),"https://azizstan.net/student_image/26274.jpg")</f>
        <v>https://azizstan.net/student_image/26274.jpg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 t="str">
        <f>IFERROR(__xludf.DUMMYFUNCTION("""COMPUTED_VALUE"""),"26275")</f>
        <v>26275</v>
      </c>
      <c r="B133" s="3" t="str">
        <f>IFERROR(__xludf.DUMMYFUNCTION("""COMPUTED_VALUE"""),"ด.ช.ซูฮัย แลฮา")</f>
        <v>ด.ช.ซูฮัย แลฮา</v>
      </c>
      <c r="C133" s="3" t="str">
        <f>IFERROR(__xludf.DUMMYFUNCTION("""COMPUTED_VALUE"""),"ม.1/4")</f>
        <v>ม.1/4</v>
      </c>
      <c r="D133" s="3" t="str">
        <f>IFERROR(__xludf.DUMMYFUNCTION("""COMPUTED_VALUE"""),"PR 1/4")</f>
        <v>PR 1/4</v>
      </c>
      <c r="E133" s="2" t="str">
        <f>IFERROR(__xludf.DUMMYFUNCTION("""COMPUTED_VALUE"""),"ชาย")</f>
        <v>ชาย</v>
      </c>
      <c r="F133" s="5" t="str">
        <f>IFERROR(__xludf.DUMMYFUNCTION("""COMPUTED_VALUE"""),"https://azizstan.net/student_image/26275.jpg")</f>
        <v>https://azizstan.net/student_image/26275.jpg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 t="str">
        <f>IFERROR(__xludf.DUMMYFUNCTION("""COMPUTED_VALUE"""),"26295")</f>
        <v>26295</v>
      </c>
      <c r="B134" s="3" t="str">
        <f>IFERROR(__xludf.DUMMYFUNCTION("""COMPUTED_VALUE"""),"ด.ช.มูฮัมหมัดบัดรี ดือเร๊ะ")</f>
        <v>ด.ช.มูฮัมหมัดบัดรี ดือเร๊ะ</v>
      </c>
      <c r="C134" s="3" t="str">
        <f>IFERROR(__xludf.DUMMYFUNCTION("""COMPUTED_VALUE"""),"ม.1/4")</f>
        <v>ม.1/4</v>
      </c>
      <c r="D134" s="3" t="str">
        <f>IFERROR(__xludf.DUMMYFUNCTION("""COMPUTED_VALUE"""),"PR 1/4")</f>
        <v>PR 1/4</v>
      </c>
      <c r="E134" s="2" t="str">
        <f>IFERROR(__xludf.DUMMYFUNCTION("""COMPUTED_VALUE"""),"ชาย")</f>
        <v>ชาย</v>
      </c>
      <c r="F134" s="5" t="str">
        <f>IFERROR(__xludf.DUMMYFUNCTION("""COMPUTED_VALUE"""),"https://azizstan.net/student_image/26295.jpg")</f>
        <v>https://azizstan.net/student_image/26295.jpg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 t="str">
        <f>IFERROR(__xludf.DUMMYFUNCTION("""COMPUTED_VALUE"""),"26301")</f>
        <v>26301</v>
      </c>
      <c r="B135" s="3" t="str">
        <f>IFERROR(__xludf.DUMMYFUNCTION("""COMPUTED_VALUE"""),"ด.ช.อิมรอล ยะฝาด")</f>
        <v>ด.ช.อิมรอล ยะฝาด</v>
      </c>
      <c r="C135" s="3" t="str">
        <f>IFERROR(__xludf.DUMMYFUNCTION("""COMPUTED_VALUE"""),"ม.1/4")</f>
        <v>ม.1/4</v>
      </c>
      <c r="D135" s="3" t="str">
        <f>IFERROR(__xludf.DUMMYFUNCTION("""COMPUTED_VALUE"""),"PR 1/4")</f>
        <v>PR 1/4</v>
      </c>
      <c r="E135" s="2" t="str">
        <f>IFERROR(__xludf.DUMMYFUNCTION("""COMPUTED_VALUE"""),"ชาย")</f>
        <v>ชาย</v>
      </c>
      <c r="F135" s="5" t="str">
        <f>IFERROR(__xludf.DUMMYFUNCTION("""COMPUTED_VALUE"""),"https://azizstan.net/student_image/26301.jpg")</f>
        <v>https://azizstan.net/student_image/26301.jpg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 t="str">
        <f>IFERROR(__xludf.DUMMYFUNCTION("""COMPUTED_VALUE"""),"26330")</f>
        <v>26330</v>
      </c>
      <c r="B136" s="3" t="str">
        <f>IFERROR(__xludf.DUMMYFUNCTION("""COMPUTED_VALUE"""),"ด.ช.อัลฟาริซี มิ่งมุฮัมวงศ์")</f>
        <v>ด.ช.อัลฟาริซี มิ่งมุฮัมวงศ์</v>
      </c>
      <c r="C136" s="3" t="str">
        <f>IFERROR(__xludf.DUMMYFUNCTION("""COMPUTED_VALUE"""),"ม.1/4")</f>
        <v>ม.1/4</v>
      </c>
      <c r="D136" s="3" t="str">
        <f>IFERROR(__xludf.DUMMYFUNCTION("""COMPUTED_VALUE"""),"PR 1/4")</f>
        <v>PR 1/4</v>
      </c>
      <c r="E136" s="2" t="str">
        <f>IFERROR(__xludf.DUMMYFUNCTION("""COMPUTED_VALUE"""),"ชาย")</f>
        <v>ชาย</v>
      </c>
      <c r="F136" s="5" t="str">
        <f>IFERROR(__xludf.DUMMYFUNCTION("""COMPUTED_VALUE"""),"https://azizstan.net/student_image/26330.jpg")</f>
        <v>https://azizstan.net/student_image/26330.jpg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 t="str">
        <f>IFERROR(__xludf.DUMMYFUNCTION("""COMPUTED_VALUE"""),"26343")</f>
        <v>26343</v>
      </c>
      <c r="B137" s="3" t="str">
        <f>IFERROR(__xludf.DUMMYFUNCTION("""COMPUTED_VALUE"""),"ด.ช.ตัสรีฟ เจะดอเลาะ")</f>
        <v>ด.ช.ตัสรีฟ เจะดอเลาะ</v>
      </c>
      <c r="C137" s="3" t="str">
        <f>IFERROR(__xludf.DUMMYFUNCTION("""COMPUTED_VALUE"""),"ม.1/4")</f>
        <v>ม.1/4</v>
      </c>
      <c r="D137" s="3" t="str">
        <f>IFERROR(__xludf.DUMMYFUNCTION("""COMPUTED_VALUE"""),"PR 1/4")</f>
        <v>PR 1/4</v>
      </c>
      <c r="E137" s="2" t="str">
        <f>IFERROR(__xludf.DUMMYFUNCTION("""COMPUTED_VALUE"""),"ชาย")</f>
        <v>ชาย</v>
      </c>
      <c r="F137" s="5" t="str">
        <f>IFERROR(__xludf.DUMMYFUNCTION("""COMPUTED_VALUE"""),"https://azizstan.net/student_image/26343.jpg")</f>
        <v>https://azizstan.net/student_image/26343.jpg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 t="str">
        <f>IFERROR(__xludf.DUMMYFUNCTION("""COMPUTED_VALUE"""),"26365")</f>
        <v>26365</v>
      </c>
      <c r="B138" s="3" t="str">
        <f>IFERROR(__xludf.DUMMYFUNCTION("""COMPUTED_VALUE"""),"ด.ช.อบูฟิตรี สาแล๊ะ")</f>
        <v>ด.ช.อบูฟิตรี สาแล๊ะ</v>
      </c>
      <c r="C138" s="3" t="str">
        <f>IFERROR(__xludf.DUMMYFUNCTION("""COMPUTED_VALUE"""),"ม.1/4")</f>
        <v>ม.1/4</v>
      </c>
      <c r="D138" s="3" t="str">
        <f>IFERROR(__xludf.DUMMYFUNCTION("""COMPUTED_VALUE"""),"PR 1/4")</f>
        <v>PR 1/4</v>
      </c>
      <c r="E138" s="2" t="str">
        <f>IFERROR(__xludf.DUMMYFUNCTION("""COMPUTED_VALUE"""),"ชาย")</f>
        <v>ชาย</v>
      </c>
      <c r="F138" s="5" t="str">
        <f>IFERROR(__xludf.DUMMYFUNCTION("""COMPUTED_VALUE"""),"https://azizstan.net/student_image/26365.jpg")</f>
        <v>https://azizstan.net/student_image/26365.jpg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 t="str">
        <f>IFERROR(__xludf.DUMMYFUNCTION("""COMPUTED_VALUE"""),"26476")</f>
        <v>26476</v>
      </c>
      <c r="B139" s="3" t="str">
        <f>IFERROR(__xludf.DUMMYFUNCTION("""COMPUTED_VALUE"""),"ด.ช.อัษฎา หวังผล")</f>
        <v>ด.ช.อัษฎา หวังผล</v>
      </c>
      <c r="C139" s="3" t="str">
        <f>IFERROR(__xludf.DUMMYFUNCTION("""COMPUTED_VALUE"""),"ม.1/4")</f>
        <v>ม.1/4</v>
      </c>
      <c r="D139" s="3" t="str">
        <f>IFERROR(__xludf.DUMMYFUNCTION("""COMPUTED_VALUE"""),"PR 1/4")</f>
        <v>PR 1/4</v>
      </c>
      <c r="E139" s="2" t="str">
        <f>IFERROR(__xludf.DUMMYFUNCTION("""COMPUTED_VALUE"""),"ชาย")</f>
        <v>ชาย</v>
      </c>
      <c r="F139" s="5" t="str">
        <f>IFERROR(__xludf.DUMMYFUNCTION("""COMPUTED_VALUE"""),"https://azizstan.net/student_image/26476.jpg")</f>
        <v>https://azizstan.net/student_image/26476.jpg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 t="str">
        <f>IFERROR(__xludf.DUMMYFUNCTION("""COMPUTED_VALUE"""),"26492")</f>
        <v>26492</v>
      </c>
      <c r="B140" s="3" t="str">
        <f>IFERROR(__xludf.DUMMYFUNCTION("""COMPUTED_VALUE"""),"ด.ช.นิอัลอามีน บินรัตแก้ว")</f>
        <v>ด.ช.นิอัลอามีน บินรัตแก้ว</v>
      </c>
      <c r="C140" s="3" t="str">
        <f>IFERROR(__xludf.DUMMYFUNCTION("""COMPUTED_VALUE"""),"ม.1/4")</f>
        <v>ม.1/4</v>
      </c>
      <c r="D140" s="3" t="str">
        <f>IFERROR(__xludf.DUMMYFUNCTION("""COMPUTED_VALUE"""),"PR 1/4")</f>
        <v>PR 1/4</v>
      </c>
      <c r="E140" s="2" t="str">
        <f>IFERROR(__xludf.DUMMYFUNCTION("""COMPUTED_VALUE"""),"ชาย")</f>
        <v>ชาย</v>
      </c>
      <c r="F140" s="5" t="str">
        <f>IFERROR(__xludf.DUMMYFUNCTION("""COMPUTED_VALUE"""),"https://azizstan.net/student_image/26492.jpg")</f>
        <v>https://azizstan.net/student_image/26492.jpg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 t="str">
        <f>IFERROR(__xludf.DUMMYFUNCTION("""COMPUTED_VALUE"""),"26512")</f>
        <v>26512</v>
      </c>
      <c r="B141" s="3" t="str">
        <f>IFERROR(__xludf.DUMMYFUNCTION("""COMPUTED_VALUE"""),"ด.ช.มูฮัมหมัดนิสฟู หะยีสะอิ")</f>
        <v>ด.ช.มูฮัมหมัดนิสฟู หะยีสะอิ</v>
      </c>
      <c r="C141" s="3" t="str">
        <f>IFERROR(__xludf.DUMMYFUNCTION("""COMPUTED_VALUE"""),"ม.1/4")</f>
        <v>ม.1/4</v>
      </c>
      <c r="D141" s="3" t="str">
        <f>IFERROR(__xludf.DUMMYFUNCTION("""COMPUTED_VALUE"""),"PR 1/4")</f>
        <v>PR 1/4</v>
      </c>
      <c r="E141" s="2" t="str">
        <f>IFERROR(__xludf.DUMMYFUNCTION("""COMPUTED_VALUE"""),"ชาย")</f>
        <v>ชาย</v>
      </c>
      <c r="F141" s="5" t="str">
        <f>IFERROR(__xludf.DUMMYFUNCTION("""COMPUTED_VALUE"""),"https://azizstan.net/student_image/26512.jpg")</f>
        <v>https://azizstan.net/student_image/26512.jpg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 t="str">
        <f>IFERROR(__xludf.DUMMYFUNCTION("""COMPUTED_VALUE"""),"26559")</f>
        <v>26559</v>
      </c>
      <c r="B142" s="3" t="str">
        <f>IFERROR(__xludf.DUMMYFUNCTION("""COMPUTED_VALUE"""),"ด.ช.กิตติกรณ์ บัวทิม")</f>
        <v>ด.ช.กิตติกรณ์ บัวทิม</v>
      </c>
      <c r="C142" s="3" t="str">
        <f>IFERROR(__xludf.DUMMYFUNCTION("""COMPUTED_VALUE"""),"ม.1/4")</f>
        <v>ม.1/4</v>
      </c>
      <c r="D142" s="3" t="str">
        <f>IFERROR(__xludf.DUMMYFUNCTION("""COMPUTED_VALUE"""),"PR 1/4")</f>
        <v>PR 1/4</v>
      </c>
      <c r="E142" s="2" t="str">
        <f>IFERROR(__xludf.DUMMYFUNCTION("""COMPUTED_VALUE"""),"ชาย")</f>
        <v>ชาย</v>
      </c>
      <c r="F142" s="5" t="str">
        <f>IFERROR(__xludf.DUMMYFUNCTION("""COMPUTED_VALUE"""),"https://azizstan.net/student_image/26559.jpg")</f>
        <v>https://azizstan.net/student_image/26559.jpg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 t="str">
        <f>IFERROR(__xludf.DUMMYFUNCTION("""COMPUTED_VALUE"""),"26571")</f>
        <v>26571</v>
      </c>
      <c r="B143" s="3" t="str">
        <f>IFERROR(__xludf.DUMMYFUNCTION("""COMPUTED_VALUE"""),"ด.ช.วาษิก หมัดสู")</f>
        <v>ด.ช.วาษิก หมัดสู</v>
      </c>
      <c r="C143" s="3" t="str">
        <f>IFERROR(__xludf.DUMMYFUNCTION("""COMPUTED_VALUE"""),"ม.1/4")</f>
        <v>ม.1/4</v>
      </c>
      <c r="D143" s="3" t="str">
        <f>IFERROR(__xludf.DUMMYFUNCTION("""COMPUTED_VALUE"""),"PR 1/4")</f>
        <v>PR 1/4</v>
      </c>
      <c r="E143" s="2" t="str">
        <f>IFERROR(__xludf.DUMMYFUNCTION("""COMPUTED_VALUE"""),"ชาย")</f>
        <v>ชาย</v>
      </c>
      <c r="F143" s="5" t="str">
        <f>IFERROR(__xludf.DUMMYFUNCTION("""COMPUTED_VALUE"""),"https://azizstan.net/student_image/26571.jpg")</f>
        <v>https://azizstan.net/student_image/26571.jpg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 t="str">
        <f>IFERROR(__xludf.DUMMYFUNCTION("""COMPUTED_VALUE"""),"26585")</f>
        <v>26585</v>
      </c>
      <c r="B144" s="3" t="str">
        <f>IFERROR(__xludf.DUMMYFUNCTION("""COMPUTED_VALUE"""),"ด.ช.อิสกันดัร หะยีดือเระ")</f>
        <v>ด.ช.อิสกันดัร หะยีดือเระ</v>
      </c>
      <c r="C144" s="3" t="str">
        <f>IFERROR(__xludf.DUMMYFUNCTION("""COMPUTED_VALUE"""),"ม.1/4")</f>
        <v>ม.1/4</v>
      </c>
      <c r="D144" s="3" t="str">
        <f>IFERROR(__xludf.DUMMYFUNCTION("""COMPUTED_VALUE"""),"PR 1/4")</f>
        <v>PR 1/4</v>
      </c>
      <c r="E144" s="2" t="str">
        <f>IFERROR(__xludf.DUMMYFUNCTION("""COMPUTED_VALUE"""),"ชาย")</f>
        <v>ชาย</v>
      </c>
      <c r="F144" s="5" t="str">
        <f>IFERROR(__xludf.DUMMYFUNCTION("""COMPUTED_VALUE"""),"https://azizstan.net/student_image/26585.jpg")</f>
        <v>https://azizstan.net/student_image/26585.jpg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 t="str">
        <f>IFERROR(__xludf.DUMMYFUNCTION("""COMPUTED_VALUE"""),"26592")</f>
        <v>26592</v>
      </c>
      <c r="B145" s="3" t="str">
        <f>IFERROR(__xludf.DUMMYFUNCTION("""COMPUTED_VALUE"""),"ด.ช.ภควินต์ ราชเพ็ชร")</f>
        <v>ด.ช.ภควินต์ ราชเพ็ชร</v>
      </c>
      <c r="C145" s="3" t="str">
        <f>IFERROR(__xludf.DUMMYFUNCTION("""COMPUTED_VALUE"""),"ม.1/4")</f>
        <v>ม.1/4</v>
      </c>
      <c r="D145" s="3" t="str">
        <f>IFERROR(__xludf.DUMMYFUNCTION("""COMPUTED_VALUE"""),"PR 1/4")</f>
        <v>PR 1/4</v>
      </c>
      <c r="E145" s="2" t="str">
        <f>IFERROR(__xludf.DUMMYFUNCTION("""COMPUTED_VALUE"""),"ชาย")</f>
        <v>ชาย</v>
      </c>
      <c r="F145" s="5" t="str">
        <f>IFERROR(__xludf.DUMMYFUNCTION("""COMPUTED_VALUE"""),"https://azizstan.net/student_image/26592.jpg")</f>
        <v>https://azizstan.net/student_image/26592.jpg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 t="str">
        <f>IFERROR(__xludf.DUMMYFUNCTION("""COMPUTED_VALUE"""),"26600")</f>
        <v>26600</v>
      </c>
      <c r="B146" s="3" t="str">
        <f>IFERROR(__xludf.DUMMYFUNCTION("""COMPUTED_VALUE"""),"ด.ช.ฮาฟิก สาและ")</f>
        <v>ด.ช.ฮาฟิก สาและ</v>
      </c>
      <c r="C146" s="3" t="str">
        <f>IFERROR(__xludf.DUMMYFUNCTION("""COMPUTED_VALUE"""),"ม.1/4")</f>
        <v>ม.1/4</v>
      </c>
      <c r="D146" s="3" t="str">
        <f>IFERROR(__xludf.DUMMYFUNCTION("""COMPUTED_VALUE"""),"PR 1/4")</f>
        <v>PR 1/4</v>
      </c>
      <c r="E146" s="2" t="str">
        <f>IFERROR(__xludf.DUMMYFUNCTION("""COMPUTED_VALUE"""),"ชาย")</f>
        <v>ชาย</v>
      </c>
      <c r="F146" s="5" t="str">
        <f>IFERROR(__xludf.DUMMYFUNCTION("""COMPUTED_VALUE"""),"https://azizstan.net/student_image/26600.jpg")</f>
        <v>https://azizstan.net/student_image/26600.jpg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 t="str">
        <f>IFERROR(__xludf.DUMMYFUNCTION("""COMPUTED_VALUE"""),"26617")</f>
        <v>26617</v>
      </c>
      <c r="B147" s="3" t="str">
        <f>IFERROR(__xludf.DUMMYFUNCTION("""COMPUTED_VALUE"""),"ด.ช.อามีรุลมุอ์มีนีน อับดุลมานิ")</f>
        <v>ด.ช.อามีรุลมุอ์มีนีน อับดุลมานิ</v>
      </c>
      <c r="C147" s="3" t="str">
        <f>IFERROR(__xludf.DUMMYFUNCTION("""COMPUTED_VALUE"""),"ม.1/4")</f>
        <v>ม.1/4</v>
      </c>
      <c r="D147" s="3" t="str">
        <f>IFERROR(__xludf.DUMMYFUNCTION("""COMPUTED_VALUE"""),"PR 1/4")</f>
        <v>PR 1/4</v>
      </c>
      <c r="E147" s="2" t="str">
        <f>IFERROR(__xludf.DUMMYFUNCTION("""COMPUTED_VALUE"""),"ชาย")</f>
        <v>ชาย</v>
      </c>
      <c r="F147" s="5" t="str">
        <f>IFERROR(__xludf.DUMMYFUNCTION("""COMPUTED_VALUE"""),"https://azizstan.net/student_image/26617.jpg")</f>
        <v>https://azizstan.net/student_image/26617.jpg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 t="str">
        <f>IFERROR(__xludf.DUMMYFUNCTION("""COMPUTED_VALUE"""),"26618")</f>
        <v>26618</v>
      </c>
      <c r="B148" s="3" t="str">
        <f>IFERROR(__xludf.DUMMYFUNCTION("""COMPUTED_VALUE"""),"ด.ช.รอมฎอน จาโรง")</f>
        <v>ด.ช.รอมฎอน จาโรง</v>
      </c>
      <c r="C148" s="3" t="str">
        <f>IFERROR(__xludf.DUMMYFUNCTION("""COMPUTED_VALUE"""),"ม.1/4")</f>
        <v>ม.1/4</v>
      </c>
      <c r="D148" s="3" t="str">
        <f>IFERROR(__xludf.DUMMYFUNCTION("""COMPUTED_VALUE"""),"PR 1/4")</f>
        <v>PR 1/4</v>
      </c>
      <c r="E148" s="2" t="str">
        <f>IFERROR(__xludf.DUMMYFUNCTION("""COMPUTED_VALUE"""),"ชาย")</f>
        <v>ชาย</v>
      </c>
      <c r="F148" s="5" t="str">
        <f>IFERROR(__xludf.DUMMYFUNCTION("""COMPUTED_VALUE"""),"https://azizstan.net/student_image/26618.jpg")</f>
        <v>https://azizstan.net/student_image/26618.jpg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 t="str">
        <f>IFERROR(__xludf.DUMMYFUNCTION("""COMPUTED_VALUE"""),"26621")</f>
        <v>26621</v>
      </c>
      <c r="B149" s="3" t="str">
        <f>IFERROR(__xludf.DUMMYFUNCTION("""COMPUTED_VALUE"""),"ด.ช.ฟารฮาน แวบือราเฮง")</f>
        <v>ด.ช.ฟารฮาน แวบือราเฮง</v>
      </c>
      <c r="C149" s="3" t="str">
        <f>IFERROR(__xludf.DUMMYFUNCTION("""COMPUTED_VALUE"""),"ม.1/4")</f>
        <v>ม.1/4</v>
      </c>
      <c r="D149" s="3" t="str">
        <f>IFERROR(__xludf.DUMMYFUNCTION("""COMPUTED_VALUE"""),"PR 1/4")</f>
        <v>PR 1/4</v>
      </c>
      <c r="E149" s="2" t="str">
        <f>IFERROR(__xludf.DUMMYFUNCTION("""COMPUTED_VALUE"""),"ชาย")</f>
        <v>ชาย</v>
      </c>
      <c r="F149" s="5" t="str">
        <f>IFERROR(__xludf.DUMMYFUNCTION("""COMPUTED_VALUE"""),"https://azizstan.net/student_image/26621.jpg")</f>
        <v>https://azizstan.net/student_image/26621.jpg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 t="str">
        <f>IFERROR(__xludf.DUMMYFUNCTION("""COMPUTED_VALUE"""),"26644")</f>
        <v>26644</v>
      </c>
      <c r="B150" s="3" t="str">
        <f>IFERROR(__xludf.DUMMYFUNCTION("""COMPUTED_VALUE"""),"ด.ช.ซอดีกีน อาแวมะ")</f>
        <v>ด.ช.ซอดีกีน อาแวมะ</v>
      </c>
      <c r="C150" s="3" t="str">
        <f>IFERROR(__xludf.DUMMYFUNCTION("""COMPUTED_VALUE"""),"ม.1/4")</f>
        <v>ม.1/4</v>
      </c>
      <c r="D150" s="3" t="str">
        <f>IFERROR(__xludf.DUMMYFUNCTION("""COMPUTED_VALUE"""),"PR 1/4")</f>
        <v>PR 1/4</v>
      </c>
      <c r="E150" s="2" t="str">
        <f>IFERROR(__xludf.DUMMYFUNCTION("""COMPUTED_VALUE"""),"ชาย")</f>
        <v>ชาย</v>
      </c>
      <c r="F150" s="5" t="str">
        <f>IFERROR(__xludf.DUMMYFUNCTION("""COMPUTED_VALUE"""),"https://azizstan.net/student_image/26644.jpg")</f>
        <v>https://azizstan.net/student_image/26644.jpg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 t="str">
        <f>IFERROR(__xludf.DUMMYFUNCTION("""COMPUTED_VALUE"""),"26650")</f>
        <v>26650</v>
      </c>
      <c r="B151" s="3" t="str">
        <f>IFERROR(__xludf.DUMMYFUNCTION("""COMPUTED_VALUE"""),"ด.ช.อานันต์ดา หะยีมะลี")</f>
        <v>ด.ช.อานันต์ดา หะยีมะลี</v>
      </c>
      <c r="C151" s="3" t="str">
        <f>IFERROR(__xludf.DUMMYFUNCTION("""COMPUTED_VALUE"""),"ม.1/4")</f>
        <v>ม.1/4</v>
      </c>
      <c r="D151" s="3" t="str">
        <f>IFERROR(__xludf.DUMMYFUNCTION("""COMPUTED_VALUE"""),"PR 1/4")</f>
        <v>PR 1/4</v>
      </c>
      <c r="E151" s="2" t="str">
        <f>IFERROR(__xludf.DUMMYFUNCTION("""COMPUTED_VALUE"""),"ชาย")</f>
        <v>ชาย</v>
      </c>
      <c r="F151" s="5" t="str">
        <f>IFERROR(__xludf.DUMMYFUNCTION("""COMPUTED_VALUE"""),"https://azizstan.net/student_image/26650.jpg")</f>
        <v>https://azizstan.net/student_image/26650.jpg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 t="str">
        <f>IFERROR(__xludf.DUMMYFUNCTION("""COMPUTED_VALUE"""),"26658")</f>
        <v>26658</v>
      </c>
      <c r="B152" s="3" t="str">
        <f>IFERROR(__xludf.DUMMYFUNCTION("""COMPUTED_VALUE"""),"ด.ช.นิฟารุ ดอเล๊าะลาโมะ")</f>
        <v>ด.ช.นิฟารุ ดอเล๊าะลาโมะ</v>
      </c>
      <c r="C152" s="3" t="str">
        <f>IFERROR(__xludf.DUMMYFUNCTION("""COMPUTED_VALUE"""),"ม.1/4")</f>
        <v>ม.1/4</v>
      </c>
      <c r="D152" s="3" t="str">
        <f>IFERROR(__xludf.DUMMYFUNCTION("""COMPUTED_VALUE"""),"PR 1/4")</f>
        <v>PR 1/4</v>
      </c>
      <c r="E152" s="2" t="str">
        <f>IFERROR(__xludf.DUMMYFUNCTION("""COMPUTED_VALUE"""),"ชาย")</f>
        <v>ชาย</v>
      </c>
      <c r="F152" s="5" t="str">
        <f>IFERROR(__xludf.DUMMYFUNCTION("""COMPUTED_VALUE"""),"https://azizstan.net/student_image/26658.jpg")</f>
        <v>https://azizstan.net/student_image/26658.jpg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 t="str">
        <f>IFERROR(__xludf.DUMMYFUNCTION("""COMPUTED_VALUE"""),"26680")</f>
        <v>26680</v>
      </c>
      <c r="B153" s="3" t="str">
        <f>IFERROR(__xludf.DUMMYFUNCTION("""COMPUTED_VALUE"""),"ด.ช.สถาพร พิมพกุล")</f>
        <v>ด.ช.สถาพร พิมพกุล</v>
      </c>
      <c r="C153" s="3" t="str">
        <f>IFERROR(__xludf.DUMMYFUNCTION("""COMPUTED_VALUE"""),"ม.1/4")</f>
        <v>ม.1/4</v>
      </c>
      <c r="D153" s="3" t="str">
        <f>IFERROR(__xludf.DUMMYFUNCTION("""COMPUTED_VALUE"""),"PR 1/4")</f>
        <v>PR 1/4</v>
      </c>
      <c r="E153" s="2" t="str">
        <f>IFERROR(__xludf.DUMMYFUNCTION("""COMPUTED_VALUE"""),"ชาย")</f>
        <v>ชาย</v>
      </c>
      <c r="F153" s="5" t="str">
        <f>IFERROR(__xludf.DUMMYFUNCTION("""COMPUTED_VALUE"""),"https://azizstan.net/student_image/26680.jpg")</f>
        <v>https://azizstan.net/student_image/26680.jpg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 t="str">
        <f>IFERROR(__xludf.DUMMYFUNCTION("""COMPUTED_VALUE"""),"26697")</f>
        <v>26697</v>
      </c>
      <c r="B154" s="3" t="str">
        <f>IFERROR(__xludf.DUMMYFUNCTION("""COMPUTED_VALUE"""),"ด.ช.ฟารุด ลาเส็น")</f>
        <v>ด.ช.ฟารุด ลาเส็น</v>
      </c>
      <c r="C154" s="3" t="str">
        <f>IFERROR(__xludf.DUMMYFUNCTION("""COMPUTED_VALUE"""),"ม.1/4")</f>
        <v>ม.1/4</v>
      </c>
      <c r="D154" s="3" t="str">
        <f>IFERROR(__xludf.DUMMYFUNCTION("""COMPUTED_VALUE"""),"PR 1/4")</f>
        <v>PR 1/4</v>
      </c>
      <c r="E154" s="2" t="str">
        <f>IFERROR(__xludf.DUMMYFUNCTION("""COMPUTED_VALUE"""),"ชาย")</f>
        <v>ชาย</v>
      </c>
      <c r="F154" s="5" t="str">
        <f>IFERROR(__xludf.DUMMYFUNCTION("""COMPUTED_VALUE"""),"https://azizstan.net/student_image/26697.jpg")</f>
        <v>https://azizstan.net/student_image/26697.jpg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 t="str">
        <f>IFERROR(__xludf.DUMMYFUNCTION("""COMPUTED_VALUE"""),"26698")</f>
        <v>26698</v>
      </c>
      <c r="B155" s="3" t="str">
        <f>IFERROR(__xludf.DUMMYFUNCTION("""COMPUTED_VALUE"""),"ด.ช.บัสซำ มะเด็ง")</f>
        <v>ด.ช.บัสซำ มะเด็ง</v>
      </c>
      <c r="C155" s="3" t="str">
        <f>IFERROR(__xludf.DUMMYFUNCTION("""COMPUTED_VALUE"""),"ม.1/4")</f>
        <v>ม.1/4</v>
      </c>
      <c r="D155" s="3" t="str">
        <f>IFERROR(__xludf.DUMMYFUNCTION("""COMPUTED_VALUE"""),"PR 1/4")</f>
        <v>PR 1/4</v>
      </c>
      <c r="E155" s="2" t="str">
        <f>IFERROR(__xludf.DUMMYFUNCTION("""COMPUTED_VALUE"""),"ชาย")</f>
        <v>ชาย</v>
      </c>
      <c r="F155" s="5" t="str">
        <f>IFERROR(__xludf.DUMMYFUNCTION("""COMPUTED_VALUE"""),"https://azizstan.net/student_image/26698.jpg")</f>
        <v>https://azizstan.net/student_image/26698.jpg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 t="str">
        <f>IFERROR(__xludf.DUMMYFUNCTION("""COMPUTED_VALUE"""),"26733")</f>
        <v>26733</v>
      </c>
      <c r="B156" s="3" t="str">
        <f>IFERROR(__xludf.DUMMYFUNCTION("""COMPUTED_VALUE"""),"ด.ช.นัสรูน มานะ")</f>
        <v>ด.ช.นัสรูน มานะ</v>
      </c>
      <c r="C156" s="3" t="str">
        <f>IFERROR(__xludf.DUMMYFUNCTION("""COMPUTED_VALUE"""),"ม.1/4")</f>
        <v>ม.1/4</v>
      </c>
      <c r="D156" s="3" t="str">
        <f>IFERROR(__xludf.DUMMYFUNCTION("""COMPUTED_VALUE"""),"PR 1/4")</f>
        <v>PR 1/4</v>
      </c>
      <c r="E156" s="2" t="str">
        <f>IFERROR(__xludf.DUMMYFUNCTION("""COMPUTED_VALUE"""),"ชาย")</f>
        <v>ชาย</v>
      </c>
      <c r="F156" s="5" t="str">
        <f>IFERROR(__xludf.DUMMYFUNCTION("""COMPUTED_VALUE"""),"https://azizstan.net/student_image/26733.jpg")</f>
        <v>https://azizstan.net/student_image/26733.jpg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 t="str">
        <f>IFERROR(__xludf.DUMMYFUNCTION("""COMPUTED_VALUE"""),"26756")</f>
        <v>26756</v>
      </c>
      <c r="B157" s="3" t="str">
        <f>IFERROR(__xludf.DUMMYFUNCTION("""COMPUTED_VALUE"""),"ด.ช.มูฮำหมัดเฟาซัน ดอเลาะ")</f>
        <v>ด.ช.มูฮำหมัดเฟาซัน ดอเลาะ</v>
      </c>
      <c r="C157" s="3" t="str">
        <f>IFERROR(__xludf.DUMMYFUNCTION("""COMPUTED_VALUE"""),"ม.1/4")</f>
        <v>ม.1/4</v>
      </c>
      <c r="D157" s="3" t="str">
        <f>IFERROR(__xludf.DUMMYFUNCTION("""COMPUTED_VALUE"""),"PR 1/4")</f>
        <v>PR 1/4</v>
      </c>
      <c r="E157" s="2" t="str">
        <f>IFERROR(__xludf.DUMMYFUNCTION("""COMPUTED_VALUE"""),"ชาย")</f>
        <v>ชาย</v>
      </c>
      <c r="F157" s="5" t="str">
        <f>IFERROR(__xludf.DUMMYFUNCTION("""COMPUTED_VALUE"""),"https://azizstan.net/student_image/26756.jpg")</f>
        <v>https://azizstan.net/student_image/26756.jpg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 t="str">
        <f>IFERROR(__xludf.DUMMYFUNCTION("""COMPUTED_VALUE"""),"26764")</f>
        <v>26764</v>
      </c>
      <c r="B158" s="3" t="str">
        <f>IFERROR(__xludf.DUMMYFUNCTION("""COMPUTED_VALUE"""),"ด.ช.มูฮำหมัดซิดดิก กาเดร์")</f>
        <v>ด.ช.มูฮำหมัดซิดดิก กาเดร์</v>
      </c>
      <c r="C158" s="3" t="str">
        <f>IFERROR(__xludf.DUMMYFUNCTION("""COMPUTED_VALUE"""),"ม.1/4")</f>
        <v>ม.1/4</v>
      </c>
      <c r="D158" s="3" t="str">
        <f>IFERROR(__xludf.DUMMYFUNCTION("""COMPUTED_VALUE"""),"PR 1/4")</f>
        <v>PR 1/4</v>
      </c>
      <c r="E158" s="2" t="str">
        <f>IFERROR(__xludf.DUMMYFUNCTION("""COMPUTED_VALUE"""),"ชาย")</f>
        <v>ชาย</v>
      </c>
      <c r="F158" s="5" t="str">
        <f>IFERROR(__xludf.DUMMYFUNCTION("""COMPUTED_VALUE"""),"https://azizstan.net/student_image/26764.jpg")</f>
        <v>https://azizstan.net/student_image/26764.jpg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 t="str">
        <f>IFERROR(__xludf.DUMMYFUNCTION("""COMPUTED_VALUE"""),"26769")</f>
        <v>26769</v>
      </c>
      <c r="B159" s="3" t="str">
        <f>IFERROR(__xludf.DUMMYFUNCTION("""COMPUTED_VALUE"""),"ด.ช.อันนัส บือราเฮง")</f>
        <v>ด.ช.อันนัส บือราเฮง</v>
      </c>
      <c r="C159" s="3" t="str">
        <f>IFERROR(__xludf.DUMMYFUNCTION("""COMPUTED_VALUE"""),"ม.1/4")</f>
        <v>ม.1/4</v>
      </c>
      <c r="D159" s="3" t="str">
        <f>IFERROR(__xludf.DUMMYFUNCTION("""COMPUTED_VALUE"""),"PR 1/4")</f>
        <v>PR 1/4</v>
      </c>
      <c r="E159" s="2" t="str">
        <f>IFERROR(__xludf.DUMMYFUNCTION("""COMPUTED_VALUE"""),"ชาย")</f>
        <v>ชาย</v>
      </c>
      <c r="F159" s="5" t="str">
        <f>IFERROR(__xludf.DUMMYFUNCTION("""COMPUTED_VALUE"""),"https://azizstan.net/student_image/26769.jpg")</f>
        <v>https://azizstan.net/student_image/26769.jpg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 t="str">
        <f>IFERROR(__xludf.DUMMYFUNCTION("""COMPUTED_VALUE"""),"26770")</f>
        <v>26770</v>
      </c>
      <c r="B160" s="3" t="str">
        <f>IFERROR(__xludf.DUMMYFUNCTION("""COMPUTED_VALUE"""),"ด.ช.นิอับฮัร ดอแย")</f>
        <v>ด.ช.นิอับฮัร ดอแย</v>
      </c>
      <c r="C160" s="3" t="str">
        <f>IFERROR(__xludf.DUMMYFUNCTION("""COMPUTED_VALUE"""),"ม.1/4")</f>
        <v>ม.1/4</v>
      </c>
      <c r="D160" s="3" t="str">
        <f>IFERROR(__xludf.DUMMYFUNCTION("""COMPUTED_VALUE"""),"PR 1/4")</f>
        <v>PR 1/4</v>
      </c>
      <c r="E160" s="2" t="str">
        <f>IFERROR(__xludf.DUMMYFUNCTION("""COMPUTED_VALUE"""),"ชาย")</f>
        <v>ชาย</v>
      </c>
      <c r="F160" s="5" t="str">
        <f>IFERROR(__xludf.DUMMYFUNCTION("""COMPUTED_VALUE"""),"https://azizstan.net/student_image/26770.jpg")</f>
        <v>https://azizstan.net/student_image/26770.jpg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 t="str">
        <f>IFERROR(__xludf.DUMMYFUNCTION("""COMPUTED_VALUE"""),"26794")</f>
        <v>26794</v>
      </c>
      <c r="B161" s="3" t="str">
        <f>IFERROR(__xludf.DUMMYFUNCTION("""COMPUTED_VALUE"""),"ด.ช.มุฮัมหมัดฮาฟิส หมัดเอียด")</f>
        <v>ด.ช.มุฮัมหมัดฮาฟิส หมัดเอียด</v>
      </c>
      <c r="C161" s="3" t="str">
        <f>IFERROR(__xludf.DUMMYFUNCTION("""COMPUTED_VALUE"""),"ม.1/4")</f>
        <v>ม.1/4</v>
      </c>
      <c r="D161" s="3" t="str">
        <f>IFERROR(__xludf.DUMMYFUNCTION("""COMPUTED_VALUE"""),"PR 1/4")</f>
        <v>PR 1/4</v>
      </c>
      <c r="E161" s="2" t="str">
        <f>IFERROR(__xludf.DUMMYFUNCTION("""COMPUTED_VALUE"""),"ชาย")</f>
        <v>ชาย</v>
      </c>
      <c r="F161" s="5" t="str">
        <f>IFERROR(__xludf.DUMMYFUNCTION("""COMPUTED_VALUE"""),"https://azizstan.net/student_image/26794.jpg")</f>
        <v>https://azizstan.net/student_image/26794.jpg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 t="str">
        <f>IFERROR(__xludf.DUMMYFUNCTION("""COMPUTED_VALUE"""),"26057")</f>
        <v>26057</v>
      </c>
      <c r="B162" s="3" t="str">
        <f>IFERROR(__xludf.DUMMYFUNCTION("""COMPUTED_VALUE"""),"ด.ช.อับดุลซอบูร สือแม")</f>
        <v>ด.ช.อับดุลซอบูร สือแม</v>
      </c>
      <c r="C162" s="3" t="str">
        <f>IFERROR(__xludf.DUMMYFUNCTION("""COMPUTED_VALUE"""),"ม.1/5")</f>
        <v>ม.1/5</v>
      </c>
      <c r="D162" s="3" t="str">
        <f>IFERROR(__xludf.DUMMYFUNCTION("""COMPUTED_VALUE"""),"อก.1/5")</f>
        <v>อก.1/5</v>
      </c>
      <c r="E162" s="2" t="str">
        <f>IFERROR(__xludf.DUMMYFUNCTION("""COMPUTED_VALUE"""),"ชาย")</f>
        <v>ชาย</v>
      </c>
      <c r="F162" s="5" t="str">
        <f>IFERROR(__xludf.DUMMYFUNCTION("""COMPUTED_VALUE"""),"https://azizstan.net/student_image/26057.jpg")</f>
        <v>https://azizstan.net/student_image/26057.jpg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 t="str">
        <f>IFERROR(__xludf.DUMMYFUNCTION("""COMPUTED_VALUE"""),"26072")</f>
        <v>26072</v>
      </c>
      <c r="B163" s="3" t="str">
        <f>IFERROR(__xludf.DUMMYFUNCTION("""COMPUTED_VALUE"""),"ด.ญ.นูรซัลวาณี บาราเฮ็ง")</f>
        <v>ด.ญ.นูรซัลวาณี บาราเฮ็ง</v>
      </c>
      <c r="C163" s="3" t="str">
        <f>IFERROR(__xludf.DUMMYFUNCTION("""COMPUTED_VALUE"""),"ม.1/5")</f>
        <v>ม.1/5</v>
      </c>
      <c r="D163" s="3" t="str">
        <f>IFERROR(__xludf.DUMMYFUNCTION("""COMPUTED_VALUE"""),"อก.1/5")</f>
        <v>อก.1/5</v>
      </c>
      <c r="E163" s="2" t="str">
        <f>IFERROR(__xludf.DUMMYFUNCTION("""COMPUTED_VALUE"""),"หญิง")</f>
        <v>หญิง</v>
      </c>
      <c r="F163" s="5" t="str">
        <f>IFERROR(__xludf.DUMMYFUNCTION("""COMPUTED_VALUE"""),"https://azizstan.net/student_image/26072.jpg")</f>
        <v>https://azizstan.net/student_image/26072.jpg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 t="str">
        <f>IFERROR(__xludf.DUMMYFUNCTION("""COMPUTED_VALUE"""),"26098")</f>
        <v>26098</v>
      </c>
      <c r="B164" s="3" t="str">
        <f>IFERROR(__xludf.DUMMYFUNCTION("""COMPUTED_VALUE"""),"ด.ช.อัลฮาดิฟ ดอเลาะ")</f>
        <v>ด.ช.อัลฮาดิฟ ดอเลาะ</v>
      </c>
      <c r="C164" s="3" t="str">
        <f>IFERROR(__xludf.DUMMYFUNCTION("""COMPUTED_VALUE"""),"ม.1/5")</f>
        <v>ม.1/5</v>
      </c>
      <c r="D164" s="3" t="str">
        <f>IFERROR(__xludf.DUMMYFUNCTION("""COMPUTED_VALUE"""),"อก.1/5")</f>
        <v>อก.1/5</v>
      </c>
      <c r="E164" s="2" t="str">
        <f>IFERROR(__xludf.DUMMYFUNCTION("""COMPUTED_VALUE"""),"ชาย")</f>
        <v>ชาย</v>
      </c>
      <c r="F164" s="5" t="str">
        <f>IFERROR(__xludf.DUMMYFUNCTION("""COMPUTED_VALUE"""),"https://azizstan.net/student_image/26098.jpg")</f>
        <v>https://azizstan.net/student_image/26098.jpg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 t="str">
        <f>IFERROR(__xludf.DUMMYFUNCTION("""COMPUTED_VALUE"""),"26134")</f>
        <v>26134</v>
      </c>
      <c r="B165" s="3" t="str">
        <f>IFERROR(__xludf.DUMMYFUNCTION("""COMPUTED_VALUE"""),"ด.ช.มูฮำมัด แยนา")</f>
        <v>ด.ช.มูฮำมัด แยนา</v>
      </c>
      <c r="C165" s="3" t="str">
        <f>IFERROR(__xludf.DUMMYFUNCTION("""COMPUTED_VALUE"""),"ม.1/5")</f>
        <v>ม.1/5</v>
      </c>
      <c r="D165" s="3" t="str">
        <f>IFERROR(__xludf.DUMMYFUNCTION("""COMPUTED_VALUE"""),"อก.1/5")</f>
        <v>อก.1/5</v>
      </c>
      <c r="E165" s="2" t="str">
        <f>IFERROR(__xludf.DUMMYFUNCTION("""COMPUTED_VALUE"""),"ชาย")</f>
        <v>ชาย</v>
      </c>
      <c r="F165" s="5" t="str">
        <f>IFERROR(__xludf.DUMMYFUNCTION("""COMPUTED_VALUE"""),"https://azizstan.net/student_image/26134.jpg")</f>
        <v>https://azizstan.net/student_image/26134.jpg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 t="str">
        <f>IFERROR(__xludf.DUMMYFUNCTION("""COMPUTED_VALUE"""),"26173")</f>
        <v>26173</v>
      </c>
      <c r="B166" s="3" t="str">
        <f>IFERROR(__xludf.DUMMYFUNCTION("""COMPUTED_VALUE"""),"ด.ญ.นินัจวา กระจาย")</f>
        <v>ด.ญ.นินัจวา กระจาย</v>
      </c>
      <c r="C166" s="3" t="str">
        <f>IFERROR(__xludf.DUMMYFUNCTION("""COMPUTED_VALUE"""),"ม.1/5")</f>
        <v>ม.1/5</v>
      </c>
      <c r="D166" s="3" t="str">
        <f>IFERROR(__xludf.DUMMYFUNCTION("""COMPUTED_VALUE"""),"อก.1/5")</f>
        <v>อก.1/5</v>
      </c>
      <c r="E166" s="2" t="str">
        <f>IFERROR(__xludf.DUMMYFUNCTION("""COMPUTED_VALUE"""),"หญิง")</f>
        <v>หญิง</v>
      </c>
      <c r="F166" s="5" t="str">
        <f>IFERROR(__xludf.DUMMYFUNCTION("""COMPUTED_VALUE"""),"https://azizstan.net/student_image/26173.jpg")</f>
        <v>https://azizstan.net/student_image/26173.jpg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 t="str">
        <f>IFERROR(__xludf.DUMMYFUNCTION("""COMPUTED_VALUE"""),"26175")</f>
        <v>26175</v>
      </c>
      <c r="B167" s="3" t="str">
        <f>IFERROR(__xludf.DUMMYFUNCTION("""COMPUTED_VALUE"""),"ด.ญ.ซัลวา แมลาเต๊ะ")</f>
        <v>ด.ญ.ซัลวา แมลาเต๊ะ</v>
      </c>
      <c r="C167" s="3" t="str">
        <f>IFERROR(__xludf.DUMMYFUNCTION("""COMPUTED_VALUE"""),"ม.1/5")</f>
        <v>ม.1/5</v>
      </c>
      <c r="D167" s="3" t="str">
        <f>IFERROR(__xludf.DUMMYFUNCTION("""COMPUTED_VALUE"""),"อก.1/5")</f>
        <v>อก.1/5</v>
      </c>
      <c r="E167" s="2" t="str">
        <f>IFERROR(__xludf.DUMMYFUNCTION("""COMPUTED_VALUE"""),"หญิง")</f>
        <v>หญิง</v>
      </c>
      <c r="F167" s="5" t="str">
        <f>IFERROR(__xludf.DUMMYFUNCTION("""COMPUTED_VALUE"""),"https://azizstan.net/student_image/26175.jpg")</f>
        <v>https://azizstan.net/student_image/26175.jpg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 t="str">
        <f>IFERROR(__xludf.DUMMYFUNCTION("""COMPUTED_VALUE"""),"26180")</f>
        <v>26180</v>
      </c>
      <c r="B168" s="3" t="str">
        <f>IFERROR(__xludf.DUMMYFUNCTION("""COMPUTED_VALUE"""),"ด.ญ.นิสรีน สาแม")</f>
        <v>ด.ญ.นิสรีน สาแม</v>
      </c>
      <c r="C168" s="3" t="str">
        <f>IFERROR(__xludf.DUMMYFUNCTION("""COMPUTED_VALUE"""),"ม.1/5")</f>
        <v>ม.1/5</v>
      </c>
      <c r="D168" s="3" t="str">
        <f>IFERROR(__xludf.DUMMYFUNCTION("""COMPUTED_VALUE"""),"อก.1/5")</f>
        <v>อก.1/5</v>
      </c>
      <c r="E168" s="2" t="str">
        <f>IFERROR(__xludf.DUMMYFUNCTION("""COMPUTED_VALUE"""),"หญิง")</f>
        <v>หญิง</v>
      </c>
      <c r="F168" s="5" t="str">
        <f>IFERROR(__xludf.DUMMYFUNCTION("""COMPUTED_VALUE"""),"https://azizstan.net/student_image/26180.jpg")</f>
        <v>https://azizstan.net/student_image/26180.jpg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 t="str">
        <f>IFERROR(__xludf.DUMMYFUNCTION("""COMPUTED_VALUE"""),"26181")</f>
        <v>26181</v>
      </c>
      <c r="B169" s="3" t="str">
        <f>IFERROR(__xludf.DUMMYFUNCTION("""COMPUTED_VALUE"""),"ด.ญ.อัฟซาร์ เจะฮะ")</f>
        <v>ด.ญ.อัฟซาร์ เจะฮะ</v>
      </c>
      <c r="C169" s="3" t="str">
        <f>IFERROR(__xludf.DUMMYFUNCTION("""COMPUTED_VALUE"""),"ม.1/5")</f>
        <v>ม.1/5</v>
      </c>
      <c r="D169" s="3" t="str">
        <f>IFERROR(__xludf.DUMMYFUNCTION("""COMPUTED_VALUE"""),"อก.1/5")</f>
        <v>อก.1/5</v>
      </c>
      <c r="E169" s="2" t="str">
        <f>IFERROR(__xludf.DUMMYFUNCTION("""COMPUTED_VALUE"""),"หญิง")</f>
        <v>หญิง</v>
      </c>
      <c r="F169" s="5" t="str">
        <f>IFERROR(__xludf.DUMMYFUNCTION("""COMPUTED_VALUE"""),"https://azizstan.net/student_image/26181.jpg")</f>
        <v>https://azizstan.net/student_image/26181.jpg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 t="str">
        <f>IFERROR(__xludf.DUMMYFUNCTION("""COMPUTED_VALUE"""),"26211")</f>
        <v>26211</v>
      </c>
      <c r="B170" s="3" t="str">
        <f>IFERROR(__xludf.DUMMYFUNCTION("""COMPUTED_VALUE"""),"ด.ช.ฟารุก สาหะ")</f>
        <v>ด.ช.ฟารุก สาหะ</v>
      </c>
      <c r="C170" s="3" t="str">
        <f>IFERROR(__xludf.DUMMYFUNCTION("""COMPUTED_VALUE"""),"ม.1/5")</f>
        <v>ม.1/5</v>
      </c>
      <c r="D170" s="3" t="str">
        <f>IFERROR(__xludf.DUMMYFUNCTION("""COMPUTED_VALUE"""),"อก.1/5")</f>
        <v>อก.1/5</v>
      </c>
      <c r="E170" s="2" t="str">
        <f>IFERROR(__xludf.DUMMYFUNCTION("""COMPUTED_VALUE"""),"ชาย")</f>
        <v>ชาย</v>
      </c>
      <c r="F170" s="5" t="str">
        <f>IFERROR(__xludf.DUMMYFUNCTION("""COMPUTED_VALUE"""),"https://azizstan.net/student_image/26211.jpg")</f>
        <v>https://azizstan.net/student_image/26211.jpg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 t="str">
        <f>IFERROR(__xludf.DUMMYFUNCTION("""COMPUTED_VALUE"""),"26233")</f>
        <v>26233</v>
      </c>
      <c r="B171" s="3" t="str">
        <f>IFERROR(__xludf.DUMMYFUNCTION("""COMPUTED_VALUE"""),"ด.ญ.ฟาเดีย บือราเฮง")</f>
        <v>ด.ญ.ฟาเดีย บือราเฮง</v>
      </c>
      <c r="C171" s="3" t="str">
        <f>IFERROR(__xludf.DUMMYFUNCTION("""COMPUTED_VALUE"""),"ม.1/5")</f>
        <v>ม.1/5</v>
      </c>
      <c r="D171" s="3" t="str">
        <f>IFERROR(__xludf.DUMMYFUNCTION("""COMPUTED_VALUE"""),"อก.1/5")</f>
        <v>อก.1/5</v>
      </c>
      <c r="E171" s="2" t="str">
        <f>IFERROR(__xludf.DUMMYFUNCTION("""COMPUTED_VALUE"""),"หญิง")</f>
        <v>หญิง</v>
      </c>
      <c r="F171" s="5" t="str">
        <f>IFERROR(__xludf.DUMMYFUNCTION("""COMPUTED_VALUE"""),"https://azizstan.net/student_image/26233.jpg")</f>
        <v>https://azizstan.net/student_image/26233.jpg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 t="str">
        <f>IFERROR(__xludf.DUMMYFUNCTION("""COMPUTED_VALUE"""),"26237")</f>
        <v>26237</v>
      </c>
      <c r="B172" s="3" t="str">
        <f>IFERROR(__xludf.DUMMYFUNCTION("""COMPUTED_VALUE"""),"ด.ญ.ฮัยฟาอ์ เบ็ญมูฮัมมัด")</f>
        <v>ด.ญ.ฮัยฟาอ์ เบ็ญมูฮัมมัด</v>
      </c>
      <c r="C172" s="3" t="str">
        <f>IFERROR(__xludf.DUMMYFUNCTION("""COMPUTED_VALUE"""),"ม.1/5")</f>
        <v>ม.1/5</v>
      </c>
      <c r="D172" s="3" t="str">
        <f>IFERROR(__xludf.DUMMYFUNCTION("""COMPUTED_VALUE"""),"อก.1/5")</f>
        <v>อก.1/5</v>
      </c>
      <c r="E172" s="2" t="str">
        <f>IFERROR(__xludf.DUMMYFUNCTION("""COMPUTED_VALUE"""),"หญิง")</f>
        <v>หญิง</v>
      </c>
      <c r="F172" s="5" t="str">
        <f>IFERROR(__xludf.DUMMYFUNCTION("""COMPUTED_VALUE"""),"https://azizstan.net/student_image/26237.jpg")</f>
        <v>https://azizstan.net/student_image/26237.jpg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 t="str">
        <f>IFERROR(__xludf.DUMMYFUNCTION("""COMPUTED_VALUE"""),"26251")</f>
        <v>26251</v>
      </c>
      <c r="B173" s="3" t="str">
        <f>IFERROR(__xludf.DUMMYFUNCTION("""COMPUTED_VALUE"""),"ด.ญ.ฟาร์ติญน์ อาแว")</f>
        <v>ด.ญ.ฟาร์ติญน์ อาแว</v>
      </c>
      <c r="C173" s="3" t="str">
        <f>IFERROR(__xludf.DUMMYFUNCTION("""COMPUTED_VALUE"""),"ม.1/5")</f>
        <v>ม.1/5</v>
      </c>
      <c r="D173" s="3" t="str">
        <f>IFERROR(__xludf.DUMMYFUNCTION("""COMPUTED_VALUE"""),"อก.1/5")</f>
        <v>อก.1/5</v>
      </c>
      <c r="E173" s="2" t="str">
        <f>IFERROR(__xludf.DUMMYFUNCTION("""COMPUTED_VALUE"""),"หญิง")</f>
        <v>หญิง</v>
      </c>
      <c r="F173" s="5" t="str">
        <f>IFERROR(__xludf.DUMMYFUNCTION("""COMPUTED_VALUE"""),"https://azizstan.net/student_image/26251.jpg")</f>
        <v>https://azizstan.net/student_image/26251.jpg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 t="str">
        <f>IFERROR(__xludf.DUMMYFUNCTION("""COMPUTED_VALUE"""),"26252")</f>
        <v>26252</v>
      </c>
      <c r="B174" s="3" t="str">
        <f>IFERROR(__xludf.DUMMYFUNCTION("""COMPUTED_VALUE"""),"ด.ญ.ดารียา หัดสาหมัด")</f>
        <v>ด.ญ.ดารียา หัดสาหมัด</v>
      </c>
      <c r="C174" s="3" t="str">
        <f>IFERROR(__xludf.DUMMYFUNCTION("""COMPUTED_VALUE"""),"ม.1/5")</f>
        <v>ม.1/5</v>
      </c>
      <c r="D174" s="3" t="str">
        <f>IFERROR(__xludf.DUMMYFUNCTION("""COMPUTED_VALUE"""),"อก.1/5")</f>
        <v>อก.1/5</v>
      </c>
      <c r="E174" s="2" t="str">
        <f>IFERROR(__xludf.DUMMYFUNCTION("""COMPUTED_VALUE"""),"หญิง")</f>
        <v>หญิง</v>
      </c>
      <c r="F174" s="5" t="str">
        <f>IFERROR(__xludf.DUMMYFUNCTION("""COMPUTED_VALUE"""),"https://azizstan.net/student_image/26252.jpg")</f>
        <v>https://azizstan.net/student_image/26252.jpg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 t="str">
        <f>IFERROR(__xludf.DUMMYFUNCTION("""COMPUTED_VALUE"""),"26284")</f>
        <v>26284</v>
      </c>
      <c r="B175" s="3" t="str">
        <f>IFERROR(__xludf.DUMMYFUNCTION("""COMPUTED_VALUE"""),"ด.ญ.กัลยรัตน์ โคตรสมบัติ")</f>
        <v>ด.ญ.กัลยรัตน์ โคตรสมบัติ</v>
      </c>
      <c r="C175" s="3" t="str">
        <f>IFERROR(__xludf.DUMMYFUNCTION("""COMPUTED_VALUE"""),"ม.1/5")</f>
        <v>ม.1/5</v>
      </c>
      <c r="D175" s="3" t="str">
        <f>IFERROR(__xludf.DUMMYFUNCTION("""COMPUTED_VALUE"""),"อก.1/5")</f>
        <v>อก.1/5</v>
      </c>
      <c r="E175" s="2" t="str">
        <f>IFERROR(__xludf.DUMMYFUNCTION("""COMPUTED_VALUE"""),"หญิง")</f>
        <v>หญิง</v>
      </c>
      <c r="F175" s="5" t="str">
        <f>IFERROR(__xludf.DUMMYFUNCTION("""COMPUTED_VALUE"""),"https://azizstan.net/student_image/26284.jpg")</f>
        <v>https://azizstan.net/student_image/26284.jpg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 t="str">
        <f>IFERROR(__xludf.DUMMYFUNCTION("""COMPUTED_VALUE"""),"26345")</f>
        <v>26345</v>
      </c>
      <c r="B176" s="3" t="str">
        <f>IFERROR(__xludf.DUMMYFUNCTION("""COMPUTED_VALUE"""),"ด.ญ.ศศิภัสสร์ สั่นสท้าน")</f>
        <v>ด.ญ.ศศิภัสสร์ สั่นสท้าน</v>
      </c>
      <c r="C176" s="3" t="str">
        <f>IFERROR(__xludf.DUMMYFUNCTION("""COMPUTED_VALUE"""),"ม.1/5")</f>
        <v>ม.1/5</v>
      </c>
      <c r="D176" s="3" t="str">
        <f>IFERROR(__xludf.DUMMYFUNCTION("""COMPUTED_VALUE"""),"อก.1/5")</f>
        <v>อก.1/5</v>
      </c>
      <c r="E176" s="2" t="str">
        <f>IFERROR(__xludf.DUMMYFUNCTION("""COMPUTED_VALUE"""),"หญิง")</f>
        <v>หญิง</v>
      </c>
      <c r="F176" s="5" t="str">
        <f>IFERROR(__xludf.DUMMYFUNCTION("""COMPUTED_VALUE"""),"https://azizstan.net/student_image/26345.jpg")</f>
        <v>https://azizstan.net/student_image/26345.jpg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 t="str">
        <f>IFERROR(__xludf.DUMMYFUNCTION("""COMPUTED_VALUE"""),"26417")</f>
        <v>26417</v>
      </c>
      <c r="B177" s="3" t="str">
        <f>IFERROR(__xludf.DUMMYFUNCTION("""COMPUTED_VALUE"""),"ด.ช.นาอิฟ บิลละโสย")</f>
        <v>ด.ช.นาอิฟ บิลละโสย</v>
      </c>
      <c r="C177" s="3" t="str">
        <f>IFERROR(__xludf.DUMMYFUNCTION("""COMPUTED_VALUE"""),"ม.1/5")</f>
        <v>ม.1/5</v>
      </c>
      <c r="D177" s="3" t="str">
        <f>IFERROR(__xludf.DUMMYFUNCTION("""COMPUTED_VALUE"""),"อก.1/5")</f>
        <v>อก.1/5</v>
      </c>
      <c r="E177" s="2" t="str">
        <f>IFERROR(__xludf.DUMMYFUNCTION("""COMPUTED_VALUE"""),"ชาย")</f>
        <v>ชาย</v>
      </c>
      <c r="F177" s="5" t="str">
        <f>IFERROR(__xludf.DUMMYFUNCTION("""COMPUTED_VALUE"""),"https://azizstan.net/student_image/26417.jpg")</f>
        <v>https://azizstan.net/student_image/26417.jpg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 t="str">
        <f>IFERROR(__xludf.DUMMYFUNCTION("""COMPUTED_VALUE"""),"26436")</f>
        <v>26436</v>
      </c>
      <c r="B178" s="3" t="str">
        <f>IFERROR(__xludf.DUMMYFUNCTION("""COMPUTED_VALUE"""),"ด.ญ.นูรลีนา ภูเวียง")</f>
        <v>ด.ญ.นูรลีนา ภูเวียง</v>
      </c>
      <c r="C178" s="3" t="str">
        <f>IFERROR(__xludf.DUMMYFUNCTION("""COMPUTED_VALUE"""),"ม.1/5")</f>
        <v>ม.1/5</v>
      </c>
      <c r="D178" s="3" t="str">
        <f>IFERROR(__xludf.DUMMYFUNCTION("""COMPUTED_VALUE"""),"อก.1/5")</f>
        <v>อก.1/5</v>
      </c>
      <c r="E178" s="2" t="str">
        <f>IFERROR(__xludf.DUMMYFUNCTION("""COMPUTED_VALUE"""),"หญิง")</f>
        <v>หญิง</v>
      </c>
      <c r="F178" s="5" t="str">
        <f>IFERROR(__xludf.DUMMYFUNCTION("""COMPUTED_VALUE"""),"https://azizstan.net/student_image/26436.jpg")</f>
        <v>https://azizstan.net/student_image/26436.jpg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 t="str">
        <f>IFERROR(__xludf.DUMMYFUNCTION("""COMPUTED_VALUE"""),"26447")</f>
        <v>26447</v>
      </c>
      <c r="B179" s="3" t="str">
        <f>IFERROR(__xludf.DUMMYFUNCTION("""COMPUTED_VALUE"""),"ด.ช.อัฟฮัม สาหลำ")</f>
        <v>ด.ช.อัฟฮัม สาหลำ</v>
      </c>
      <c r="C179" s="3" t="str">
        <f>IFERROR(__xludf.DUMMYFUNCTION("""COMPUTED_VALUE"""),"ม.1/5")</f>
        <v>ม.1/5</v>
      </c>
      <c r="D179" s="3" t="str">
        <f>IFERROR(__xludf.DUMMYFUNCTION("""COMPUTED_VALUE"""),"อก.1/5")</f>
        <v>อก.1/5</v>
      </c>
      <c r="E179" s="2" t="str">
        <f>IFERROR(__xludf.DUMMYFUNCTION("""COMPUTED_VALUE"""),"ชาย")</f>
        <v>ชาย</v>
      </c>
      <c r="F179" s="5" t="str">
        <f>IFERROR(__xludf.DUMMYFUNCTION("""COMPUTED_VALUE"""),"https://azizstan.net/student_image/26447.jpg")</f>
        <v>https://azizstan.net/student_image/26447.jpg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 t="str">
        <f>IFERROR(__xludf.DUMMYFUNCTION("""COMPUTED_VALUE"""),"26448")</f>
        <v>26448</v>
      </c>
      <c r="B180" s="3" t="str">
        <f>IFERROR(__xludf.DUMMYFUNCTION("""COMPUTED_VALUE"""),"ด.ช.ธาวิน โต๊ะสา")</f>
        <v>ด.ช.ธาวิน โต๊ะสา</v>
      </c>
      <c r="C180" s="3" t="str">
        <f>IFERROR(__xludf.DUMMYFUNCTION("""COMPUTED_VALUE"""),"ม.1/5")</f>
        <v>ม.1/5</v>
      </c>
      <c r="D180" s="3" t="str">
        <f>IFERROR(__xludf.DUMMYFUNCTION("""COMPUTED_VALUE"""),"อก.1/5")</f>
        <v>อก.1/5</v>
      </c>
      <c r="E180" s="2" t="str">
        <f>IFERROR(__xludf.DUMMYFUNCTION("""COMPUTED_VALUE"""),"ชาย")</f>
        <v>ชาย</v>
      </c>
      <c r="F180" s="5" t="str">
        <f>IFERROR(__xludf.DUMMYFUNCTION("""COMPUTED_VALUE"""),"https://azizstan.net/student_image/26448.jpg")</f>
        <v>https://azizstan.net/student_image/26448.jpg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 t="str">
        <f>IFERROR(__xludf.DUMMYFUNCTION("""COMPUTED_VALUE"""),"26450")</f>
        <v>26450</v>
      </c>
      <c r="B181" s="3" t="str">
        <f>IFERROR(__xludf.DUMMYFUNCTION("""COMPUTED_VALUE"""),"ด.ช.ซอฟฟาร์น สามะ")</f>
        <v>ด.ช.ซอฟฟาร์น สามะ</v>
      </c>
      <c r="C181" s="3" t="str">
        <f>IFERROR(__xludf.DUMMYFUNCTION("""COMPUTED_VALUE"""),"ม.1/5")</f>
        <v>ม.1/5</v>
      </c>
      <c r="D181" s="3" t="str">
        <f>IFERROR(__xludf.DUMMYFUNCTION("""COMPUTED_VALUE"""),"อก.1/5")</f>
        <v>อก.1/5</v>
      </c>
      <c r="E181" s="2" t="str">
        <f>IFERROR(__xludf.DUMMYFUNCTION("""COMPUTED_VALUE"""),"ชาย")</f>
        <v>ชาย</v>
      </c>
      <c r="F181" s="5" t="str">
        <f>IFERROR(__xludf.DUMMYFUNCTION("""COMPUTED_VALUE"""),"https://azizstan.net/student_image/26450.jpg")</f>
        <v>https://azizstan.net/student_image/26450.jpg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 t="str">
        <f>IFERROR(__xludf.DUMMYFUNCTION("""COMPUTED_VALUE"""),"26454")</f>
        <v>26454</v>
      </c>
      <c r="B182" s="3" t="str">
        <f>IFERROR(__xludf.DUMMYFUNCTION("""COMPUTED_VALUE"""),"ด.ช.ฮาฟิส ลาเตะ")</f>
        <v>ด.ช.ฮาฟิส ลาเตะ</v>
      </c>
      <c r="C182" s="3" t="str">
        <f>IFERROR(__xludf.DUMMYFUNCTION("""COMPUTED_VALUE"""),"ม.1/5")</f>
        <v>ม.1/5</v>
      </c>
      <c r="D182" s="3" t="str">
        <f>IFERROR(__xludf.DUMMYFUNCTION("""COMPUTED_VALUE"""),"อก.1/5")</f>
        <v>อก.1/5</v>
      </c>
      <c r="E182" s="2" t="str">
        <f>IFERROR(__xludf.DUMMYFUNCTION("""COMPUTED_VALUE"""),"ชาย")</f>
        <v>ชาย</v>
      </c>
      <c r="F182" s="5" t="str">
        <f>IFERROR(__xludf.DUMMYFUNCTION("""COMPUTED_VALUE"""),"https://azizstan.net/student_image/26454.jpg")</f>
        <v>https://azizstan.net/student_image/26454.jpg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 t="str">
        <f>IFERROR(__xludf.DUMMYFUNCTION("""COMPUTED_VALUE"""),"26459")</f>
        <v>26459</v>
      </c>
      <c r="B183" s="3" t="str">
        <f>IFERROR(__xludf.DUMMYFUNCTION("""COMPUTED_VALUE"""),"ด.ช.นูรุดดีน สุขสมบูรณ์")</f>
        <v>ด.ช.นูรุดดีน สุขสมบูรณ์</v>
      </c>
      <c r="C183" s="3" t="str">
        <f>IFERROR(__xludf.DUMMYFUNCTION("""COMPUTED_VALUE"""),"ม.1/5")</f>
        <v>ม.1/5</v>
      </c>
      <c r="D183" s="3" t="str">
        <f>IFERROR(__xludf.DUMMYFUNCTION("""COMPUTED_VALUE"""),"อก.1/5")</f>
        <v>อก.1/5</v>
      </c>
      <c r="E183" s="2" t="str">
        <f>IFERROR(__xludf.DUMMYFUNCTION("""COMPUTED_VALUE"""),"ชาย")</f>
        <v>ชาย</v>
      </c>
      <c r="F183" s="5" t="str">
        <f>IFERROR(__xludf.DUMMYFUNCTION("""COMPUTED_VALUE"""),"https://azizstan.net/student_image/26459.jpg")</f>
        <v>https://azizstan.net/student_image/26459.jpg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 t="str">
        <f>IFERROR(__xludf.DUMMYFUNCTION("""COMPUTED_VALUE"""),"26475")</f>
        <v>26475</v>
      </c>
      <c r="B184" s="3" t="str">
        <f>IFERROR(__xludf.DUMMYFUNCTION("""COMPUTED_VALUE"""),"ด.ญ.คอลีซา ดอเล๊าะ")</f>
        <v>ด.ญ.คอลีซา ดอเล๊าะ</v>
      </c>
      <c r="C184" s="3" t="str">
        <f>IFERROR(__xludf.DUMMYFUNCTION("""COMPUTED_VALUE"""),"ม.1/5")</f>
        <v>ม.1/5</v>
      </c>
      <c r="D184" s="3" t="str">
        <f>IFERROR(__xludf.DUMMYFUNCTION("""COMPUTED_VALUE"""),"อก.1/5")</f>
        <v>อก.1/5</v>
      </c>
      <c r="E184" s="2" t="str">
        <f>IFERROR(__xludf.DUMMYFUNCTION("""COMPUTED_VALUE"""),"หญิง")</f>
        <v>หญิง</v>
      </c>
      <c r="F184" s="5" t="str">
        <f>IFERROR(__xludf.DUMMYFUNCTION("""COMPUTED_VALUE"""),"https://azizstan.net/student_image/26475.jpg")</f>
        <v>https://azizstan.net/student_image/26475.jpg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 t="str">
        <f>IFERROR(__xludf.DUMMYFUNCTION("""COMPUTED_VALUE"""),"26504")</f>
        <v>26504</v>
      </c>
      <c r="B185" s="3" t="str">
        <f>IFERROR(__xludf.DUMMYFUNCTION("""COMPUTED_VALUE"""),"ด.ช.อามีน คชสาร")</f>
        <v>ด.ช.อามีน คชสาร</v>
      </c>
      <c r="C185" s="3" t="str">
        <f>IFERROR(__xludf.DUMMYFUNCTION("""COMPUTED_VALUE"""),"ม.1/5")</f>
        <v>ม.1/5</v>
      </c>
      <c r="D185" s="3" t="str">
        <f>IFERROR(__xludf.DUMMYFUNCTION("""COMPUTED_VALUE"""),"อก.1/5")</f>
        <v>อก.1/5</v>
      </c>
      <c r="E185" s="2" t="str">
        <f>IFERROR(__xludf.DUMMYFUNCTION("""COMPUTED_VALUE"""),"ชาย")</f>
        <v>ชาย</v>
      </c>
      <c r="F185" s="5" t="str">
        <f>IFERROR(__xludf.DUMMYFUNCTION("""COMPUTED_VALUE"""),"https://azizstan.net/student_image/26504.jpg")</f>
        <v>https://azizstan.net/student_image/26504.jpg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 t="str">
        <f>IFERROR(__xludf.DUMMYFUNCTION("""COMPUTED_VALUE"""),"26520")</f>
        <v>26520</v>
      </c>
      <c r="B186" s="3" t="str">
        <f>IFERROR(__xludf.DUMMYFUNCTION("""COMPUTED_VALUE"""),"ด.ช.กันตธีร์ สองเมือง")</f>
        <v>ด.ช.กันตธีร์ สองเมือง</v>
      </c>
      <c r="C186" s="3" t="str">
        <f>IFERROR(__xludf.DUMMYFUNCTION("""COMPUTED_VALUE"""),"ม.1/5")</f>
        <v>ม.1/5</v>
      </c>
      <c r="D186" s="3" t="str">
        <f>IFERROR(__xludf.DUMMYFUNCTION("""COMPUTED_VALUE"""),"อก.1/5")</f>
        <v>อก.1/5</v>
      </c>
      <c r="E186" s="2" t="str">
        <f>IFERROR(__xludf.DUMMYFUNCTION("""COMPUTED_VALUE"""),"ชาย")</f>
        <v>ชาย</v>
      </c>
      <c r="F186" s="5" t="str">
        <f>IFERROR(__xludf.DUMMYFUNCTION("""COMPUTED_VALUE"""),"https://azizstan.net/student_image/26520.jpg")</f>
        <v>https://azizstan.net/student_image/26520.jpg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 t="str">
        <f>IFERROR(__xludf.DUMMYFUNCTION("""COMPUTED_VALUE"""),"26524")</f>
        <v>26524</v>
      </c>
      <c r="B187" s="3" t="str">
        <f>IFERROR(__xludf.DUMMYFUNCTION("""COMPUTED_VALUE"""),"ด.ญ.นูรอัยนา กูนา")</f>
        <v>ด.ญ.นูรอัยนา กูนา</v>
      </c>
      <c r="C187" s="3" t="str">
        <f>IFERROR(__xludf.DUMMYFUNCTION("""COMPUTED_VALUE"""),"ม.1/5")</f>
        <v>ม.1/5</v>
      </c>
      <c r="D187" s="3" t="str">
        <f>IFERROR(__xludf.DUMMYFUNCTION("""COMPUTED_VALUE"""),"อก.1/5")</f>
        <v>อก.1/5</v>
      </c>
      <c r="E187" s="2" t="str">
        <f>IFERROR(__xludf.DUMMYFUNCTION("""COMPUTED_VALUE"""),"หญิง")</f>
        <v>หญิง</v>
      </c>
      <c r="F187" s="5" t="str">
        <f>IFERROR(__xludf.DUMMYFUNCTION("""COMPUTED_VALUE"""),"https://azizstan.net/student_image/26524.jpg")</f>
        <v>https://azizstan.net/student_image/26524.jpg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 t="str">
        <f>IFERROR(__xludf.DUMMYFUNCTION("""COMPUTED_VALUE"""),"26529")</f>
        <v>26529</v>
      </c>
      <c r="B188" s="3" t="str">
        <f>IFERROR(__xludf.DUMMYFUNCTION("""COMPUTED_VALUE"""),"ด.ญ.นินาดีละห์ อาลี")</f>
        <v>ด.ญ.นินาดีละห์ อาลี</v>
      </c>
      <c r="C188" s="3" t="str">
        <f>IFERROR(__xludf.DUMMYFUNCTION("""COMPUTED_VALUE"""),"ม.1/5")</f>
        <v>ม.1/5</v>
      </c>
      <c r="D188" s="3" t="str">
        <f>IFERROR(__xludf.DUMMYFUNCTION("""COMPUTED_VALUE"""),"อก.1/5")</f>
        <v>อก.1/5</v>
      </c>
      <c r="E188" s="2" t="str">
        <f>IFERROR(__xludf.DUMMYFUNCTION("""COMPUTED_VALUE"""),"หญิง")</f>
        <v>หญิง</v>
      </c>
      <c r="F188" s="5" t="str">
        <f>IFERROR(__xludf.DUMMYFUNCTION("""COMPUTED_VALUE"""),"https://azizstan.net/student_image/26529.jpg")</f>
        <v>https://azizstan.net/student_image/26529.jpg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 t="str">
        <f>IFERROR(__xludf.DUMMYFUNCTION("""COMPUTED_VALUE"""),"26598")</f>
        <v>26598</v>
      </c>
      <c r="B189" s="3" t="str">
        <f>IFERROR(__xludf.DUMMYFUNCTION("""COMPUTED_VALUE"""),"ด.ญ.ซัลบีนี เจ๊ะดาโอะ")</f>
        <v>ด.ญ.ซัลบีนี เจ๊ะดาโอะ</v>
      </c>
      <c r="C189" s="3" t="str">
        <f>IFERROR(__xludf.DUMMYFUNCTION("""COMPUTED_VALUE"""),"ม.1/5")</f>
        <v>ม.1/5</v>
      </c>
      <c r="D189" s="3" t="str">
        <f>IFERROR(__xludf.DUMMYFUNCTION("""COMPUTED_VALUE"""),"อก.1/5")</f>
        <v>อก.1/5</v>
      </c>
      <c r="E189" s="2" t="str">
        <f>IFERROR(__xludf.DUMMYFUNCTION("""COMPUTED_VALUE"""),"หญิง")</f>
        <v>หญิง</v>
      </c>
      <c r="F189" s="5" t="str">
        <f>IFERROR(__xludf.DUMMYFUNCTION("""COMPUTED_VALUE"""),"https://azizstan.net/student_image/26598.jpg")</f>
        <v>https://azizstan.net/student_image/26598.jpg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 t="str">
        <f>IFERROR(__xludf.DUMMYFUNCTION("""COMPUTED_VALUE"""),"26604")</f>
        <v>26604</v>
      </c>
      <c r="B190" s="3" t="str">
        <f>IFERROR(__xludf.DUMMYFUNCTION("""COMPUTED_VALUE"""),"ด.ช.อิกรอม บาฮา")</f>
        <v>ด.ช.อิกรอม บาฮา</v>
      </c>
      <c r="C190" s="3" t="str">
        <f>IFERROR(__xludf.DUMMYFUNCTION("""COMPUTED_VALUE"""),"ม.1/5")</f>
        <v>ม.1/5</v>
      </c>
      <c r="D190" s="3" t="str">
        <f>IFERROR(__xludf.DUMMYFUNCTION("""COMPUTED_VALUE"""),"อก.1/5")</f>
        <v>อก.1/5</v>
      </c>
      <c r="E190" s="2" t="str">
        <f>IFERROR(__xludf.DUMMYFUNCTION("""COMPUTED_VALUE"""),"ชาย")</f>
        <v>ชาย</v>
      </c>
      <c r="F190" s="5" t="str">
        <f>IFERROR(__xludf.DUMMYFUNCTION("""COMPUTED_VALUE"""),"https://azizstan.net/student_image/26604.jpg")</f>
        <v>https://azizstan.net/student_image/26604.jpg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 t="str">
        <f>IFERROR(__xludf.DUMMYFUNCTION("""COMPUTED_VALUE"""),"26708")</f>
        <v>26708</v>
      </c>
      <c r="B191" s="3" t="str">
        <f>IFERROR(__xludf.DUMMYFUNCTION("""COMPUTED_VALUE"""),"ด.ญ.สิรินต้าร์ บรรดา")</f>
        <v>ด.ญ.สิรินต้าร์ บรรดา</v>
      </c>
      <c r="C191" s="3" t="str">
        <f>IFERROR(__xludf.DUMMYFUNCTION("""COMPUTED_VALUE"""),"ม.1/5")</f>
        <v>ม.1/5</v>
      </c>
      <c r="D191" s="3" t="str">
        <f>IFERROR(__xludf.DUMMYFUNCTION("""COMPUTED_VALUE"""),"อก.1/5")</f>
        <v>อก.1/5</v>
      </c>
      <c r="E191" s="2" t="str">
        <f>IFERROR(__xludf.DUMMYFUNCTION("""COMPUTED_VALUE"""),"หญิง")</f>
        <v>หญิง</v>
      </c>
      <c r="F191" s="5" t="str">
        <f>IFERROR(__xludf.DUMMYFUNCTION("""COMPUTED_VALUE"""),"https://azizstan.net/student_image/26708.jpg")</f>
        <v>https://azizstan.net/student_image/26708.jpg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 t="str">
        <f>IFERROR(__xludf.DUMMYFUNCTION("""COMPUTED_VALUE"""),"26717")</f>
        <v>26717</v>
      </c>
      <c r="B192" s="3" t="str">
        <f>IFERROR(__xludf.DUMMYFUNCTION("""COMPUTED_VALUE"""),"ด.ญ.นุรฟัจรี ดาราแม")</f>
        <v>ด.ญ.นุรฟัจรี ดาราแม</v>
      </c>
      <c r="C192" s="3" t="str">
        <f>IFERROR(__xludf.DUMMYFUNCTION("""COMPUTED_VALUE"""),"ม.1/5")</f>
        <v>ม.1/5</v>
      </c>
      <c r="D192" s="3" t="str">
        <f>IFERROR(__xludf.DUMMYFUNCTION("""COMPUTED_VALUE"""),"อก.1/5")</f>
        <v>อก.1/5</v>
      </c>
      <c r="E192" s="2" t="str">
        <f>IFERROR(__xludf.DUMMYFUNCTION("""COMPUTED_VALUE"""),"หญิง")</f>
        <v>หญิง</v>
      </c>
      <c r="F192" s="5" t="str">
        <f>IFERROR(__xludf.DUMMYFUNCTION("""COMPUTED_VALUE"""),"https://azizstan.net/student_image/26717.jpg")</f>
        <v>https://azizstan.net/student_image/26717.jpg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 t="str">
        <f>IFERROR(__xludf.DUMMYFUNCTION("""COMPUTED_VALUE"""),"26729")</f>
        <v>26729</v>
      </c>
      <c r="B193" s="3" t="str">
        <f>IFERROR(__xludf.DUMMYFUNCTION("""COMPUTED_VALUE"""),"ด.ช.ชารีฟ อาลี")</f>
        <v>ด.ช.ชารีฟ อาลี</v>
      </c>
      <c r="C193" s="3" t="str">
        <f>IFERROR(__xludf.DUMMYFUNCTION("""COMPUTED_VALUE"""),"ม.1/5")</f>
        <v>ม.1/5</v>
      </c>
      <c r="D193" s="3" t="str">
        <f>IFERROR(__xludf.DUMMYFUNCTION("""COMPUTED_VALUE"""),"อก.1/5")</f>
        <v>อก.1/5</v>
      </c>
      <c r="E193" s="2" t="str">
        <f>IFERROR(__xludf.DUMMYFUNCTION("""COMPUTED_VALUE"""),"ชาย")</f>
        <v>ชาย</v>
      </c>
      <c r="F193" s="5" t="str">
        <f>IFERROR(__xludf.DUMMYFUNCTION("""COMPUTED_VALUE"""),"https://azizstan.net/student_image/26729.jpg")</f>
        <v>https://azizstan.net/student_image/26729.jpg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 t="str">
        <f>IFERROR(__xludf.DUMMYFUNCTION("""COMPUTED_VALUE"""),"26748")</f>
        <v>26748</v>
      </c>
      <c r="B194" s="3" t="str">
        <f>IFERROR(__xludf.DUMMYFUNCTION("""COMPUTED_VALUE"""),"ด.ญ.วิรุฬรัตน์ ดาหลาย")</f>
        <v>ด.ญ.วิรุฬรัตน์ ดาหลาย</v>
      </c>
      <c r="C194" s="3" t="str">
        <f>IFERROR(__xludf.DUMMYFUNCTION("""COMPUTED_VALUE"""),"ม.1/5")</f>
        <v>ม.1/5</v>
      </c>
      <c r="D194" s="3" t="str">
        <f>IFERROR(__xludf.DUMMYFUNCTION("""COMPUTED_VALUE"""),"อก.1/5")</f>
        <v>อก.1/5</v>
      </c>
      <c r="E194" s="2" t="str">
        <f>IFERROR(__xludf.DUMMYFUNCTION("""COMPUTED_VALUE"""),"หญิง")</f>
        <v>หญิง</v>
      </c>
      <c r="F194" s="5" t="str">
        <f>IFERROR(__xludf.DUMMYFUNCTION("""COMPUTED_VALUE"""),"https://azizstan.net/student_image/26748.jpg")</f>
        <v>https://azizstan.net/student_image/26748.jpg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 t="str">
        <f>IFERROR(__xludf.DUMMYFUNCTION("""COMPUTED_VALUE"""),"26777")</f>
        <v>26777</v>
      </c>
      <c r="B195" s="3" t="str">
        <f>IFERROR(__xludf.DUMMYFUNCTION("""COMPUTED_VALUE"""),"ด.ญ.อัสมาณี แมเร๊าะ")</f>
        <v>ด.ญ.อัสมาณี แมเร๊าะ</v>
      </c>
      <c r="C195" s="3" t="str">
        <f>IFERROR(__xludf.DUMMYFUNCTION("""COMPUTED_VALUE"""),"ม.1/5")</f>
        <v>ม.1/5</v>
      </c>
      <c r="D195" s="3" t="str">
        <f>IFERROR(__xludf.DUMMYFUNCTION("""COMPUTED_VALUE"""),"อก.1/5")</f>
        <v>อก.1/5</v>
      </c>
      <c r="E195" s="2" t="str">
        <f>IFERROR(__xludf.DUMMYFUNCTION("""COMPUTED_VALUE"""),"หญิง")</f>
        <v>หญิง</v>
      </c>
      <c r="F195" s="5" t="str">
        <f>IFERROR(__xludf.DUMMYFUNCTION("""COMPUTED_VALUE"""),"https://azizstan.net/student_image/26777.jpg")</f>
        <v>https://azizstan.net/student_image/26777.jpg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 t="str">
        <f>IFERROR(__xludf.DUMMYFUNCTION("""COMPUTED_VALUE"""),"26806")</f>
        <v>26806</v>
      </c>
      <c r="B196" s="3" t="str">
        <f>IFERROR(__xludf.DUMMYFUNCTION("""COMPUTED_VALUE"""),"ด.ช.ฮัมดาน หะมะ")</f>
        <v>ด.ช.ฮัมดาน หะมะ</v>
      </c>
      <c r="C196" s="3" t="str">
        <f>IFERROR(__xludf.DUMMYFUNCTION("""COMPUTED_VALUE"""),"ม.1/5")</f>
        <v>ม.1/5</v>
      </c>
      <c r="D196" s="3" t="str">
        <f>IFERROR(__xludf.DUMMYFUNCTION("""COMPUTED_VALUE"""),"อก.1/5")</f>
        <v>อก.1/5</v>
      </c>
      <c r="E196" s="2" t="str">
        <f>IFERROR(__xludf.DUMMYFUNCTION("""COMPUTED_VALUE"""),"ชาย")</f>
        <v>ชาย</v>
      </c>
      <c r="F196" s="5" t="str">
        <f>IFERROR(__xludf.DUMMYFUNCTION("""COMPUTED_VALUE"""),"https://azizstan.net/student_image/26806.jpg")</f>
        <v>https://azizstan.net/student_image/26806.jpg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 t="str">
        <f>IFERROR(__xludf.DUMMYFUNCTION("""COMPUTED_VALUE"""),"26053")</f>
        <v>26053</v>
      </c>
      <c r="B197" s="3" t="str">
        <f>IFERROR(__xludf.DUMMYFUNCTION("""COMPUTED_VALUE"""),"ด.ญ.ซอลีฮะห์ นิ")</f>
        <v>ด.ญ.ซอลีฮะห์ นิ</v>
      </c>
      <c r="C197" s="3" t="str">
        <f>IFERROR(__xludf.DUMMYFUNCTION("""COMPUTED_VALUE"""),"ม.1/6")</f>
        <v>ม.1/6</v>
      </c>
      <c r="D197" s="3" t="str">
        <f>IFERROR(__xludf.DUMMYFUNCTION("""COMPUTED_VALUE"""),"PR 1/6")</f>
        <v>PR 1/6</v>
      </c>
      <c r="E197" s="2" t="str">
        <f>IFERROR(__xludf.DUMMYFUNCTION("""COMPUTED_VALUE"""),"หญิง")</f>
        <v>หญิง</v>
      </c>
      <c r="F197" s="5" t="str">
        <f>IFERROR(__xludf.DUMMYFUNCTION("""COMPUTED_VALUE"""),"https://azizstan.net/student_image/26053.jpg")</f>
        <v>https://azizstan.net/student_image/26053.jpg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 t="str">
        <f>IFERROR(__xludf.DUMMYFUNCTION("""COMPUTED_VALUE"""),"26054")</f>
        <v>26054</v>
      </c>
      <c r="B198" s="3" t="str">
        <f>IFERROR(__xludf.DUMMYFUNCTION("""COMPUTED_VALUE"""),"ด.ญ.อัสมะ อีซอ")</f>
        <v>ด.ญ.อัสมะ อีซอ</v>
      </c>
      <c r="C198" s="3" t="str">
        <f>IFERROR(__xludf.DUMMYFUNCTION("""COMPUTED_VALUE"""),"ม.1/6")</f>
        <v>ม.1/6</v>
      </c>
      <c r="D198" s="3" t="str">
        <f>IFERROR(__xludf.DUMMYFUNCTION("""COMPUTED_VALUE"""),"PR 1/6")</f>
        <v>PR 1/6</v>
      </c>
      <c r="E198" s="2" t="str">
        <f>IFERROR(__xludf.DUMMYFUNCTION("""COMPUTED_VALUE"""),"หญิง")</f>
        <v>หญิง</v>
      </c>
      <c r="F198" s="5" t="str">
        <f>IFERROR(__xludf.DUMMYFUNCTION("""COMPUTED_VALUE"""),"https://azizstan.net/student_image/26054.jpg")</f>
        <v>https://azizstan.net/student_image/26054.jpg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 t="str">
        <f>IFERROR(__xludf.DUMMYFUNCTION("""COMPUTED_VALUE"""),"26059")</f>
        <v>26059</v>
      </c>
      <c r="B199" s="3" t="str">
        <f>IFERROR(__xludf.DUMMYFUNCTION("""COMPUTED_VALUE"""),"ด.ญ.นูรมายามิน มะและ")</f>
        <v>ด.ญ.นูรมายามิน มะและ</v>
      </c>
      <c r="C199" s="3" t="str">
        <f>IFERROR(__xludf.DUMMYFUNCTION("""COMPUTED_VALUE"""),"ม.1/6")</f>
        <v>ม.1/6</v>
      </c>
      <c r="D199" s="3" t="str">
        <f>IFERROR(__xludf.DUMMYFUNCTION("""COMPUTED_VALUE"""),"PR 1/6")</f>
        <v>PR 1/6</v>
      </c>
      <c r="E199" s="2" t="str">
        <f>IFERROR(__xludf.DUMMYFUNCTION("""COMPUTED_VALUE"""),"หญิง")</f>
        <v>หญิง</v>
      </c>
      <c r="F199" s="5" t="str">
        <f>IFERROR(__xludf.DUMMYFUNCTION("""COMPUTED_VALUE"""),"https://azizstan.net/student_image/26059.jpg")</f>
        <v>https://azizstan.net/student_image/26059.jpg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 t="str">
        <f>IFERROR(__xludf.DUMMYFUNCTION("""COMPUTED_VALUE"""),"26069")</f>
        <v>26069</v>
      </c>
      <c r="B200" s="3" t="str">
        <f>IFERROR(__xludf.DUMMYFUNCTION("""COMPUTED_VALUE"""),"ด.ญ.ฮัสมาฮ์ รมลี")</f>
        <v>ด.ญ.ฮัสมาฮ์ รมลี</v>
      </c>
      <c r="C200" s="3" t="str">
        <f>IFERROR(__xludf.DUMMYFUNCTION("""COMPUTED_VALUE"""),"ม.1/6")</f>
        <v>ม.1/6</v>
      </c>
      <c r="D200" s="3" t="str">
        <f>IFERROR(__xludf.DUMMYFUNCTION("""COMPUTED_VALUE"""),"PR 1/6")</f>
        <v>PR 1/6</v>
      </c>
      <c r="E200" s="2" t="str">
        <f>IFERROR(__xludf.DUMMYFUNCTION("""COMPUTED_VALUE"""),"หญิง")</f>
        <v>หญิง</v>
      </c>
      <c r="F200" s="5" t="str">
        <f>IFERROR(__xludf.DUMMYFUNCTION("""COMPUTED_VALUE"""),"https://azizstan.net/student_image/26069.jpg")</f>
        <v>https://azizstan.net/student_image/26069.jpg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 t="str">
        <f>IFERROR(__xludf.DUMMYFUNCTION("""COMPUTED_VALUE"""),"26071")</f>
        <v>26071</v>
      </c>
      <c r="B201" s="3" t="str">
        <f>IFERROR(__xludf.DUMMYFUNCTION("""COMPUTED_VALUE"""),"ด.ญ.นุรมี คงสังข์ยิ้ม")</f>
        <v>ด.ญ.นุรมี คงสังข์ยิ้ม</v>
      </c>
      <c r="C201" s="3" t="str">
        <f>IFERROR(__xludf.DUMMYFUNCTION("""COMPUTED_VALUE"""),"ม.1/6")</f>
        <v>ม.1/6</v>
      </c>
      <c r="D201" s="3" t="str">
        <f>IFERROR(__xludf.DUMMYFUNCTION("""COMPUTED_VALUE"""),"PR 1/6")</f>
        <v>PR 1/6</v>
      </c>
      <c r="E201" s="2" t="str">
        <f>IFERROR(__xludf.DUMMYFUNCTION("""COMPUTED_VALUE"""),"หญิง")</f>
        <v>หญิง</v>
      </c>
      <c r="F201" s="5" t="str">
        <f>IFERROR(__xludf.DUMMYFUNCTION("""COMPUTED_VALUE"""),"https://azizstan.net/student_image/26071.jpg")</f>
        <v>https://azizstan.net/student_image/26071.jpg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 t="str">
        <f>IFERROR(__xludf.DUMMYFUNCTION("""COMPUTED_VALUE"""),"26086")</f>
        <v>26086</v>
      </c>
      <c r="B202" s="3" t="str">
        <f>IFERROR(__xludf.DUMMYFUNCTION("""COMPUTED_VALUE"""),"ด.ญ.นัจมีย์ เจ๊ะเต๊ะ")</f>
        <v>ด.ญ.นัจมีย์ เจ๊ะเต๊ะ</v>
      </c>
      <c r="C202" s="3" t="str">
        <f>IFERROR(__xludf.DUMMYFUNCTION("""COMPUTED_VALUE"""),"ม.1/6")</f>
        <v>ม.1/6</v>
      </c>
      <c r="D202" s="3" t="str">
        <f>IFERROR(__xludf.DUMMYFUNCTION("""COMPUTED_VALUE"""),"PR 1/6")</f>
        <v>PR 1/6</v>
      </c>
      <c r="E202" s="2" t="str">
        <f>IFERROR(__xludf.DUMMYFUNCTION("""COMPUTED_VALUE"""),"หญิง")</f>
        <v>หญิง</v>
      </c>
      <c r="F202" s="5" t="str">
        <f>IFERROR(__xludf.DUMMYFUNCTION("""COMPUTED_VALUE"""),"https://azizstan.net/student_image/26086.jpg")</f>
        <v>https://azizstan.net/student_image/26086.jpg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 t="str">
        <f>IFERROR(__xludf.DUMMYFUNCTION("""COMPUTED_VALUE"""),"26099")</f>
        <v>26099</v>
      </c>
      <c r="B203" s="3" t="str">
        <f>IFERROR(__xludf.DUMMYFUNCTION("""COMPUTED_VALUE"""),"ด.ญ.มณีซาน หะยีมามะ")</f>
        <v>ด.ญ.มณีซาน หะยีมามะ</v>
      </c>
      <c r="C203" s="3" t="str">
        <f>IFERROR(__xludf.DUMMYFUNCTION("""COMPUTED_VALUE"""),"ม.1/6")</f>
        <v>ม.1/6</v>
      </c>
      <c r="D203" s="3" t="str">
        <f>IFERROR(__xludf.DUMMYFUNCTION("""COMPUTED_VALUE"""),"PR 1/6")</f>
        <v>PR 1/6</v>
      </c>
      <c r="E203" s="2" t="str">
        <f>IFERROR(__xludf.DUMMYFUNCTION("""COMPUTED_VALUE"""),"หญิง")</f>
        <v>หญิง</v>
      </c>
      <c r="F203" s="5" t="str">
        <f>IFERROR(__xludf.DUMMYFUNCTION("""COMPUTED_VALUE"""),"https://azizstan.net/student_image/26099.jpg")</f>
        <v>https://azizstan.net/student_image/26099.jpg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 t="str">
        <f>IFERROR(__xludf.DUMMYFUNCTION("""COMPUTED_VALUE"""),"26100")</f>
        <v>26100</v>
      </c>
      <c r="B204" s="3" t="str">
        <f>IFERROR(__xludf.DUMMYFUNCTION("""COMPUTED_VALUE"""),"ด.ญ.มัสรียา ยามา")</f>
        <v>ด.ญ.มัสรียา ยามา</v>
      </c>
      <c r="C204" s="3" t="str">
        <f>IFERROR(__xludf.DUMMYFUNCTION("""COMPUTED_VALUE"""),"ม.1/6")</f>
        <v>ม.1/6</v>
      </c>
      <c r="D204" s="3" t="str">
        <f>IFERROR(__xludf.DUMMYFUNCTION("""COMPUTED_VALUE"""),"PR 1/6")</f>
        <v>PR 1/6</v>
      </c>
      <c r="E204" s="2" t="str">
        <f>IFERROR(__xludf.DUMMYFUNCTION("""COMPUTED_VALUE"""),"หญิง")</f>
        <v>หญิง</v>
      </c>
      <c r="F204" s="5" t="str">
        <f>IFERROR(__xludf.DUMMYFUNCTION("""COMPUTED_VALUE"""),"https://azizstan.net/student_image/26100.jpg")</f>
        <v>https://azizstan.net/student_image/26100.jpg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 t="str">
        <f>IFERROR(__xludf.DUMMYFUNCTION("""COMPUTED_VALUE"""),"26130")</f>
        <v>26130</v>
      </c>
      <c r="B205" s="3" t="str">
        <f>IFERROR(__xludf.DUMMYFUNCTION("""COMPUTED_VALUE"""),"ด.ญ.มีรฟัต สาแม")</f>
        <v>ด.ญ.มีรฟัต สาแม</v>
      </c>
      <c r="C205" s="3" t="str">
        <f>IFERROR(__xludf.DUMMYFUNCTION("""COMPUTED_VALUE"""),"ม.1/6")</f>
        <v>ม.1/6</v>
      </c>
      <c r="D205" s="3" t="str">
        <f>IFERROR(__xludf.DUMMYFUNCTION("""COMPUTED_VALUE"""),"PR 1/6")</f>
        <v>PR 1/6</v>
      </c>
      <c r="E205" s="2" t="str">
        <f>IFERROR(__xludf.DUMMYFUNCTION("""COMPUTED_VALUE"""),"หญิง")</f>
        <v>หญิง</v>
      </c>
      <c r="F205" s="5" t="str">
        <f>IFERROR(__xludf.DUMMYFUNCTION("""COMPUTED_VALUE"""),"https://azizstan.net/student_image/26130.jpg")</f>
        <v>https://azizstan.net/student_image/26130.jpg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 t="str">
        <f>IFERROR(__xludf.DUMMYFUNCTION("""COMPUTED_VALUE"""),"26137")</f>
        <v>26137</v>
      </c>
      <c r="B206" s="3" t="str">
        <f>IFERROR(__xludf.DUMMYFUNCTION("""COMPUTED_VALUE"""),"ด.ญ.อัรวา ทิ้งเหม")</f>
        <v>ด.ญ.อัรวา ทิ้งเหม</v>
      </c>
      <c r="C206" s="3" t="str">
        <f>IFERROR(__xludf.DUMMYFUNCTION("""COMPUTED_VALUE"""),"ม.1/6")</f>
        <v>ม.1/6</v>
      </c>
      <c r="D206" s="3" t="str">
        <f>IFERROR(__xludf.DUMMYFUNCTION("""COMPUTED_VALUE"""),"PR 1/6")</f>
        <v>PR 1/6</v>
      </c>
      <c r="E206" s="2" t="str">
        <f>IFERROR(__xludf.DUMMYFUNCTION("""COMPUTED_VALUE"""),"หญิง")</f>
        <v>หญิง</v>
      </c>
      <c r="F206" s="5" t="str">
        <f>IFERROR(__xludf.DUMMYFUNCTION("""COMPUTED_VALUE"""),"https://azizstan.net/student_image/26137.jpg")</f>
        <v>https://azizstan.net/student_image/26137.jpg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 t="str">
        <f>IFERROR(__xludf.DUMMYFUNCTION("""COMPUTED_VALUE"""),"26153")</f>
        <v>26153</v>
      </c>
      <c r="B207" s="3" t="str">
        <f>IFERROR(__xludf.DUMMYFUNCTION("""COMPUTED_VALUE"""),"ด.ญ.นูรฮาฟีซัน กาเต็มมะดี")</f>
        <v>ด.ญ.นูรฮาฟีซัน กาเต็มมะดี</v>
      </c>
      <c r="C207" s="3" t="str">
        <f>IFERROR(__xludf.DUMMYFUNCTION("""COMPUTED_VALUE"""),"ม.1/6")</f>
        <v>ม.1/6</v>
      </c>
      <c r="D207" s="3" t="str">
        <f>IFERROR(__xludf.DUMMYFUNCTION("""COMPUTED_VALUE"""),"PR 1/6")</f>
        <v>PR 1/6</v>
      </c>
      <c r="E207" s="2" t="str">
        <f>IFERROR(__xludf.DUMMYFUNCTION("""COMPUTED_VALUE"""),"หญิง")</f>
        <v>หญิง</v>
      </c>
      <c r="F207" s="5" t="str">
        <f>IFERROR(__xludf.DUMMYFUNCTION("""COMPUTED_VALUE"""),"https://azizstan.net/student_image/26153.jpg")</f>
        <v>https://azizstan.net/student_image/26153.jpg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 t="str">
        <f>IFERROR(__xludf.DUMMYFUNCTION("""COMPUTED_VALUE"""),"26177")</f>
        <v>26177</v>
      </c>
      <c r="B208" s="3" t="str">
        <f>IFERROR(__xludf.DUMMYFUNCTION("""COMPUTED_VALUE"""),"ด.ญ.นูรูลฮูดาห์ สะแม")</f>
        <v>ด.ญ.นูรูลฮูดาห์ สะแม</v>
      </c>
      <c r="C208" s="3" t="str">
        <f>IFERROR(__xludf.DUMMYFUNCTION("""COMPUTED_VALUE"""),"ม.1/6")</f>
        <v>ม.1/6</v>
      </c>
      <c r="D208" s="3" t="str">
        <f>IFERROR(__xludf.DUMMYFUNCTION("""COMPUTED_VALUE"""),"PR 1/6")</f>
        <v>PR 1/6</v>
      </c>
      <c r="E208" s="2" t="str">
        <f>IFERROR(__xludf.DUMMYFUNCTION("""COMPUTED_VALUE"""),"หญิง")</f>
        <v>หญิง</v>
      </c>
      <c r="F208" s="5" t="str">
        <f>IFERROR(__xludf.DUMMYFUNCTION("""COMPUTED_VALUE"""),"https://azizstan.net/student_image/26177.jpg")</f>
        <v>https://azizstan.net/student_image/26177.jpg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 t="str">
        <f>IFERROR(__xludf.DUMMYFUNCTION("""COMPUTED_VALUE"""),"26192")</f>
        <v>26192</v>
      </c>
      <c r="B209" s="3" t="str">
        <f>IFERROR(__xludf.DUMMYFUNCTION("""COMPUTED_VALUE"""),"ด.ญ.ซัลมี บากา")</f>
        <v>ด.ญ.ซัลมี บากา</v>
      </c>
      <c r="C209" s="3" t="str">
        <f>IFERROR(__xludf.DUMMYFUNCTION("""COMPUTED_VALUE"""),"ม.1/6")</f>
        <v>ม.1/6</v>
      </c>
      <c r="D209" s="3" t="str">
        <f>IFERROR(__xludf.DUMMYFUNCTION("""COMPUTED_VALUE"""),"PR 1/6")</f>
        <v>PR 1/6</v>
      </c>
      <c r="E209" s="2" t="str">
        <f>IFERROR(__xludf.DUMMYFUNCTION("""COMPUTED_VALUE"""),"หญิง")</f>
        <v>หญิง</v>
      </c>
      <c r="F209" s="5" t="str">
        <f>IFERROR(__xludf.DUMMYFUNCTION("""COMPUTED_VALUE"""),"https://azizstan.net/student_image/26192.jpg")</f>
        <v>https://azizstan.net/student_image/26192.jpg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 t="str">
        <f>IFERROR(__xludf.DUMMYFUNCTION("""COMPUTED_VALUE"""),"26193")</f>
        <v>26193</v>
      </c>
      <c r="B210" s="3" t="str">
        <f>IFERROR(__xludf.DUMMYFUNCTION("""COMPUTED_VALUE"""),"ด.ญ.อโนชา มูนี")</f>
        <v>ด.ญ.อโนชา มูนี</v>
      </c>
      <c r="C210" s="3" t="str">
        <f>IFERROR(__xludf.DUMMYFUNCTION("""COMPUTED_VALUE"""),"ม.1/6")</f>
        <v>ม.1/6</v>
      </c>
      <c r="D210" s="3" t="str">
        <f>IFERROR(__xludf.DUMMYFUNCTION("""COMPUTED_VALUE"""),"PR 1/6")</f>
        <v>PR 1/6</v>
      </c>
      <c r="E210" s="2" t="str">
        <f>IFERROR(__xludf.DUMMYFUNCTION("""COMPUTED_VALUE"""),"หญิง")</f>
        <v>หญิง</v>
      </c>
      <c r="F210" s="5" t="str">
        <f>IFERROR(__xludf.DUMMYFUNCTION("""COMPUTED_VALUE"""),"https://azizstan.net/student_image/26193.jpg")</f>
        <v>https://azizstan.net/student_image/26193.jpg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 t="str">
        <f>IFERROR(__xludf.DUMMYFUNCTION("""COMPUTED_VALUE"""),"26209")</f>
        <v>26209</v>
      </c>
      <c r="B211" s="3" t="str">
        <f>IFERROR(__xludf.DUMMYFUNCTION("""COMPUTED_VALUE"""),"ด.ญ.นูรอัยด้า อันวิเศษ")</f>
        <v>ด.ญ.นูรอัยด้า อันวิเศษ</v>
      </c>
      <c r="C211" s="3" t="str">
        <f>IFERROR(__xludf.DUMMYFUNCTION("""COMPUTED_VALUE"""),"ม.1/6")</f>
        <v>ม.1/6</v>
      </c>
      <c r="D211" s="3" t="str">
        <f>IFERROR(__xludf.DUMMYFUNCTION("""COMPUTED_VALUE"""),"PR 1/6")</f>
        <v>PR 1/6</v>
      </c>
      <c r="E211" s="2" t="str">
        <f>IFERROR(__xludf.DUMMYFUNCTION("""COMPUTED_VALUE"""),"หญิง")</f>
        <v>หญิง</v>
      </c>
      <c r="F211" s="5" t="str">
        <f>IFERROR(__xludf.DUMMYFUNCTION("""COMPUTED_VALUE"""),"https://azizstan.net/student_image/26209.jpg")</f>
        <v>https://azizstan.net/student_image/26209.jpg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 t="str">
        <f>IFERROR(__xludf.DUMMYFUNCTION("""COMPUTED_VALUE"""),"26216")</f>
        <v>26216</v>
      </c>
      <c r="B212" s="3" t="str">
        <f>IFERROR(__xludf.DUMMYFUNCTION("""COMPUTED_VALUE"""),"ด.ญ.นีซรีน ยาสา")</f>
        <v>ด.ญ.นีซรีน ยาสา</v>
      </c>
      <c r="C212" s="3" t="str">
        <f>IFERROR(__xludf.DUMMYFUNCTION("""COMPUTED_VALUE"""),"ม.1/6")</f>
        <v>ม.1/6</v>
      </c>
      <c r="D212" s="3" t="str">
        <f>IFERROR(__xludf.DUMMYFUNCTION("""COMPUTED_VALUE"""),"PR 1/6")</f>
        <v>PR 1/6</v>
      </c>
      <c r="E212" s="2" t="str">
        <f>IFERROR(__xludf.DUMMYFUNCTION("""COMPUTED_VALUE"""),"หญิง")</f>
        <v>หญิง</v>
      </c>
      <c r="F212" s="5" t="str">
        <f>IFERROR(__xludf.DUMMYFUNCTION("""COMPUTED_VALUE"""),"https://azizstan.net/student_image/26216.jpg")</f>
        <v>https://azizstan.net/student_image/26216.jpg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 t="str">
        <f>IFERROR(__xludf.DUMMYFUNCTION("""COMPUTED_VALUE"""),"26226")</f>
        <v>26226</v>
      </c>
      <c r="B213" s="3" t="str">
        <f>IFERROR(__xludf.DUMMYFUNCTION("""COMPUTED_VALUE"""),"ด.ญ.บิสมี สุหลง")</f>
        <v>ด.ญ.บิสมี สุหลง</v>
      </c>
      <c r="C213" s="3" t="str">
        <f>IFERROR(__xludf.DUMMYFUNCTION("""COMPUTED_VALUE"""),"ม.1/6")</f>
        <v>ม.1/6</v>
      </c>
      <c r="D213" s="3" t="str">
        <f>IFERROR(__xludf.DUMMYFUNCTION("""COMPUTED_VALUE"""),"PR 1/6")</f>
        <v>PR 1/6</v>
      </c>
      <c r="E213" s="2" t="str">
        <f>IFERROR(__xludf.DUMMYFUNCTION("""COMPUTED_VALUE"""),"หญิง")</f>
        <v>หญิง</v>
      </c>
      <c r="F213" s="5" t="str">
        <f>IFERROR(__xludf.DUMMYFUNCTION("""COMPUTED_VALUE"""),"https://azizstan.net/student_image/26226.jpg")</f>
        <v>https://azizstan.net/student_image/26226.jpg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 t="str">
        <f>IFERROR(__xludf.DUMMYFUNCTION("""COMPUTED_VALUE"""),"26240")</f>
        <v>26240</v>
      </c>
      <c r="B214" s="3" t="str">
        <f>IFERROR(__xludf.DUMMYFUNCTION("""COMPUTED_VALUE"""),"ด.ญ.นูรูลอีห์ซาน ปะจูเซ็ง")</f>
        <v>ด.ญ.นูรูลอีห์ซาน ปะจูเซ็ง</v>
      </c>
      <c r="C214" s="3" t="str">
        <f>IFERROR(__xludf.DUMMYFUNCTION("""COMPUTED_VALUE"""),"ม.1/6")</f>
        <v>ม.1/6</v>
      </c>
      <c r="D214" s="3" t="str">
        <f>IFERROR(__xludf.DUMMYFUNCTION("""COMPUTED_VALUE"""),"PR 1/6")</f>
        <v>PR 1/6</v>
      </c>
      <c r="E214" s="2" t="str">
        <f>IFERROR(__xludf.DUMMYFUNCTION("""COMPUTED_VALUE"""),"หญิง")</f>
        <v>หญิง</v>
      </c>
      <c r="F214" s="5" t="str">
        <f>IFERROR(__xludf.DUMMYFUNCTION("""COMPUTED_VALUE"""),"https://azizstan.net/student_image/26240.jpg")</f>
        <v>https://azizstan.net/student_image/26240.jpg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 t="str">
        <f>IFERROR(__xludf.DUMMYFUNCTION("""COMPUTED_VALUE"""),"26243")</f>
        <v>26243</v>
      </c>
      <c r="B215" s="3" t="str">
        <f>IFERROR(__xludf.DUMMYFUNCTION("""COMPUTED_VALUE"""),"ด.ญ.นูรตัสนีม มะหะ")</f>
        <v>ด.ญ.นูรตัสนีม มะหะ</v>
      </c>
      <c r="C215" s="3" t="str">
        <f>IFERROR(__xludf.DUMMYFUNCTION("""COMPUTED_VALUE"""),"ม.1/6")</f>
        <v>ม.1/6</v>
      </c>
      <c r="D215" s="3" t="str">
        <f>IFERROR(__xludf.DUMMYFUNCTION("""COMPUTED_VALUE"""),"PR 1/6")</f>
        <v>PR 1/6</v>
      </c>
      <c r="E215" s="2" t="str">
        <f>IFERROR(__xludf.DUMMYFUNCTION("""COMPUTED_VALUE"""),"หญิง")</f>
        <v>หญิง</v>
      </c>
      <c r="F215" s="5" t="str">
        <f>IFERROR(__xludf.DUMMYFUNCTION("""COMPUTED_VALUE"""),"https://azizstan.net/student_image/26243.jpg")</f>
        <v>https://azizstan.net/student_image/26243.jpg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 t="str">
        <f>IFERROR(__xludf.DUMMYFUNCTION("""COMPUTED_VALUE"""),"26260")</f>
        <v>26260</v>
      </c>
      <c r="B216" s="3" t="str">
        <f>IFERROR(__xludf.DUMMYFUNCTION("""COMPUTED_VALUE"""),"ด.ญ.ฟัตมา มังสมาน")</f>
        <v>ด.ญ.ฟัตมา มังสมาน</v>
      </c>
      <c r="C216" s="3" t="str">
        <f>IFERROR(__xludf.DUMMYFUNCTION("""COMPUTED_VALUE"""),"ม.1/6")</f>
        <v>ม.1/6</v>
      </c>
      <c r="D216" s="3" t="str">
        <f>IFERROR(__xludf.DUMMYFUNCTION("""COMPUTED_VALUE"""),"PR 1/6")</f>
        <v>PR 1/6</v>
      </c>
      <c r="E216" s="2" t="str">
        <f>IFERROR(__xludf.DUMMYFUNCTION("""COMPUTED_VALUE"""),"หญิง")</f>
        <v>หญิง</v>
      </c>
      <c r="F216" s="5" t="str">
        <f>IFERROR(__xludf.DUMMYFUNCTION("""COMPUTED_VALUE"""),"https://azizstan.net/student_image/26260.jpg")</f>
        <v>https://azizstan.net/student_image/26260.jpg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 t="str">
        <f>IFERROR(__xludf.DUMMYFUNCTION("""COMPUTED_VALUE"""),"26316")</f>
        <v>26316</v>
      </c>
      <c r="B217" s="3" t="str">
        <f>IFERROR(__xludf.DUMMYFUNCTION("""COMPUTED_VALUE"""),"ด.ญ.นูรฟิตเราะห์ สาแม")</f>
        <v>ด.ญ.นูรฟิตเราะห์ สาแม</v>
      </c>
      <c r="C217" s="3" t="str">
        <f>IFERROR(__xludf.DUMMYFUNCTION("""COMPUTED_VALUE"""),"ม.1/6")</f>
        <v>ม.1/6</v>
      </c>
      <c r="D217" s="3" t="str">
        <f>IFERROR(__xludf.DUMMYFUNCTION("""COMPUTED_VALUE"""),"PR 1/6")</f>
        <v>PR 1/6</v>
      </c>
      <c r="E217" s="2" t="str">
        <f>IFERROR(__xludf.DUMMYFUNCTION("""COMPUTED_VALUE"""),"หญิง")</f>
        <v>หญิง</v>
      </c>
      <c r="F217" s="5" t="str">
        <f>IFERROR(__xludf.DUMMYFUNCTION("""COMPUTED_VALUE"""),"https://azizstan.net/student_image/26316.jpg")</f>
        <v>https://azizstan.net/student_image/26316.jpg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 t="str">
        <f>IFERROR(__xludf.DUMMYFUNCTION("""COMPUTED_VALUE"""),"26351")</f>
        <v>26351</v>
      </c>
      <c r="B218" s="3" t="str">
        <f>IFERROR(__xludf.DUMMYFUNCTION("""COMPUTED_VALUE"""),"ด.ญ.นัสรียา สะนิ")</f>
        <v>ด.ญ.นัสรียา สะนิ</v>
      </c>
      <c r="C218" s="3" t="str">
        <f>IFERROR(__xludf.DUMMYFUNCTION("""COMPUTED_VALUE"""),"ม.1/6")</f>
        <v>ม.1/6</v>
      </c>
      <c r="D218" s="3" t="str">
        <f>IFERROR(__xludf.DUMMYFUNCTION("""COMPUTED_VALUE"""),"PR 1/6")</f>
        <v>PR 1/6</v>
      </c>
      <c r="E218" s="2" t="str">
        <f>IFERROR(__xludf.DUMMYFUNCTION("""COMPUTED_VALUE"""),"หญิง")</f>
        <v>หญิง</v>
      </c>
      <c r="F218" s="5" t="str">
        <f>IFERROR(__xludf.DUMMYFUNCTION("""COMPUTED_VALUE"""),"https://azizstan.net/student_image/26351.jpg")</f>
        <v>https://azizstan.net/student_image/26351.jpg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 t="str">
        <f>IFERROR(__xludf.DUMMYFUNCTION("""COMPUTED_VALUE"""),"26352")</f>
        <v>26352</v>
      </c>
      <c r="B219" s="3" t="str">
        <f>IFERROR(__xludf.DUMMYFUNCTION("""COMPUTED_VALUE"""),"ด.ญ.กัสฮาวาตีย์ สะอะ")</f>
        <v>ด.ญ.กัสฮาวาตีย์ สะอะ</v>
      </c>
      <c r="C219" s="3" t="str">
        <f>IFERROR(__xludf.DUMMYFUNCTION("""COMPUTED_VALUE"""),"ม.1/6")</f>
        <v>ม.1/6</v>
      </c>
      <c r="D219" s="3" t="str">
        <f>IFERROR(__xludf.DUMMYFUNCTION("""COMPUTED_VALUE"""),"PR 1/6")</f>
        <v>PR 1/6</v>
      </c>
      <c r="E219" s="2" t="str">
        <f>IFERROR(__xludf.DUMMYFUNCTION("""COMPUTED_VALUE"""),"หญิง")</f>
        <v>หญิง</v>
      </c>
      <c r="F219" s="5" t="str">
        <f>IFERROR(__xludf.DUMMYFUNCTION("""COMPUTED_VALUE"""),"https://azizstan.net/student_image/26352.jpg")</f>
        <v>https://azizstan.net/student_image/26352.jpg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 t="str">
        <f>IFERROR(__xludf.DUMMYFUNCTION("""COMPUTED_VALUE"""),"26360")</f>
        <v>26360</v>
      </c>
      <c r="B220" s="3" t="str">
        <f>IFERROR(__xludf.DUMMYFUNCTION("""COMPUTED_VALUE"""),"ด.ญ.ซันวาณี ดาราซอ")</f>
        <v>ด.ญ.ซันวาณี ดาราซอ</v>
      </c>
      <c r="C220" s="3" t="str">
        <f>IFERROR(__xludf.DUMMYFUNCTION("""COMPUTED_VALUE"""),"ม.1/6")</f>
        <v>ม.1/6</v>
      </c>
      <c r="D220" s="3" t="str">
        <f>IFERROR(__xludf.DUMMYFUNCTION("""COMPUTED_VALUE"""),"PR 1/6")</f>
        <v>PR 1/6</v>
      </c>
      <c r="E220" s="2" t="str">
        <f>IFERROR(__xludf.DUMMYFUNCTION("""COMPUTED_VALUE"""),"หญิง")</f>
        <v>หญิง</v>
      </c>
      <c r="F220" s="5" t="str">
        <f>IFERROR(__xludf.DUMMYFUNCTION("""COMPUTED_VALUE"""),"https://azizstan.net/student_image/26360.jpg")</f>
        <v>https://azizstan.net/student_image/26360.jpg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 t="str">
        <f>IFERROR(__xludf.DUMMYFUNCTION("""COMPUTED_VALUE"""),"26391")</f>
        <v>26391</v>
      </c>
      <c r="B221" s="3" t="str">
        <f>IFERROR(__xludf.DUMMYFUNCTION("""COMPUTED_VALUE"""),"ด.ญ.วรรณโซเฟีย แวกะจิ")</f>
        <v>ด.ญ.วรรณโซเฟีย แวกะจิ</v>
      </c>
      <c r="C221" s="3" t="str">
        <f>IFERROR(__xludf.DUMMYFUNCTION("""COMPUTED_VALUE"""),"ม.1/6")</f>
        <v>ม.1/6</v>
      </c>
      <c r="D221" s="3" t="str">
        <f>IFERROR(__xludf.DUMMYFUNCTION("""COMPUTED_VALUE"""),"PR 1/6")</f>
        <v>PR 1/6</v>
      </c>
      <c r="E221" s="2" t="str">
        <f>IFERROR(__xludf.DUMMYFUNCTION("""COMPUTED_VALUE"""),"หญิง")</f>
        <v>หญิง</v>
      </c>
      <c r="F221" s="5" t="str">
        <f>IFERROR(__xludf.DUMMYFUNCTION("""COMPUTED_VALUE"""),"https://azizstan.net/student_image/26391.jpg")</f>
        <v>https://azizstan.net/student_image/26391.jpg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 t="str">
        <f>IFERROR(__xludf.DUMMYFUNCTION("""COMPUTED_VALUE"""),"26399")</f>
        <v>26399</v>
      </c>
      <c r="B222" s="3" t="str">
        <f>IFERROR(__xludf.DUMMYFUNCTION("""COMPUTED_VALUE"""),"ด.ญ.นุรมา สะนิ")</f>
        <v>ด.ญ.นุรมา สะนิ</v>
      </c>
      <c r="C222" s="3" t="str">
        <f>IFERROR(__xludf.DUMMYFUNCTION("""COMPUTED_VALUE"""),"ม.1/6")</f>
        <v>ม.1/6</v>
      </c>
      <c r="D222" s="3" t="str">
        <f>IFERROR(__xludf.DUMMYFUNCTION("""COMPUTED_VALUE"""),"PR 1/6")</f>
        <v>PR 1/6</v>
      </c>
      <c r="E222" s="2" t="str">
        <f>IFERROR(__xludf.DUMMYFUNCTION("""COMPUTED_VALUE"""),"หญิง")</f>
        <v>หญิง</v>
      </c>
      <c r="F222" s="5" t="str">
        <f>IFERROR(__xludf.DUMMYFUNCTION("""COMPUTED_VALUE"""),"https://azizstan.net/student_image/26399.jpg")</f>
        <v>https://azizstan.net/student_image/26399.jpg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 t="str">
        <f>IFERROR(__xludf.DUMMYFUNCTION("""COMPUTED_VALUE"""),"26409")</f>
        <v>26409</v>
      </c>
      <c r="B223" s="3" t="str">
        <f>IFERROR(__xludf.DUMMYFUNCTION("""COMPUTED_VALUE"""),"ด.ญ.ฟาตีมานี่ ยือเล๊าะ")</f>
        <v>ด.ญ.ฟาตีมานี่ ยือเล๊าะ</v>
      </c>
      <c r="C223" s="3" t="str">
        <f>IFERROR(__xludf.DUMMYFUNCTION("""COMPUTED_VALUE"""),"ม.1/6")</f>
        <v>ม.1/6</v>
      </c>
      <c r="D223" s="3" t="str">
        <f>IFERROR(__xludf.DUMMYFUNCTION("""COMPUTED_VALUE"""),"PR 1/6")</f>
        <v>PR 1/6</v>
      </c>
      <c r="E223" s="2" t="str">
        <f>IFERROR(__xludf.DUMMYFUNCTION("""COMPUTED_VALUE"""),"หญิง")</f>
        <v>หญิง</v>
      </c>
      <c r="F223" s="5" t="str">
        <f>IFERROR(__xludf.DUMMYFUNCTION("""COMPUTED_VALUE"""),"https://azizstan.net/student_image/26409.jpg")</f>
        <v>https://azizstan.net/student_image/26409.jpg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 t="str">
        <f>IFERROR(__xludf.DUMMYFUNCTION("""COMPUTED_VALUE"""),"26412")</f>
        <v>26412</v>
      </c>
      <c r="B224" s="3" t="str">
        <f>IFERROR(__xludf.DUMMYFUNCTION("""COMPUTED_VALUE"""),"ด.ญ.สุรัยญา กาเจ")</f>
        <v>ด.ญ.สุรัยญา กาเจ</v>
      </c>
      <c r="C224" s="3" t="str">
        <f>IFERROR(__xludf.DUMMYFUNCTION("""COMPUTED_VALUE"""),"ม.1/6")</f>
        <v>ม.1/6</v>
      </c>
      <c r="D224" s="3" t="str">
        <f>IFERROR(__xludf.DUMMYFUNCTION("""COMPUTED_VALUE"""),"PR 1/6")</f>
        <v>PR 1/6</v>
      </c>
      <c r="E224" s="2" t="str">
        <f>IFERROR(__xludf.DUMMYFUNCTION("""COMPUTED_VALUE"""),"หญิง")</f>
        <v>หญิง</v>
      </c>
      <c r="F224" s="5" t="str">
        <f>IFERROR(__xludf.DUMMYFUNCTION("""COMPUTED_VALUE"""),"https://azizstan.net/student_image/26412.jpg")</f>
        <v>https://azizstan.net/student_image/26412.jpg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 t="str">
        <f>IFERROR(__xludf.DUMMYFUNCTION("""COMPUTED_VALUE"""),"26426")</f>
        <v>26426</v>
      </c>
      <c r="B225" s="3" t="str">
        <f>IFERROR(__xludf.DUMMYFUNCTION("""COMPUTED_VALUE"""),"ด.ญ.ฟิร์ดาวซ์ ราแดง")</f>
        <v>ด.ญ.ฟิร์ดาวซ์ ราแดง</v>
      </c>
      <c r="C225" s="3" t="str">
        <f>IFERROR(__xludf.DUMMYFUNCTION("""COMPUTED_VALUE"""),"ม.1/6")</f>
        <v>ม.1/6</v>
      </c>
      <c r="D225" s="3" t="str">
        <f>IFERROR(__xludf.DUMMYFUNCTION("""COMPUTED_VALUE"""),"PR 1/6")</f>
        <v>PR 1/6</v>
      </c>
      <c r="E225" s="2" t="str">
        <f>IFERROR(__xludf.DUMMYFUNCTION("""COMPUTED_VALUE"""),"หญิง")</f>
        <v>หญิง</v>
      </c>
      <c r="F225" s="5" t="str">
        <f>IFERROR(__xludf.DUMMYFUNCTION("""COMPUTED_VALUE"""),"https://azizstan.net/student_image/26426.jpg")</f>
        <v>https://azizstan.net/student_image/26426.jpg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 t="str">
        <f>IFERROR(__xludf.DUMMYFUNCTION("""COMPUTED_VALUE"""),"26429")</f>
        <v>26429</v>
      </c>
      <c r="B226" s="3" t="str">
        <f>IFERROR(__xludf.DUMMYFUNCTION("""COMPUTED_VALUE"""),"ด.ญ.ซอลีฮะห์ มอลอ")</f>
        <v>ด.ญ.ซอลีฮะห์ มอลอ</v>
      </c>
      <c r="C226" s="3" t="str">
        <f>IFERROR(__xludf.DUMMYFUNCTION("""COMPUTED_VALUE"""),"ม.1/6")</f>
        <v>ม.1/6</v>
      </c>
      <c r="D226" s="3" t="str">
        <f>IFERROR(__xludf.DUMMYFUNCTION("""COMPUTED_VALUE"""),"PR 1/6")</f>
        <v>PR 1/6</v>
      </c>
      <c r="E226" s="2" t="str">
        <f>IFERROR(__xludf.DUMMYFUNCTION("""COMPUTED_VALUE"""),"หญิง")</f>
        <v>หญิง</v>
      </c>
      <c r="F226" s="5" t="str">
        <f>IFERROR(__xludf.DUMMYFUNCTION("""COMPUTED_VALUE"""),"https://azizstan.net/student_image/26429.jpg")</f>
        <v>https://azizstan.net/student_image/26429.jpg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 t="str">
        <f>IFERROR(__xludf.DUMMYFUNCTION("""COMPUTED_VALUE"""),"26467")</f>
        <v>26467</v>
      </c>
      <c r="B227" s="3" t="str">
        <f>IFERROR(__xludf.DUMMYFUNCTION("""COMPUTED_VALUE"""),"ด.ญ.นูรฟิรดาวส์ สะแปะอิง")</f>
        <v>ด.ญ.นูรฟิรดาวส์ สะแปะอิง</v>
      </c>
      <c r="C227" s="3" t="str">
        <f>IFERROR(__xludf.DUMMYFUNCTION("""COMPUTED_VALUE"""),"ม.1/6")</f>
        <v>ม.1/6</v>
      </c>
      <c r="D227" s="3" t="str">
        <f>IFERROR(__xludf.DUMMYFUNCTION("""COMPUTED_VALUE"""),"PR 1/6")</f>
        <v>PR 1/6</v>
      </c>
      <c r="E227" s="2" t="str">
        <f>IFERROR(__xludf.DUMMYFUNCTION("""COMPUTED_VALUE"""),"หญิง")</f>
        <v>หญิง</v>
      </c>
      <c r="F227" s="5" t="str">
        <f>IFERROR(__xludf.DUMMYFUNCTION("""COMPUTED_VALUE"""),"https://azizstan.net/student_image/26467.jpg")</f>
        <v>https://azizstan.net/student_image/26467.jpg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 t="str">
        <f>IFERROR(__xludf.DUMMYFUNCTION("""COMPUTED_VALUE"""),"26472")</f>
        <v>26472</v>
      </c>
      <c r="B228" s="3" t="str">
        <f>IFERROR(__xludf.DUMMYFUNCTION("""COMPUTED_VALUE"""),"ด.ญ.นินัซมีย์ นิเซ็ง")</f>
        <v>ด.ญ.นินัซมีย์ นิเซ็ง</v>
      </c>
      <c r="C228" s="3" t="str">
        <f>IFERROR(__xludf.DUMMYFUNCTION("""COMPUTED_VALUE"""),"ม.1/6")</f>
        <v>ม.1/6</v>
      </c>
      <c r="D228" s="3" t="str">
        <f>IFERROR(__xludf.DUMMYFUNCTION("""COMPUTED_VALUE"""),"PR 1/6")</f>
        <v>PR 1/6</v>
      </c>
      <c r="E228" s="2" t="str">
        <f>IFERROR(__xludf.DUMMYFUNCTION("""COMPUTED_VALUE"""),"หญิง")</f>
        <v>หญิง</v>
      </c>
      <c r="F228" s="5" t="str">
        <f>IFERROR(__xludf.DUMMYFUNCTION("""COMPUTED_VALUE"""),"https://azizstan.net/student_image/26472.jpg")</f>
        <v>https://azizstan.net/student_image/26472.jpg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 t="str">
        <f>IFERROR(__xludf.DUMMYFUNCTION("""COMPUTED_VALUE"""),"26481")</f>
        <v>26481</v>
      </c>
      <c r="B229" s="3" t="str">
        <f>IFERROR(__xludf.DUMMYFUNCTION("""COMPUTED_VALUE"""),"ด.ญ.นิฟาดีละห์ แวหามะ")</f>
        <v>ด.ญ.นิฟาดีละห์ แวหามะ</v>
      </c>
      <c r="C229" s="3" t="str">
        <f>IFERROR(__xludf.DUMMYFUNCTION("""COMPUTED_VALUE"""),"ม.1/6")</f>
        <v>ม.1/6</v>
      </c>
      <c r="D229" s="3" t="str">
        <f>IFERROR(__xludf.DUMMYFUNCTION("""COMPUTED_VALUE"""),"PR 1/6")</f>
        <v>PR 1/6</v>
      </c>
      <c r="E229" s="2" t="str">
        <f>IFERROR(__xludf.DUMMYFUNCTION("""COMPUTED_VALUE"""),"หญิง")</f>
        <v>หญิง</v>
      </c>
      <c r="F229" s="5" t="str">
        <f>IFERROR(__xludf.DUMMYFUNCTION("""COMPUTED_VALUE"""),"https://azizstan.net/student_image/26481.jpg")</f>
        <v>https://azizstan.net/student_image/26481.jpg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 t="str">
        <f>IFERROR(__xludf.DUMMYFUNCTION("""COMPUTED_VALUE"""),"26534")</f>
        <v>26534</v>
      </c>
      <c r="B230" s="3" t="str">
        <f>IFERROR(__xludf.DUMMYFUNCTION("""COMPUTED_VALUE"""),"ด.ญ.ฟิรดาวส์ เหตุหาก")</f>
        <v>ด.ญ.ฟิรดาวส์ เหตุหาก</v>
      </c>
      <c r="C230" s="3" t="str">
        <f>IFERROR(__xludf.DUMMYFUNCTION("""COMPUTED_VALUE"""),"ม.1/6")</f>
        <v>ม.1/6</v>
      </c>
      <c r="D230" s="3" t="str">
        <f>IFERROR(__xludf.DUMMYFUNCTION("""COMPUTED_VALUE"""),"PR 1/6")</f>
        <v>PR 1/6</v>
      </c>
      <c r="E230" s="2" t="str">
        <f>IFERROR(__xludf.DUMMYFUNCTION("""COMPUTED_VALUE"""),"หญิง")</f>
        <v>หญิง</v>
      </c>
      <c r="F230" s="5" t="str">
        <f>IFERROR(__xludf.DUMMYFUNCTION("""COMPUTED_VALUE"""),"https://azizstan.net/student_image/26534.jpg")</f>
        <v>https://azizstan.net/student_image/26534.jpg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 t="str">
        <f>IFERROR(__xludf.DUMMYFUNCTION("""COMPUTED_VALUE"""),"26556")</f>
        <v>26556</v>
      </c>
      <c r="B231" s="3" t="str">
        <f>IFERROR(__xludf.DUMMYFUNCTION("""COMPUTED_VALUE"""),"ด.ญ.นัสรียะฮ์ กาเซะ")</f>
        <v>ด.ญ.นัสรียะฮ์ กาเซะ</v>
      </c>
      <c r="C231" s="3" t="str">
        <f>IFERROR(__xludf.DUMMYFUNCTION("""COMPUTED_VALUE"""),"ม.1/6")</f>
        <v>ม.1/6</v>
      </c>
      <c r="D231" s="3" t="str">
        <f>IFERROR(__xludf.DUMMYFUNCTION("""COMPUTED_VALUE"""),"PR 1/6")</f>
        <v>PR 1/6</v>
      </c>
      <c r="E231" s="2" t="str">
        <f>IFERROR(__xludf.DUMMYFUNCTION("""COMPUTED_VALUE"""),"หญิง")</f>
        <v>หญิง</v>
      </c>
      <c r="F231" s="5" t="str">
        <f>IFERROR(__xludf.DUMMYFUNCTION("""COMPUTED_VALUE"""),"https://azizstan.net/student_image/26556.jpg")</f>
        <v>https://azizstan.net/student_image/26556.jpg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 t="str">
        <f>IFERROR(__xludf.DUMMYFUNCTION("""COMPUTED_VALUE"""),"26638")</f>
        <v>26638</v>
      </c>
      <c r="B232" s="3" t="str">
        <f>IFERROR(__xludf.DUMMYFUNCTION("""COMPUTED_VALUE"""),"ด.ญ.โซบารีย๊ะ บือราเฮง")</f>
        <v>ด.ญ.โซบารีย๊ะ บือราเฮง</v>
      </c>
      <c r="C232" s="3" t="str">
        <f>IFERROR(__xludf.DUMMYFUNCTION("""COMPUTED_VALUE"""),"ม.1/6")</f>
        <v>ม.1/6</v>
      </c>
      <c r="D232" s="3" t="str">
        <f>IFERROR(__xludf.DUMMYFUNCTION("""COMPUTED_VALUE"""),"PR 1/6")</f>
        <v>PR 1/6</v>
      </c>
      <c r="E232" s="2" t="str">
        <f>IFERROR(__xludf.DUMMYFUNCTION("""COMPUTED_VALUE"""),"หญิง")</f>
        <v>หญิง</v>
      </c>
      <c r="F232" s="5" t="str">
        <f>IFERROR(__xludf.DUMMYFUNCTION("""COMPUTED_VALUE"""),"https://azizstan.net/student_image/26638.jpg")</f>
        <v>https://azizstan.net/student_image/26638.jpg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 t="str">
        <f>IFERROR(__xludf.DUMMYFUNCTION("""COMPUTED_VALUE"""),"26660")</f>
        <v>26660</v>
      </c>
      <c r="B233" s="3" t="str">
        <f>IFERROR(__xludf.DUMMYFUNCTION("""COMPUTED_VALUE"""),"ด.ญ.รณิดา กล่อมสม")</f>
        <v>ด.ญ.รณิดา กล่อมสม</v>
      </c>
      <c r="C233" s="3" t="str">
        <f>IFERROR(__xludf.DUMMYFUNCTION("""COMPUTED_VALUE"""),"ม.1/6")</f>
        <v>ม.1/6</v>
      </c>
      <c r="D233" s="3" t="str">
        <f>IFERROR(__xludf.DUMMYFUNCTION("""COMPUTED_VALUE"""),"PR 1/6")</f>
        <v>PR 1/6</v>
      </c>
      <c r="E233" s="2" t="str">
        <f>IFERROR(__xludf.DUMMYFUNCTION("""COMPUTED_VALUE"""),"หญิง")</f>
        <v>หญิง</v>
      </c>
      <c r="F233" s="5" t="str">
        <f>IFERROR(__xludf.DUMMYFUNCTION("""COMPUTED_VALUE"""),"https://azizstan.net/student_image/26660.jpg")</f>
        <v>https://azizstan.net/student_image/26660.jpg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 t="str">
        <f>IFERROR(__xludf.DUMMYFUNCTION("""COMPUTED_VALUE"""),"26662")</f>
        <v>26662</v>
      </c>
      <c r="B234" s="3" t="str">
        <f>IFERROR(__xludf.DUMMYFUNCTION("""COMPUTED_VALUE"""),"ด.ญ.นิซัลวา แวโดยี")</f>
        <v>ด.ญ.นิซัลวา แวโดยี</v>
      </c>
      <c r="C234" s="3" t="str">
        <f>IFERROR(__xludf.DUMMYFUNCTION("""COMPUTED_VALUE"""),"ม.1/6")</f>
        <v>ม.1/6</v>
      </c>
      <c r="D234" s="3" t="str">
        <f>IFERROR(__xludf.DUMMYFUNCTION("""COMPUTED_VALUE"""),"PR 1/6")</f>
        <v>PR 1/6</v>
      </c>
      <c r="E234" s="2" t="str">
        <f>IFERROR(__xludf.DUMMYFUNCTION("""COMPUTED_VALUE"""),"หญิง")</f>
        <v>หญิง</v>
      </c>
      <c r="F234" s="5" t="str">
        <f>IFERROR(__xludf.DUMMYFUNCTION("""COMPUTED_VALUE"""),"https://azizstan.net/student_image/26662.jpg")</f>
        <v>https://azizstan.net/student_image/26662.jpg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 t="str">
        <f>IFERROR(__xludf.DUMMYFUNCTION("""COMPUTED_VALUE"""),"26672")</f>
        <v>26672</v>
      </c>
      <c r="B235" s="3" t="str">
        <f>IFERROR(__xludf.DUMMYFUNCTION("""COMPUTED_VALUE"""),"ด.ญ.อามานี สาอะ")</f>
        <v>ด.ญ.อามานี สาอะ</v>
      </c>
      <c r="C235" s="3" t="str">
        <f>IFERROR(__xludf.DUMMYFUNCTION("""COMPUTED_VALUE"""),"ม.1/6")</f>
        <v>ม.1/6</v>
      </c>
      <c r="D235" s="3" t="str">
        <f>IFERROR(__xludf.DUMMYFUNCTION("""COMPUTED_VALUE"""),"PR 1/6")</f>
        <v>PR 1/6</v>
      </c>
      <c r="E235" s="2" t="str">
        <f>IFERROR(__xludf.DUMMYFUNCTION("""COMPUTED_VALUE"""),"หญิง")</f>
        <v>หญิง</v>
      </c>
      <c r="F235" s="5" t="str">
        <f>IFERROR(__xludf.DUMMYFUNCTION("""COMPUTED_VALUE"""),"https://azizstan.net/student_image/26672.jpg")</f>
        <v>https://azizstan.net/student_image/26672.jpg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 t="str">
        <f>IFERROR(__xludf.DUMMYFUNCTION("""COMPUTED_VALUE"""),"26727")</f>
        <v>26727</v>
      </c>
      <c r="B236" s="3" t="str">
        <f>IFERROR(__xludf.DUMMYFUNCTION("""COMPUTED_VALUE"""),"ด.ญ.นูรอาลีสา สะมาแอ")</f>
        <v>ด.ญ.นูรอาลีสา สะมาแอ</v>
      </c>
      <c r="C236" s="3" t="str">
        <f>IFERROR(__xludf.DUMMYFUNCTION("""COMPUTED_VALUE"""),"ม.1/6")</f>
        <v>ม.1/6</v>
      </c>
      <c r="D236" s="3" t="str">
        <f>IFERROR(__xludf.DUMMYFUNCTION("""COMPUTED_VALUE"""),"PR 1/6")</f>
        <v>PR 1/6</v>
      </c>
      <c r="E236" s="2" t="str">
        <f>IFERROR(__xludf.DUMMYFUNCTION("""COMPUTED_VALUE"""),"หญิง")</f>
        <v>หญิง</v>
      </c>
      <c r="F236" s="5" t="str">
        <f>IFERROR(__xludf.DUMMYFUNCTION("""COMPUTED_VALUE"""),"https://azizstan.net/student_image/26727.jpg")</f>
        <v>https://azizstan.net/student_image/26727.jpg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 t="str">
        <f>IFERROR(__xludf.DUMMYFUNCTION("""COMPUTED_VALUE"""),"26780")</f>
        <v>26780</v>
      </c>
      <c r="B237" s="3" t="str">
        <f>IFERROR(__xludf.DUMMYFUNCTION("""COMPUTED_VALUE"""),"ด.ญ.สุกัญญา สือรี")</f>
        <v>ด.ญ.สุกัญญา สือรี</v>
      </c>
      <c r="C237" s="3" t="str">
        <f>IFERROR(__xludf.DUMMYFUNCTION("""COMPUTED_VALUE"""),"ม.1/6")</f>
        <v>ม.1/6</v>
      </c>
      <c r="D237" s="3" t="str">
        <f>IFERROR(__xludf.DUMMYFUNCTION("""COMPUTED_VALUE"""),"PR 1/6")</f>
        <v>PR 1/6</v>
      </c>
      <c r="E237" s="2" t="str">
        <f>IFERROR(__xludf.DUMMYFUNCTION("""COMPUTED_VALUE"""),"หญิง")</f>
        <v>หญิง</v>
      </c>
      <c r="F237" s="5" t="str">
        <f>IFERROR(__xludf.DUMMYFUNCTION("""COMPUTED_VALUE"""),"https://azizstan.net/student_image/26780.jpg")</f>
        <v>https://azizstan.net/student_image/26780.jpg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 t="str">
        <f>IFERROR(__xludf.DUMMYFUNCTION("""COMPUTED_VALUE"""),"26037")</f>
        <v>26037</v>
      </c>
      <c r="B238" s="3" t="str">
        <f>IFERROR(__xludf.DUMMYFUNCTION("""COMPUTED_VALUE"""),"ด.ญ.อุยูนีย์ มะแตหะ")</f>
        <v>ด.ญ.อุยูนีย์ มะแตหะ</v>
      </c>
      <c r="C238" s="3" t="str">
        <f>IFERROR(__xludf.DUMMYFUNCTION("""COMPUTED_VALUE"""),"ม.1/7")</f>
        <v>ม.1/7</v>
      </c>
      <c r="D238" s="3" t="str">
        <f>IFERROR(__xludf.DUMMYFUNCTION("""COMPUTED_VALUE"""),"PR 1/7")</f>
        <v>PR 1/7</v>
      </c>
      <c r="E238" s="2" t="str">
        <f>IFERROR(__xludf.DUMMYFUNCTION("""COMPUTED_VALUE"""),"หญิง")</f>
        <v>หญิง</v>
      </c>
      <c r="F238" s="5" t="str">
        <f>IFERROR(__xludf.DUMMYFUNCTION("""COMPUTED_VALUE"""),"https://azizstan.net/student_image/26037.jpg")</f>
        <v>https://azizstan.net/student_image/26037.jpg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 t="str">
        <f>IFERROR(__xludf.DUMMYFUNCTION("""COMPUTED_VALUE"""),"26082")</f>
        <v>26082</v>
      </c>
      <c r="B239" s="3" t="str">
        <f>IFERROR(__xludf.DUMMYFUNCTION("""COMPUTED_VALUE"""),"ด.ญ.โซเฟีย มูซอ")</f>
        <v>ด.ญ.โซเฟีย มูซอ</v>
      </c>
      <c r="C239" s="3" t="str">
        <f>IFERROR(__xludf.DUMMYFUNCTION("""COMPUTED_VALUE"""),"ม.1/7")</f>
        <v>ม.1/7</v>
      </c>
      <c r="D239" s="3" t="str">
        <f>IFERROR(__xludf.DUMMYFUNCTION("""COMPUTED_VALUE"""),"PR 1/7")</f>
        <v>PR 1/7</v>
      </c>
      <c r="E239" s="2" t="str">
        <f>IFERROR(__xludf.DUMMYFUNCTION("""COMPUTED_VALUE"""),"หญิง")</f>
        <v>หญิง</v>
      </c>
      <c r="F239" s="5" t="str">
        <f>IFERROR(__xludf.DUMMYFUNCTION("""COMPUTED_VALUE"""),"https://azizstan.net/student_image/26082.jpg")</f>
        <v>https://azizstan.net/student_image/26082.jpg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 t="str">
        <f>IFERROR(__xludf.DUMMYFUNCTION("""COMPUTED_VALUE"""),"26111")</f>
        <v>26111</v>
      </c>
      <c r="B240" s="3" t="str">
        <f>IFERROR(__xludf.DUMMYFUNCTION("""COMPUTED_VALUE"""),"ด.ญ.นูรอัยนี แวกะจิ")</f>
        <v>ด.ญ.นูรอัยนี แวกะจิ</v>
      </c>
      <c r="C240" s="3" t="str">
        <f>IFERROR(__xludf.DUMMYFUNCTION("""COMPUTED_VALUE"""),"ม.1/7")</f>
        <v>ม.1/7</v>
      </c>
      <c r="D240" s="3" t="str">
        <f>IFERROR(__xludf.DUMMYFUNCTION("""COMPUTED_VALUE"""),"PR 1/7")</f>
        <v>PR 1/7</v>
      </c>
      <c r="E240" s="2" t="str">
        <f>IFERROR(__xludf.DUMMYFUNCTION("""COMPUTED_VALUE"""),"หญิง")</f>
        <v>หญิง</v>
      </c>
      <c r="F240" s="5" t="str">
        <f>IFERROR(__xludf.DUMMYFUNCTION("""COMPUTED_VALUE"""),"https://azizstan.net/student_image/26111.jpg")</f>
        <v>https://azizstan.net/student_image/26111.jpg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 t="str">
        <f>IFERROR(__xludf.DUMMYFUNCTION("""COMPUTED_VALUE"""),"26115")</f>
        <v>26115</v>
      </c>
      <c r="B241" s="3" t="str">
        <f>IFERROR(__xludf.DUMMYFUNCTION("""COMPUTED_VALUE"""),"ด.ญ.นิอาวาตีฟ หะยีนิเงาะ")</f>
        <v>ด.ญ.นิอาวาตีฟ หะยีนิเงาะ</v>
      </c>
      <c r="C241" s="3" t="str">
        <f>IFERROR(__xludf.DUMMYFUNCTION("""COMPUTED_VALUE"""),"ม.1/7")</f>
        <v>ม.1/7</v>
      </c>
      <c r="D241" s="3" t="str">
        <f>IFERROR(__xludf.DUMMYFUNCTION("""COMPUTED_VALUE"""),"PR 1/7")</f>
        <v>PR 1/7</v>
      </c>
      <c r="E241" s="2" t="str">
        <f>IFERROR(__xludf.DUMMYFUNCTION("""COMPUTED_VALUE"""),"หญิง")</f>
        <v>หญิง</v>
      </c>
      <c r="F241" s="5" t="str">
        <f>IFERROR(__xludf.DUMMYFUNCTION("""COMPUTED_VALUE"""),"https://azizstan.net/student_image/26115.jpg")</f>
        <v>https://azizstan.net/student_image/26115.jpg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 t="str">
        <f>IFERROR(__xludf.DUMMYFUNCTION("""COMPUTED_VALUE"""),"26117")</f>
        <v>26117</v>
      </c>
      <c r="B242" s="3" t="str">
        <f>IFERROR(__xludf.DUMMYFUNCTION("""COMPUTED_VALUE"""),"ด.ญ.นิสรีนนา แพทย์สาหลำ")</f>
        <v>ด.ญ.นิสรีนนา แพทย์สาหลำ</v>
      </c>
      <c r="C242" s="3" t="str">
        <f>IFERROR(__xludf.DUMMYFUNCTION("""COMPUTED_VALUE"""),"ม.1/7")</f>
        <v>ม.1/7</v>
      </c>
      <c r="D242" s="3" t="str">
        <f>IFERROR(__xludf.DUMMYFUNCTION("""COMPUTED_VALUE"""),"PR 1/7")</f>
        <v>PR 1/7</v>
      </c>
      <c r="E242" s="2" t="str">
        <f>IFERROR(__xludf.DUMMYFUNCTION("""COMPUTED_VALUE"""),"หญิง")</f>
        <v>หญิง</v>
      </c>
      <c r="F242" s="5" t="str">
        <f>IFERROR(__xludf.DUMMYFUNCTION("""COMPUTED_VALUE"""),"https://azizstan.net/student_image/26117.jpg")</f>
        <v>https://azizstan.net/student_image/26117.jpg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 t="str">
        <f>IFERROR(__xludf.DUMMYFUNCTION("""COMPUTED_VALUE"""),"26125")</f>
        <v>26125</v>
      </c>
      <c r="B243" s="3" t="str">
        <f>IFERROR(__xludf.DUMMYFUNCTION("""COMPUTED_VALUE"""),"ด.ญ.นิฮาวานี แยนา")</f>
        <v>ด.ญ.นิฮาวานี แยนา</v>
      </c>
      <c r="C243" s="3" t="str">
        <f>IFERROR(__xludf.DUMMYFUNCTION("""COMPUTED_VALUE"""),"ม.1/7")</f>
        <v>ม.1/7</v>
      </c>
      <c r="D243" s="3" t="str">
        <f>IFERROR(__xludf.DUMMYFUNCTION("""COMPUTED_VALUE"""),"PR 1/7")</f>
        <v>PR 1/7</v>
      </c>
      <c r="E243" s="2" t="str">
        <f>IFERROR(__xludf.DUMMYFUNCTION("""COMPUTED_VALUE"""),"หญิง")</f>
        <v>หญิง</v>
      </c>
      <c r="F243" s="5" t="str">
        <f>IFERROR(__xludf.DUMMYFUNCTION("""COMPUTED_VALUE"""),"https://azizstan.net/student_image/26125.jpg")</f>
        <v>https://azizstan.net/student_image/26125.jpg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 t="str">
        <f>IFERROR(__xludf.DUMMYFUNCTION("""COMPUTED_VALUE"""),"26148")</f>
        <v>26148</v>
      </c>
      <c r="B244" s="3" t="str">
        <f>IFERROR(__xludf.DUMMYFUNCTION("""COMPUTED_VALUE"""),"ด.ญ.นูรีซา หลีต่อสาม")</f>
        <v>ด.ญ.นูรีซา หลีต่อสาม</v>
      </c>
      <c r="C244" s="3" t="str">
        <f>IFERROR(__xludf.DUMMYFUNCTION("""COMPUTED_VALUE"""),"ม.1/7")</f>
        <v>ม.1/7</v>
      </c>
      <c r="D244" s="3" t="str">
        <f>IFERROR(__xludf.DUMMYFUNCTION("""COMPUTED_VALUE"""),"PR 1/7")</f>
        <v>PR 1/7</v>
      </c>
      <c r="E244" s="2" t="str">
        <f>IFERROR(__xludf.DUMMYFUNCTION("""COMPUTED_VALUE"""),"หญิง")</f>
        <v>หญิง</v>
      </c>
      <c r="F244" s="5" t="str">
        <f>IFERROR(__xludf.DUMMYFUNCTION("""COMPUTED_VALUE"""),"https://azizstan.net/student_image/26148.jpg")</f>
        <v>https://azizstan.net/student_image/26148.jpg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 t="str">
        <f>IFERROR(__xludf.DUMMYFUNCTION("""COMPUTED_VALUE"""),"26155")</f>
        <v>26155</v>
      </c>
      <c r="B245" s="3" t="str">
        <f>IFERROR(__xludf.DUMMYFUNCTION("""COMPUTED_VALUE"""),"ด.ญ.นิซุลฟาณี ปาเนาะ")</f>
        <v>ด.ญ.นิซุลฟาณี ปาเนาะ</v>
      </c>
      <c r="C245" s="3" t="str">
        <f>IFERROR(__xludf.DUMMYFUNCTION("""COMPUTED_VALUE"""),"ม.1/7")</f>
        <v>ม.1/7</v>
      </c>
      <c r="D245" s="3" t="str">
        <f>IFERROR(__xludf.DUMMYFUNCTION("""COMPUTED_VALUE"""),"PR 1/7")</f>
        <v>PR 1/7</v>
      </c>
      <c r="E245" s="2" t="str">
        <f>IFERROR(__xludf.DUMMYFUNCTION("""COMPUTED_VALUE"""),"หญิง")</f>
        <v>หญิง</v>
      </c>
      <c r="F245" s="5" t="str">
        <f>IFERROR(__xludf.DUMMYFUNCTION("""COMPUTED_VALUE"""),"https://azizstan.net/student_image/26155.jpg")</f>
        <v>https://azizstan.net/student_image/26155.jpg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 t="str">
        <f>IFERROR(__xludf.DUMMYFUNCTION("""COMPUTED_VALUE"""),"26163")</f>
        <v>26163</v>
      </c>
      <c r="B246" s="3" t="str">
        <f>IFERROR(__xludf.DUMMYFUNCTION("""COMPUTED_VALUE"""),"ด.ญ.ฮาบีบีย์ แมเหง๊าะ")</f>
        <v>ด.ญ.ฮาบีบีย์ แมเหง๊าะ</v>
      </c>
      <c r="C246" s="3" t="str">
        <f>IFERROR(__xludf.DUMMYFUNCTION("""COMPUTED_VALUE"""),"ม.1/7")</f>
        <v>ม.1/7</v>
      </c>
      <c r="D246" s="3" t="str">
        <f>IFERROR(__xludf.DUMMYFUNCTION("""COMPUTED_VALUE"""),"PR 1/7")</f>
        <v>PR 1/7</v>
      </c>
      <c r="E246" s="2" t="str">
        <f>IFERROR(__xludf.DUMMYFUNCTION("""COMPUTED_VALUE"""),"หญิง")</f>
        <v>หญิง</v>
      </c>
      <c r="F246" s="5" t="str">
        <f>IFERROR(__xludf.DUMMYFUNCTION("""COMPUTED_VALUE"""),"https://azizstan.net/student_image/26163.jpg")</f>
        <v>https://azizstan.net/student_image/26163.jpg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 t="str">
        <f>IFERROR(__xludf.DUMMYFUNCTION("""COMPUTED_VALUE"""),"26178")</f>
        <v>26178</v>
      </c>
      <c r="B247" s="3" t="str">
        <f>IFERROR(__xludf.DUMMYFUNCTION("""COMPUTED_VALUE"""),"ด.ญ.กูซัรฟา ปูเตะ")</f>
        <v>ด.ญ.กูซัรฟา ปูเตะ</v>
      </c>
      <c r="C247" s="3" t="str">
        <f>IFERROR(__xludf.DUMMYFUNCTION("""COMPUTED_VALUE"""),"ม.1/7")</f>
        <v>ม.1/7</v>
      </c>
      <c r="D247" s="3" t="str">
        <f>IFERROR(__xludf.DUMMYFUNCTION("""COMPUTED_VALUE"""),"PR 1/7")</f>
        <v>PR 1/7</v>
      </c>
      <c r="E247" s="2" t="str">
        <f>IFERROR(__xludf.DUMMYFUNCTION("""COMPUTED_VALUE"""),"หญิง")</f>
        <v>หญิง</v>
      </c>
      <c r="F247" s="5" t="str">
        <f>IFERROR(__xludf.DUMMYFUNCTION("""COMPUTED_VALUE"""),"https://azizstan.net/student_image/26178.jpg")</f>
        <v>https://azizstan.net/student_image/26178.jpg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 t="str">
        <f>IFERROR(__xludf.DUMMYFUNCTION("""COMPUTED_VALUE"""),"26202")</f>
        <v>26202</v>
      </c>
      <c r="B248" s="3" t="str">
        <f>IFERROR(__xludf.DUMMYFUNCTION("""COMPUTED_VALUE"""),"ด.ญ.นูรอัฟวาร์ ยะเอะ")</f>
        <v>ด.ญ.นูรอัฟวาร์ ยะเอะ</v>
      </c>
      <c r="C248" s="3" t="str">
        <f>IFERROR(__xludf.DUMMYFUNCTION("""COMPUTED_VALUE"""),"ม.1/7")</f>
        <v>ม.1/7</v>
      </c>
      <c r="D248" s="3" t="str">
        <f>IFERROR(__xludf.DUMMYFUNCTION("""COMPUTED_VALUE"""),"PR 1/7")</f>
        <v>PR 1/7</v>
      </c>
      <c r="E248" s="2" t="str">
        <f>IFERROR(__xludf.DUMMYFUNCTION("""COMPUTED_VALUE"""),"หญิง")</f>
        <v>หญิง</v>
      </c>
      <c r="F248" s="5" t="str">
        <f>IFERROR(__xludf.DUMMYFUNCTION("""COMPUTED_VALUE"""),"https://azizstan.net/student_image/26202.jpg")</f>
        <v>https://azizstan.net/student_image/26202.jpg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 t="str">
        <f>IFERROR(__xludf.DUMMYFUNCTION("""COMPUTED_VALUE"""),"26276")</f>
        <v>26276</v>
      </c>
      <c r="B249" s="3" t="str">
        <f>IFERROR(__xludf.DUMMYFUNCTION("""COMPUTED_VALUE"""),"ด.ญ.วิยดา มะแร")</f>
        <v>ด.ญ.วิยดา มะแร</v>
      </c>
      <c r="C249" s="3" t="str">
        <f>IFERROR(__xludf.DUMMYFUNCTION("""COMPUTED_VALUE"""),"ม.1/7")</f>
        <v>ม.1/7</v>
      </c>
      <c r="D249" s="3" t="str">
        <f>IFERROR(__xludf.DUMMYFUNCTION("""COMPUTED_VALUE"""),"PR 1/7")</f>
        <v>PR 1/7</v>
      </c>
      <c r="E249" s="2" t="str">
        <f>IFERROR(__xludf.DUMMYFUNCTION("""COMPUTED_VALUE"""),"หญิง")</f>
        <v>หญิง</v>
      </c>
      <c r="F249" s="5" t="str">
        <f>IFERROR(__xludf.DUMMYFUNCTION("""COMPUTED_VALUE"""),"https://azizstan.net/student_image/26276.jpg")</f>
        <v>https://azizstan.net/student_image/26276.jpg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 t="str">
        <f>IFERROR(__xludf.DUMMYFUNCTION("""COMPUTED_VALUE"""),"26296")</f>
        <v>26296</v>
      </c>
      <c r="B250" s="3" t="str">
        <f>IFERROR(__xludf.DUMMYFUNCTION("""COMPUTED_VALUE"""),"ด.ญ.ซัซวานี สาเระ")</f>
        <v>ด.ญ.ซัซวานี สาเระ</v>
      </c>
      <c r="C250" s="3" t="str">
        <f>IFERROR(__xludf.DUMMYFUNCTION("""COMPUTED_VALUE"""),"ม.1/7")</f>
        <v>ม.1/7</v>
      </c>
      <c r="D250" s="3" t="str">
        <f>IFERROR(__xludf.DUMMYFUNCTION("""COMPUTED_VALUE"""),"PR 1/7")</f>
        <v>PR 1/7</v>
      </c>
      <c r="E250" s="2" t="str">
        <f>IFERROR(__xludf.DUMMYFUNCTION("""COMPUTED_VALUE"""),"หญิง")</f>
        <v>หญิง</v>
      </c>
      <c r="F250" s="5" t="str">
        <f>IFERROR(__xludf.DUMMYFUNCTION("""COMPUTED_VALUE"""),"https://azizstan.net/student_image/26296.jpg")</f>
        <v>https://azizstan.net/student_image/26296.jpg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 t="str">
        <f>IFERROR(__xludf.DUMMYFUNCTION("""COMPUTED_VALUE"""),"26323")</f>
        <v>26323</v>
      </c>
      <c r="B251" s="3" t="str">
        <f>IFERROR(__xludf.DUMMYFUNCTION("""COMPUTED_VALUE"""),"ด.ญ.นิอาดีรา อีนีละไม")</f>
        <v>ด.ญ.นิอาดีรา อีนีละไม</v>
      </c>
      <c r="C251" s="3" t="str">
        <f>IFERROR(__xludf.DUMMYFUNCTION("""COMPUTED_VALUE"""),"ม.1/7")</f>
        <v>ม.1/7</v>
      </c>
      <c r="D251" s="3" t="str">
        <f>IFERROR(__xludf.DUMMYFUNCTION("""COMPUTED_VALUE"""),"PR 1/7")</f>
        <v>PR 1/7</v>
      </c>
      <c r="E251" s="2" t="str">
        <f>IFERROR(__xludf.DUMMYFUNCTION("""COMPUTED_VALUE"""),"หญิง")</f>
        <v>หญิง</v>
      </c>
      <c r="F251" s="5" t="str">
        <f>IFERROR(__xludf.DUMMYFUNCTION("""COMPUTED_VALUE"""),"https://azizstan.net/student_image/26323.jpg")</f>
        <v>https://azizstan.net/student_image/26323.jpg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 t="str">
        <f>IFERROR(__xludf.DUMMYFUNCTION("""COMPUTED_VALUE"""),"26334")</f>
        <v>26334</v>
      </c>
      <c r="B252" s="3" t="str">
        <f>IFERROR(__xludf.DUMMYFUNCTION("""COMPUTED_VALUE"""),"ด.ญ.ซะซะนา สะแมดัม")</f>
        <v>ด.ญ.ซะซะนา สะแมดัม</v>
      </c>
      <c r="C252" s="3" t="str">
        <f>IFERROR(__xludf.DUMMYFUNCTION("""COMPUTED_VALUE"""),"ม.1/7")</f>
        <v>ม.1/7</v>
      </c>
      <c r="D252" s="3" t="str">
        <f>IFERROR(__xludf.DUMMYFUNCTION("""COMPUTED_VALUE"""),"PR 1/7")</f>
        <v>PR 1/7</v>
      </c>
      <c r="E252" s="2" t="str">
        <f>IFERROR(__xludf.DUMMYFUNCTION("""COMPUTED_VALUE"""),"หญิง")</f>
        <v>หญิง</v>
      </c>
      <c r="F252" s="5" t="str">
        <f>IFERROR(__xludf.DUMMYFUNCTION("""COMPUTED_VALUE"""),"https://azizstan.net/student_image/26334.jpg")</f>
        <v>https://azizstan.net/student_image/26334.jpg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 t="str">
        <f>IFERROR(__xludf.DUMMYFUNCTION("""COMPUTED_VALUE"""),"26346")</f>
        <v>26346</v>
      </c>
      <c r="B253" s="3" t="str">
        <f>IFERROR(__xludf.DUMMYFUNCTION("""COMPUTED_VALUE"""),"ด.ญ.อารีนา แปแนะ")</f>
        <v>ด.ญ.อารีนา แปแนะ</v>
      </c>
      <c r="C253" s="3" t="str">
        <f>IFERROR(__xludf.DUMMYFUNCTION("""COMPUTED_VALUE"""),"ม.1/7")</f>
        <v>ม.1/7</v>
      </c>
      <c r="D253" s="3" t="str">
        <f>IFERROR(__xludf.DUMMYFUNCTION("""COMPUTED_VALUE"""),"PR 1/7")</f>
        <v>PR 1/7</v>
      </c>
      <c r="E253" s="2" t="str">
        <f>IFERROR(__xludf.DUMMYFUNCTION("""COMPUTED_VALUE"""),"หญิง")</f>
        <v>หญิง</v>
      </c>
      <c r="F253" s="5" t="str">
        <f>IFERROR(__xludf.DUMMYFUNCTION("""COMPUTED_VALUE"""),"https://azizstan.net/student_image/26346.jpg")</f>
        <v>https://azizstan.net/student_image/26346.jpg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 t="str">
        <f>IFERROR(__xludf.DUMMYFUNCTION("""COMPUTED_VALUE"""),"26390")</f>
        <v>26390</v>
      </c>
      <c r="B254" s="3" t="str">
        <f>IFERROR(__xludf.DUMMYFUNCTION("""COMPUTED_VALUE"""),"ด.ญ.นูรรีซัน อุมา")</f>
        <v>ด.ญ.นูรรีซัน อุมา</v>
      </c>
      <c r="C254" s="3" t="str">
        <f>IFERROR(__xludf.DUMMYFUNCTION("""COMPUTED_VALUE"""),"ม.1/7")</f>
        <v>ม.1/7</v>
      </c>
      <c r="D254" s="3" t="str">
        <f>IFERROR(__xludf.DUMMYFUNCTION("""COMPUTED_VALUE"""),"PR 1/7")</f>
        <v>PR 1/7</v>
      </c>
      <c r="E254" s="2" t="str">
        <f>IFERROR(__xludf.DUMMYFUNCTION("""COMPUTED_VALUE"""),"หญิง")</f>
        <v>หญิง</v>
      </c>
      <c r="F254" s="5" t="str">
        <f>IFERROR(__xludf.DUMMYFUNCTION("""COMPUTED_VALUE"""),"https://azizstan.net/student_image/26390.jpg")</f>
        <v>https://azizstan.net/student_image/26390.jpg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 t="str">
        <f>IFERROR(__xludf.DUMMYFUNCTION("""COMPUTED_VALUE"""),"26401")</f>
        <v>26401</v>
      </c>
      <c r="B255" s="3" t="str">
        <f>IFERROR(__xludf.DUMMYFUNCTION("""COMPUTED_VALUE"""),"ด.ญ.นูรุลอีมาน ยะสารี")</f>
        <v>ด.ญ.นูรุลอีมาน ยะสารี</v>
      </c>
      <c r="C255" s="3" t="str">
        <f>IFERROR(__xludf.DUMMYFUNCTION("""COMPUTED_VALUE"""),"ม.1/7")</f>
        <v>ม.1/7</v>
      </c>
      <c r="D255" s="3" t="str">
        <f>IFERROR(__xludf.DUMMYFUNCTION("""COMPUTED_VALUE"""),"PR 1/7")</f>
        <v>PR 1/7</v>
      </c>
      <c r="E255" s="2" t="str">
        <f>IFERROR(__xludf.DUMMYFUNCTION("""COMPUTED_VALUE"""),"หญิง")</f>
        <v>หญิง</v>
      </c>
      <c r="F255" s="5" t="str">
        <f>IFERROR(__xludf.DUMMYFUNCTION("""COMPUTED_VALUE"""),"https://azizstan.net/student_image/26401.jpg")</f>
        <v>https://azizstan.net/student_image/26401.jpg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 t="str">
        <f>IFERROR(__xludf.DUMMYFUNCTION("""COMPUTED_VALUE"""),"26413")</f>
        <v>26413</v>
      </c>
      <c r="B256" s="3" t="str">
        <f>IFERROR(__xludf.DUMMYFUNCTION("""COMPUTED_VALUE"""),"ด.ญ.ฟารีนา เจะและ")</f>
        <v>ด.ญ.ฟารีนา เจะและ</v>
      </c>
      <c r="C256" s="3" t="str">
        <f>IFERROR(__xludf.DUMMYFUNCTION("""COMPUTED_VALUE"""),"ม.1/7")</f>
        <v>ม.1/7</v>
      </c>
      <c r="D256" s="3" t="str">
        <f>IFERROR(__xludf.DUMMYFUNCTION("""COMPUTED_VALUE"""),"PR 1/7")</f>
        <v>PR 1/7</v>
      </c>
      <c r="E256" s="2" t="str">
        <f>IFERROR(__xludf.DUMMYFUNCTION("""COMPUTED_VALUE"""),"หญิง")</f>
        <v>หญิง</v>
      </c>
      <c r="F256" s="5" t="str">
        <f>IFERROR(__xludf.DUMMYFUNCTION("""COMPUTED_VALUE"""),"https://azizstan.net/student_image/26413.jpg")</f>
        <v>https://azizstan.net/student_image/26413.jpg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 t="str">
        <f>IFERROR(__xludf.DUMMYFUNCTION("""COMPUTED_VALUE"""),"26416")</f>
        <v>26416</v>
      </c>
      <c r="B257" s="3" t="str">
        <f>IFERROR(__xludf.DUMMYFUNCTION("""COMPUTED_VALUE"""),"ด.ญ.ลามีส ตาเห")</f>
        <v>ด.ญ.ลามีส ตาเห</v>
      </c>
      <c r="C257" s="3" t="str">
        <f>IFERROR(__xludf.DUMMYFUNCTION("""COMPUTED_VALUE"""),"ม.1/7")</f>
        <v>ม.1/7</v>
      </c>
      <c r="D257" s="3" t="str">
        <f>IFERROR(__xludf.DUMMYFUNCTION("""COMPUTED_VALUE"""),"PR 1/7")</f>
        <v>PR 1/7</v>
      </c>
      <c r="E257" s="2" t="str">
        <f>IFERROR(__xludf.DUMMYFUNCTION("""COMPUTED_VALUE"""),"หญิง")</f>
        <v>หญิง</v>
      </c>
      <c r="F257" s="5" t="str">
        <f>IFERROR(__xludf.DUMMYFUNCTION("""COMPUTED_VALUE"""),"https://azizstan.net/student_image/26416.jpg")</f>
        <v>https://azizstan.net/student_image/26416.jpg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 t="str">
        <f>IFERROR(__xludf.DUMMYFUNCTION("""COMPUTED_VALUE"""),"26418")</f>
        <v>26418</v>
      </c>
      <c r="B258" s="3" t="str">
        <f>IFERROR(__xludf.DUMMYFUNCTION("""COMPUTED_VALUE"""),"ด.ญ.อารอฟะห์ อาลีมามะ")</f>
        <v>ด.ญ.อารอฟะห์ อาลีมามะ</v>
      </c>
      <c r="C258" s="3" t="str">
        <f>IFERROR(__xludf.DUMMYFUNCTION("""COMPUTED_VALUE"""),"ม.1/7")</f>
        <v>ม.1/7</v>
      </c>
      <c r="D258" s="3" t="str">
        <f>IFERROR(__xludf.DUMMYFUNCTION("""COMPUTED_VALUE"""),"PR 1/7")</f>
        <v>PR 1/7</v>
      </c>
      <c r="E258" s="2" t="str">
        <f>IFERROR(__xludf.DUMMYFUNCTION("""COMPUTED_VALUE"""),"หญิง")</f>
        <v>หญิง</v>
      </c>
      <c r="F258" s="5" t="str">
        <f>IFERROR(__xludf.DUMMYFUNCTION("""COMPUTED_VALUE"""),"https://azizstan.net/student_image/26418.jpg")</f>
        <v>https://azizstan.net/student_image/26418.jpg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 t="str">
        <f>IFERROR(__xludf.DUMMYFUNCTION("""COMPUTED_VALUE"""),"26488")</f>
        <v>26488</v>
      </c>
      <c r="B259" s="3" t="str">
        <f>IFERROR(__xludf.DUMMYFUNCTION("""COMPUTED_VALUE"""),"ด.ญ.สารินี สันโต้ง")</f>
        <v>ด.ญ.สารินี สันโต้ง</v>
      </c>
      <c r="C259" s="3" t="str">
        <f>IFERROR(__xludf.DUMMYFUNCTION("""COMPUTED_VALUE"""),"ม.1/7")</f>
        <v>ม.1/7</v>
      </c>
      <c r="D259" s="3" t="str">
        <f>IFERROR(__xludf.DUMMYFUNCTION("""COMPUTED_VALUE"""),"PR 1/7")</f>
        <v>PR 1/7</v>
      </c>
      <c r="E259" s="2" t="str">
        <f>IFERROR(__xludf.DUMMYFUNCTION("""COMPUTED_VALUE"""),"หญิง")</f>
        <v>หญิง</v>
      </c>
      <c r="F259" s="5" t="str">
        <f>IFERROR(__xludf.DUMMYFUNCTION("""COMPUTED_VALUE"""),"https://azizstan.net/student_image/26488.jpg")</f>
        <v>https://azizstan.net/student_image/26488.jpg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 t="str">
        <f>IFERROR(__xludf.DUMMYFUNCTION("""COMPUTED_VALUE"""),"26539")</f>
        <v>26539</v>
      </c>
      <c r="B260" s="3" t="str">
        <f>IFERROR(__xludf.DUMMYFUNCTION("""COMPUTED_VALUE"""),"ด.ญ.ซาวิกา กาเสม")</f>
        <v>ด.ญ.ซาวิกา กาเสม</v>
      </c>
      <c r="C260" s="3" t="str">
        <f>IFERROR(__xludf.DUMMYFUNCTION("""COMPUTED_VALUE"""),"ม.1/7")</f>
        <v>ม.1/7</v>
      </c>
      <c r="D260" s="3" t="str">
        <f>IFERROR(__xludf.DUMMYFUNCTION("""COMPUTED_VALUE"""),"PR 1/7")</f>
        <v>PR 1/7</v>
      </c>
      <c r="E260" s="2" t="str">
        <f>IFERROR(__xludf.DUMMYFUNCTION("""COMPUTED_VALUE"""),"หญิง")</f>
        <v>หญิง</v>
      </c>
      <c r="F260" s="5" t="str">
        <f>IFERROR(__xludf.DUMMYFUNCTION("""COMPUTED_VALUE"""),"https://azizstan.net/student_image/26539.jpg")</f>
        <v>https://azizstan.net/student_image/26539.jpg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 t="str">
        <f>IFERROR(__xludf.DUMMYFUNCTION("""COMPUTED_VALUE"""),"26547")</f>
        <v>26547</v>
      </c>
      <c r="B261" s="3" t="str">
        <f>IFERROR(__xludf.DUMMYFUNCTION("""COMPUTED_VALUE"""),"ด.ญ.นุรอิสตีฟา แวสาและ")</f>
        <v>ด.ญ.นุรอิสตีฟา แวสาและ</v>
      </c>
      <c r="C261" s="3" t="str">
        <f>IFERROR(__xludf.DUMMYFUNCTION("""COMPUTED_VALUE"""),"ม.1/7")</f>
        <v>ม.1/7</v>
      </c>
      <c r="D261" s="3" t="str">
        <f>IFERROR(__xludf.DUMMYFUNCTION("""COMPUTED_VALUE"""),"PR 1/7")</f>
        <v>PR 1/7</v>
      </c>
      <c r="E261" s="2" t="str">
        <f>IFERROR(__xludf.DUMMYFUNCTION("""COMPUTED_VALUE"""),"หญิง")</f>
        <v>หญิง</v>
      </c>
      <c r="F261" s="5" t="str">
        <f>IFERROR(__xludf.DUMMYFUNCTION("""COMPUTED_VALUE"""),"https://azizstan.net/student_image/26547.jpg")</f>
        <v>https://azizstan.net/student_image/26547.jpg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 t="str">
        <f>IFERROR(__xludf.DUMMYFUNCTION("""COMPUTED_VALUE"""),"26569")</f>
        <v>26569</v>
      </c>
      <c r="B262" s="3" t="str">
        <f>IFERROR(__xludf.DUMMYFUNCTION("""COMPUTED_VALUE"""),"ด.ญ.นูรอาลีซา มีเนาะ")</f>
        <v>ด.ญ.นูรอาลีซา มีเนาะ</v>
      </c>
      <c r="C262" s="3" t="str">
        <f>IFERROR(__xludf.DUMMYFUNCTION("""COMPUTED_VALUE"""),"ม.1/7")</f>
        <v>ม.1/7</v>
      </c>
      <c r="D262" s="3" t="str">
        <f>IFERROR(__xludf.DUMMYFUNCTION("""COMPUTED_VALUE"""),"PR 1/7")</f>
        <v>PR 1/7</v>
      </c>
      <c r="E262" s="2" t="str">
        <f>IFERROR(__xludf.DUMMYFUNCTION("""COMPUTED_VALUE"""),"หญิง")</f>
        <v>หญิง</v>
      </c>
      <c r="F262" s="5" t="str">
        <f>IFERROR(__xludf.DUMMYFUNCTION("""COMPUTED_VALUE"""),"https://azizstan.net/student_image/26569.jpg")</f>
        <v>https://azizstan.net/student_image/26569.jpg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 t="str">
        <f>IFERROR(__xludf.DUMMYFUNCTION("""COMPUTED_VALUE"""),"26574")</f>
        <v>26574</v>
      </c>
      <c r="B263" s="3" t="str">
        <f>IFERROR(__xludf.DUMMYFUNCTION("""COMPUTED_VALUE"""),"ด.ญ.ฟาตีฮะห์ ดอเลาะ")</f>
        <v>ด.ญ.ฟาตีฮะห์ ดอเลาะ</v>
      </c>
      <c r="C263" s="3" t="str">
        <f>IFERROR(__xludf.DUMMYFUNCTION("""COMPUTED_VALUE"""),"ม.1/7")</f>
        <v>ม.1/7</v>
      </c>
      <c r="D263" s="3" t="str">
        <f>IFERROR(__xludf.DUMMYFUNCTION("""COMPUTED_VALUE"""),"PR 1/7")</f>
        <v>PR 1/7</v>
      </c>
      <c r="E263" s="2" t="str">
        <f>IFERROR(__xludf.DUMMYFUNCTION("""COMPUTED_VALUE"""),"หญิง")</f>
        <v>หญิง</v>
      </c>
      <c r="F263" s="5" t="str">
        <f>IFERROR(__xludf.DUMMYFUNCTION("""COMPUTED_VALUE"""),"https://azizstan.net/student_image/26574.jpg")</f>
        <v>https://azizstan.net/student_image/26574.jpg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 t="str">
        <f>IFERROR(__xludf.DUMMYFUNCTION("""COMPUTED_VALUE"""),"26575")</f>
        <v>26575</v>
      </c>
      <c r="B264" s="3" t="str">
        <f>IFERROR(__xludf.DUMMYFUNCTION("""COMPUTED_VALUE"""),"ด.ญ.นาสูวา อาลี")</f>
        <v>ด.ญ.นาสูวา อาลี</v>
      </c>
      <c r="C264" s="3" t="str">
        <f>IFERROR(__xludf.DUMMYFUNCTION("""COMPUTED_VALUE"""),"ม.1/7")</f>
        <v>ม.1/7</v>
      </c>
      <c r="D264" s="3" t="str">
        <f>IFERROR(__xludf.DUMMYFUNCTION("""COMPUTED_VALUE"""),"PR 1/7")</f>
        <v>PR 1/7</v>
      </c>
      <c r="E264" s="2" t="str">
        <f>IFERROR(__xludf.DUMMYFUNCTION("""COMPUTED_VALUE"""),"หญิง")</f>
        <v>หญิง</v>
      </c>
      <c r="F264" s="5" t="str">
        <f>IFERROR(__xludf.DUMMYFUNCTION("""COMPUTED_VALUE"""),"https://azizstan.net/student_image/26575.jpg")</f>
        <v>https://azizstan.net/student_image/26575.jpg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 t="str">
        <f>IFERROR(__xludf.DUMMYFUNCTION("""COMPUTED_VALUE"""),"26593")</f>
        <v>26593</v>
      </c>
      <c r="B265" s="3" t="str">
        <f>IFERROR(__xludf.DUMMYFUNCTION("""COMPUTED_VALUE"""),"ด.ญ.อัลวานี สะอะเซ็ง")</f>
        <v>ด.ญ.อัลวานี สะอะเซ็ง</v>
      </c>
      <c r="C265" s="3" t="str">
        <f>IFERROR(__xludf.DUMMYFUNCTION("""COMPUTED_VALUE"""),"ม.1/7")</f>
        <v>ม.1/7</v>
      </c>
      <c r="D265" s="3" t="str">
        <f>IFERROR(__xludf.DUMMYFUNCTION("""COMPUTED_VALUE"""),"PR 1/7")</f>
        <v>PR 1/7</v>
      </c>
      <c r="E265" s="2" t="str">
        <f>IFERROR(__xludf.DUMMYFUNCTION("""COMPUTED_VALUE"""),"หญิง")</f>
        <v>หญิง</v>
      </c>
      <c r="F265" s="5" t="str">
        <f>IFERROR(__xludf.DUMMYFUNCTION("""COMPUTED_VALUE"""),"https://azizstan.net/student_image/26593.jpg")</f>
        <v>https://azizstan.net/student_image/26593.jpg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 t="str">
        <f>IFERROR(__xludf.DUMMYFUNCTION("""COMPUTED_VALUE"""),"26595")</f>
        <v>26595</v>
      </c>
      <c r="B266" s="3" t="str">
        <f>IFERROR(__xludf.DUMMYFUNCTION("""COMPUTED_VALUE"""),"ด.ญ.นูรูฮูดา เจะเตะ")</f>
        <v>ด.ญ.นูรูฮูดา เจะเตะ</v>
      </c>
      <c r="C266" s="3" t="str">
        <f>IFERROR(__xludf.DUMMYFUNCTION("""COMPUTED_VALUE"""),"ม.1/7")</f>
        <v>ม.1/7</v>
      </c>
      <c r="D266" s="3" t="str">
        <f>IFERROR(__xludf.DUMMYFUNCTION("""COMPUTED_VALUE"""),"PR 1/7")</f>
        <v>PR 1/7</v>
      </c>
      <c r="E266" s="2" t="str">
        <f>IFERROR(__xludf.DUMMYFUNCTION("""COMPUTED_VALUE"""),"หญิง")</f>
        <v>หญิง</v>
      </c>
      <c r="F266" s="5" t="str">
        <f>IFERROR(__xludf.DUMMYFUNCTION("""COMPUTED_VALUE"""),"https://azizstan.net/student_image/26595.jpg")</f>
        <v>https://azizstan.net/student_image/26595.jpg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 t="str">
        <f>IFERROR(__xludf.DUMMYFUNCTION("""COMPUTED_VALUE"""),"26624")</f>
        <v>26624</v>
      </c>
      <c r="B267" s="3" t="str">
        <f>IFERROR(__xludf.DUMMYFUNCTION("""COMPUTED_VALUE"""),"ด.ญ.นัสริน เปาะหารง")</f>
        <v>ด.ญ.นัสริน เปาะหารง</v>
      </c>
      <c r="C267" s="3" t="str">
        <f>IFERROR(__xludf.DUMMYFUNCTION("""COMPUTED_VALUE"""),"ม.1/7")</f>
        <v>ม.1/7</v>
      </c>
      <c r="D267" s="3" t="str">
        <f>IFERROR(__xludf.DUMMYFUNCTION("""COMPUTED_VALUE"""),"PR 1/7")</f>
        <v>PR 1/7</v>
      </c>
      <c r="E267" s="2" t="str">
        <f>IFERROR(__xludf.DUMMYFUNCTION("""COMPUTED_VALUE"""),"หญิง")</f>
        <v>หญิง</v>
      </c>
      <c r="F267" s="5" t="str">
        <f>IFERROR(__xludf.DUMMYFUNCTION("""COMPUTED_VALUE"""),"https://azizstan.net/student_image/26624.jpg")</f>
        <v>https://azizstan.net/student_image/26624.jpg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 t="str">
        <f>IFERROR(__xludf.DUMMYFUNCTION("""COMPUTED_VALUE"""),"26631")</f>
        <v>26631</v>
      </c>
      <c r="B268" s="3" t="str">
        <f>IFERROR(__xludf.DUMMYFUNCTION("""COMPUTED_VALUE"""),"ด.ญ.นุรฮาซีลา สาเมาะ")</f>
        <v>ด.ญ.นุรฮาซีลา สาเมาะ</v>
      </c>
      <c r="C268" s="3" t="str">
        <f>IFERROR(__xludf.DUMMYFUNCTION("""COMPUTED_VALUE"""),"ม.1/7")</f>
        <v>ม.1/7</v>
      </c>
      <c r="D268" s="3" t="str">
        <f>IFERROR(__xludf.DUMMYFUNCTION("""COMPUTED_VALUE"""),"PR 1/7")</f>
        <v>PR 1/7</v>
      </c>
      <c r="E268" s="2" t="str">
        <f>IFERROR(__xludf.DUMMYFUNCTION("""COMPUTED_VALUE"""),"หญิง")</f>
        <v>หญิง</v>
      </c>
      <c r="F268" s="5" t="str">
        <f>IFERROR(__xludf.DUMMYFUNCTION("""COMPUTED_VALUE"""),"https://azizstan.net/student_image/26631.jpg")</f>
        <v>https://azizstan.net/student_image/26631.jpg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 t="str">
        <f>IFERROR(__xludf.DUMMYFUNCTION("""COMPUTED_VALUE"""),"26640")</f>
        <v>26640</v>
      </c>
      <c r="B269" s="3" t="str">
        <f>IFERROR(__xludf.DUMMYFUNCTION("""COMPUTED_VALUE"""),"ด.ญ.นาบีฮา สาและ")</f>
        <v>ด.ญ.นาบีฮา สาและ</v>
      </c>
      <c r="C269" s="3" t="str">
        <f>IFERROR(__xludf.DUMMYFUNCTION("""COMPUTED_VALUE"""),"ม.1/7")</f>
        <v>ม.1/7</v>
      </c>
      <c r="D269" s="3" t="str">
        <f>IFERROR(__xludf.DUMMYFUNCTION("""COMPUTED_VALUE"""),"PR 1/7")</f>
        <v>PR 1/7</v>
      </c>
      <c r="E269" s="2" t="str">
        <f>IFERROR(__xludf.DUMMYFUNCTION("""COMPUTED_VALUE"""),"หญิง")</f>
        <v>หญิง</v>
      </c>
      <c r="F269" s="5" t="str">
        <f>IFERROR(__xludf.DUMMYFUNCTION("""COMPUTED_VALUE"""),"https://azizstan.net/student_image/26640.jpg")</f>
        <v>https://azizstan.net/student_image/26640.jpg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 t="str">
        <f>IFERROR(__xludf.DUMMYFUNCTION("""COMPUTED_VALUE"""),"26643")</f>
        <v>26643</v>
      </c>
      <c r="B270" s="3" t="str">
        <f>IFERROR(__xludf.DUMMYFUNCTION("""COMPUTED_VALUE"""),"ด.ญ.นุรฟาติน ตะซง")</f>
        <v>ด.ญ.นุรฟาติน ตะซง</v>
      </c>
      <c r="C270" s="3" t="str">
        <f>IFERROR(__xludf.DUMMYFUNCTION("""COMPUTED_VALUE"""),"ม.1/7")</f>
        <v>ม.1/7</v>
      </c>
      <c r="D270" s="3" t="str">
        <f>IFERROR(__xludf.DUMMYFUNCTION("""COMPUTED_VALUE"""),"PR 1/7")</f>
        <v>PR 1/7</v>
      </c>
      <c r="E270" s="2" t="str">
        <f>IFERROR(__xludf.DUMMYFUNCTION("""COMPUTED_VALUE"""),"หญิง")</f>
        <v>หญิง</v>
      </c>
      <c r="F270" s="5" t="str">
        <f>IFERROR(__xludf.DUMMYFUNCTION("""COMPUTED_VALUE"""),"https://azizstan.net/student_image/26643.jpg")</f>
        <v>https://azizstan.net/student_image/26643.jpg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 t="str">
        <f>IFERROR(__xludf.DUMMYFUNCTION("""COMPUTED_VALUE"""),"26652")</f>
        <v>26652</v>
      </c>
      <c r="B271" s="3" t="str">
        <f>IFERROR(__xludf.DUMMYFUNCTION("""COMPUTED_VALUE"""),"ด.ญ.รอบีอะห์ หะยีดือราแม")</f>
        <v>ด.ญ.รอบีอะห์ หะยีดือราแม</v>
      </c>
      <c r="C271" s="3" t="str">
        <f>IFERROR(__xludf.DUMMYFUNCTION("""COMPUTED_VALUE"""),"ม.1/7")</f>
        <v>ม.1/7</v>
      </c>
      <c r="D271" s="3" t="str">
        <f>IFERROR(__xludf.DUMMYFUNCTION("""COMPUTED_VALUE"""),"PR 1/7")</f>
        <v>PR 1/7</v>
      </c>
      <c r="E271" s="2" t="str">
        <f>IFERROR(__xludf.DUMMYFUNCTION("""COMPUTED_VALUE"""),"หญิง")</f>
        <v>หญิง</v>
      </c>
      <c r="F271" s="5" t="str">
        <f>IFERROR(__xludf.DUMMYFUNCTION("""COMPUTED_VALUE"""),"https://azizstan.net/student_image/26652.jpg")</f>
        <v>https://azizstan.net/student_image/26652.jpg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 t="str">
        <f>IFERROR(__xludf.DUMMYFUNCTION("""COMPUTED_VALUE"""),"26653")</f>
        <v>26653</v>
      </c>
      <c r="B272" s="3" t="str">
        <f>IFERROR(__xludf.DUMMYFUNCTION("""COMPUTED_VALUE"""),"ด.ญ.นิสรีน หะซา")</f>
        <v>ด.ญ.นิสรีน หะซา</v>
      </c>
      <c r="C272" s="3" t="str">
        <f>IFERROR(__xludf.DUMMYFUNCTION("""COMPUTED_VALUE"""),"ม.1/7")</f>
        <v>ม.1/7</v>
      </c>
      <c r="D272" s="3" t="str">
        <f>IFERROR(__xludf.DUMMYFUNCTION("""COMPUTED_VALUE"""),"PR 1/7")</f>
        <v>PR 1/7</v>
      </c>
      <c r="E272" s="2" t="str">
        <f>IFERROR(__xludf.DUMMYFUNCTION("""COMPUTED_VALUE"""),"หญิง")</f>
        <v>หญิง</v>
      </c>
      <c r="F272" s="5" t="str">
        <f>IFERROR(__xludf.DUMMYFUNCTION("""COMPUTED_VALUE"""),"https://azizstan.net/student_image/26653.jpg")</f>
        <v>https://azizstan.net/student_image/26653.jpg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 t="str">
        <f>IFERROR(__xludf.DUMMYFUNCTION("""COMPUTED_VALUE"""),"26726")</f>
        <v>26726</v>
      </c>
      <c r="B273" s="3" t="str">
        <f>IFERROR(__xludf.DUMMYFUNCTION("""COMPUTED_VALUE"""),"ด.ญ.ซัสวาณี แวอุเซ็ง")</f>
        <v>ด.ญ.ซัสวาณี แวอุเซ็ง</v>
      </c>
      <c r="C273" s="3" t="str">
        <f>IFERROR(__xludf.DUMMYFUNCTION("""COMPUTED_VALUE"""),"ม.1/7")</f>
        <v>ม.1/7</v>
      </c>
      <c r="D273" s="3" t="str">
        <f>IFERROR(__xludf.DUMMYFUNCTION("""COMPUTED_VALUE"""),"PR 1/7")</f>
        <v>PR 1/7</v>
      </c>
      <c r="E273" s="2" t="str">
        <f>IFERROR(__xludf.DUMMYFUNCTION("""COMPUTED_VALUE"""),"หญิง")</f>
        <v>หญิง</v>
      </c>
      <c r="F273" s="5" t="str">
        <f>IFERROR(__xludf.DUMMYFUNCTION("""COMPUTED_VALUE"""),"https://azizstan.net/student_image/26726.jpg")</f>
        <v>https://azizstan.net/student_image/26726.jpg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 t="str">
        <f>IFERROR(__xludf.DUMMYFUNCTION("""COMPUTED_VALUE"""),"26747")</f>
        <v>26747</v>
      </c>
      <c r="B274" s="3" t="str">
        <f>IFERROR(__xludf.DUMMYFUNCTION("""COMPUTED_VALUE"""),"ด.ญ.นัจมี เซะ")</f>
        <v>ด.ญ.นัจมี เซะ</v>
      </c>
      <c r="C274" s="3" t="str">
        <f>IFERROR(__xludf.DUMMYFUNCTION("""COMPUTED_VALUE"""),"ม.1/7")</f>
        <v>ม.1/7</v>
      </c>
      <c r="D274" s="3" t="str">
        <f>IFERROR(__xludf.DUMMYFUNCTION("""COMPUTED_VALUE"""),"PR 1/7")</f>
        <v>PR 1/7</v>
      </c>
      <c r="E274" s="2" t="str">
        <f>IFERROR(__xludf.DUMMYFUNCTION("""COMPUTED_VALUE"""),"หญิง")</f>
        <v>หญิง</v>
      </c>
      <c r="F274" s="5" t="str">
        <f>IFERROR(__xludf.DUMMYFUNCTION("""COMPUTED_VALUE"""),"https://azizstan.net/student_image/26747.jpg")</f>
        <v>https://azizstan.net/student_image/26747.jpg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 t="str">
        <f>IFERROR(__xludf.DUMMYFUNCTION("""COMPUTED_VALUE"""),"26759")</f>
        <v>26759</v>
      </c>
      <c r="B275" s="3" t="str">
        <f>IFERROR(__xludf.DUMMYFUNCTION("""COMPUTED_VALUE"""),"ด.ญ.ฟุตตรี มะแซ")</f>
        <v>ด.ญ.ฟุตตรี มะแซ</v>
      </c>
      <c r="C275" s="3" t="str">
        <f>IFERROR(__xludf.DUMMYFUNCTION("""COMPUTED_VALUE"""),"ม.1/7")</f>
        <v>ม.1/7</v>
      </c>
      <c r="D275" s="3" t="str">
        <f>IFERROR(__xludf.DUMMYFUNCTION("""COMPUTED_VALUE"""),"PR 1/7")</f>
        <v>PR 1/7</v>
      </c>
      <c r="E275" s="2" t="str">
        <f>IFERROR(__xludf.DUMMYFUNCTION("""COMPUTED_VALUE"""),"หญิง")</f>
        <v>หญิง</v>
      </c>
      <c r="F275" s="5" t="str">
        <f>IFERROR(__xludf.DUMMYFUNCTION("""COMPUTED_VALUE"""),"https://azizstan.net/student_image/26759.jpg")</f>
        <v>https://azizstan.net/student_image/26759.jpg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 t="str">
        <f>IFERROR(__xludf.DUMMYFUNCTION("""COMPUTED_VALUE"""),"26802")</f>
        <v>26802</v>
      </c>
      <c r="B276" s="3" t="str">
        <f>IFERROR(__xludf.DUMMYFUNCTION("""COMPUTED_VALUE"""),"ด.ญ.ฟิรเดาส มามะ")</f>
        <v>ด.ญ.ฟิรเดาส มามะ</v>
      </c>
      <c r="C276" s="3" t="str">
        <f>IFERROR(__xludf.DUMMYFUNCTION("""COMPUTED_VALUE"""),"ม.1/7")</f>
        <v>ม.1/7</v>
      </c>
      <c r="D276" s="3" t="str">
        <f>IFERROR(__xludf.DUMMYFUNCTION("""COMPUTED_VALUE"""),"PR 1/7")</f>
        <v>PR 1/7</v>
      </c>
      <c r="E276" s="2" t="str">
        <f>IFERROR(__xludf.DUMMYFUNCTION("""COMPUTED_VALUE"""),"หญิง")</f>
        <v>หญิง</v>
      </c>
      <c r="F276" s="5" t="str">
        <f>IFERROR(__xludf.DUMMYFUNCTION("""COMPUTED_VALUE"""),"https://azizstan.net/student_image/26802.jpg")</f>
        <v>https://azizstan.net/student_image/26802.jpg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 t="str">
        <f>IFERROR(__xludf.DUMMYFUNCTION("""COMPUTED_VALUE"""),"26040")</f>
        <v>26040</v>
      </c>
      <c r="B277" s="3" t="str">
        <f>IFERROR(__xludf.DUMMYFUNCTION("""COMPUTED_VALUE"""),"ด.ญ.นัซญูวาย์ แอโนด")</f>
        <v>ด.ญ.นัซญูวาย์ แอโนด</v>
      </c>
      <c r="C277" s="3" t="str">
        <f>IFERROR(__xludf.DUMMYFUNCTION("""COMPUTED_VALUE"""),"ม.1/8")</f>
        <v>ม.1/8</v>
      </c>
      <c r="D277" s="3" t="str">
        <f>IFERROR(__xludf.DUMMYFUNCTION("""COMPUTED_VALUE"""),"PR 1/8")</f>
        <v>PR 1/8</v>
      </c>
      <c r="E277" s="2" t="str">
        <f>IFERROR(__xludf.DUMMYFUNCTION("""COMPUTED_VALUE"""),"หญิง")</f>
        <v>หญิง</v>
      </c>
      <c r="F277" s="5" t="str">
        <f>IFERROR(__xludf.DUMMYFUNCTION("""COMPUTED_VALUE"""),"https://azizstan.net/student_image/26040.jpg")</f>
        <v>https://azizstan.net/student_image/26040.jpg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 t="str">
        <f>IFERROR(__xludf.DUMMYFUNCTION("""COMPUTED_VALUE"""),"26041")</f>
        <v>26041</v>
      </c>
      <c r="B278" s="3" t="str">
        <f>IFERROR(__xludf.DUMMYFUNCTION("""COMPUTED_VALUE"""),"ด.ญ.ฟัตมา ดาโอะ")</f>
        <v>ด.ญ.ฟัตมา ดาโอะ</v>
      </c>
      <c r="C278" s="3" t="str">
        <f>IFERROR(__xludf.DUMMYFUNCTION("""COMPUTED_VALUE"""),"ม.1/8")</f>
        <v>ม.1/8</v>
      </c>
      <c r="D278" s="3" t="str">
        <f>IFERROR(__xludf.DUMMYFUNCTION("""COMPUTED_VALUE"""),"PR 1/8")</f>
        <v>PR 1/8</v>
      </c>
      <c r="E278" s="2" t="str">
        <f>IFERROR(__xludf.DUMMYFUNCTION("""COMPUTED_VALUE"""),"หญิง")</f>
        <v>หญิง</v>
      </c>
      <c r="F278" s="5" t="str">
        <f>IFERROR(__xludf.DUMMYFUNCTION("""COMPUTED_VALUE"""),"https://azizstan.net/student_image/26041.jpg")</f>
        <v>https://azizstan.net/student_image/26041.jpg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 t="str">
        <f>IFERROR(__xludf.DUMMYFUNCTION("""COMPUTED_VALUE"""),"26043")</f>
        <v>26043</v>
      </c>
      <c r="B279" s="3" t="str">
        <f>IFERROR(__xludf.DUMMYFUNCTION("""COMPUTED_VALUE"""),"ด.ญ.อัฟรีดา ปัตตานี")</f>
        <v>ด.ญ.อัฟรีดา ปัตตานี</v>
      </c>
      <c r="C279" s="3" t="str">
        <f>IFERROR(__xludf.DUMMYFUNCTION("""COMPUTED_VALUE"""),"ม.1/8")</f>
        <v>ม.1/8</v>
      </c>
      <c r="D279" s="3" t="str">
        <f>IFERROR(__xludf.DUMMYFUNCTION("""COMPUTED_VALUE"""),"PR 1/8")</f>
        <v>PR 1/8</v>
      </c>
      <c r="E279" s="2" t="str">
        <f>IFERROR(__xludf.DUMMYFUNCTION("""COMPUTED_VALUE"""),"หญิง")</f>
        <v>หญิง</v>
      </c>
      <c r="F279" s="5" t="str">
        <f>IFERROR(__xludf.DUMMYFUNCTION("""COMPUTED_VALUE"""),"https://azizstan.net/student_image/26043.jpg")</f>
        <v>https://azizstan.net/student_image/26043.jpg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 t="str">
        <f>IFERROR(__xludf.DUMMYFUNCTION("""COMPUTED_VALUE"""),"26075")</f>
        <v>26075</v>
      </c>
      <c r="B280" s="3" t="str">
        <f>IFERROR(__xludf.DUMMYFUNCTION("""COMPUTED_VALUE"""),"ด.ญ.อามาณีย์ ฆาเราะ")</f>
        <v>ด.ญ.อามาณีย์ ฆาเราะ</v>
      </c>
      <c r="C280" s="3" t="str">
        <f>IFERROR(__xludf.DUMMYFUNCTION("""COMPUTED_VALUE"""),"ม.1/8")</f>
        <v>ม.1/8</v>
      </c>
      <c r="D280" s="3" t="str">
        <f>IFERROR(__xludf.DUMMYFUNCTION("""COMPUTED_VALUE"""),"PR 1/8")</f>
        <v>PR 1/8</v>
      </c>
      <c r="E280" s="2" t="str">
        <f>IFERROR(__xludf.DUMMYFUNCTION("""COMPUTED_VALUE"""),"หญิง")</f>
        <v>หญิง</v>
      </c>
      <c r="F280" s="5" t="str">
        <f>IFERROR(__xludf.DUMMYFUNCTION("""COMPUTED_VALUE"""),"https://azizstan.net/student_image/26075.jpg")</f>
        <v>https://azizstan.net/student_image/26075.jpg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 t="str">
        <f>IFERROR(__xludf.DUMMYFUNCTION("""COMPUTED_VALUE"""),"26087")</f>
        <v>26087</v>
      </c>
      <c r="B281" s="3" t="str">
        <f>IFERROR(__xludf.DUMMYFUNCTION("""COMPUTED_VALUE"""),"ด.ญ.นิฟาฏิน นิโอะ")</f>
        <v>ด.ญ.นิฟาฏิน นิโอะ</v>
      </c>
      <c r="C281" s="3" t="str">
        <f>IFERROR(__xludf.DUMMYFUNCTION("""COMPUTED_VALUE"""),"ม.1/8")</f>
        <v>ม.1/8</v>
      </c>
      <c r="D281" s="3" t="str">
        <f>IFERROR(__xludf.DUMMYFUNCTION("""COMPUTED_VALUE"""),"PR 1/8")</f>
        <v>PR 1/8</v>
      </c>
      <c r="E281" s="2" t="str">
        <f>IFERROR(__xludf.DUMMYFUNCTION("""COMPUTED_VALUE"""),"หญิง")</f>
        <v>หญิง</v>
      </c>
      <c r="F281" s="5" t="str">
        <f>IFERROR(__xludf.DUMMYFUNCTION("""COMPUTED_VALUE"""),"https://azizstan.net/student_image/26087.jpg")</f>
        <v>https://azizstan.net/student_image/26087.jpg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 t="str">
        <f>IFERROR(__xludf.DUMMYFUNCTION("""COMPUTED_VALUE"""),"26119")</f>
        <v>26119</v>
      </c>
      <c r="B282" s="3" t="str">
        <f>IFERROR(__xludf.DUMMYFUNCTION("""COMPUTED_VALUE"""),"ด.ญ.นูรุลอัสนีม แมเราะ")</f>
        <v>ด.ญ.นูรุลอัสนีม แมเราะ</v>
      </c>
      <c r="C282" s="3" t="str">
        <f>IFERROR(__xludf.DUMMYFUNCTION("""COMPUTED_VALUE"""),"ม.1/8")</f>
        <v>ม.1/8</v>
      </c>
      <c r="D282" s="3" t="str">
        <f>IFERROR(__xludf.DUMMYFUNCTION("""COMPUTED_VALUE"""),"PR 1/8")</f>
        <v>PR 1/8</v>
      </c>
      <c r="E282" s="2" t="str">
        <f>IFERROR(__xludf.DUMMYFUNCTION("""COMPUTED_VALUE"""),"หญิง")</f>
        <v>หญิง</v>
      </c>
      <c r="F282" s="5" t="str">
        <f>IFERROR(__xludf.DUMMYFUNCTION("""COMPUTED_VALUE"""),"https://azizstan.net/student_image/26119.jpg")</f>
        <v>https://azizstan.net/student_image/26119.jpg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 t="str">
        <f>IFERROR(__xludf.DUMMYFUNCTION("""COMPUTED_VALUE"""),"26138")</f>
        <v>26138</v>
      </c>
      <c r="B283" s="3" t="str">
        <f>IFERROR(__xludf.DUMMYFUNCTION("""COMPUTED_VALUE"""),"ด.ญ.สุไรยา ติตะ")</f>
        <v>ด.ญ.สุไรยา ติตะ</v>
      </c>
      <c r="C283" s="3" t="str">
        <f>IFERROR(__xludf.DUMMYFUNCTION("""COMPUTED_VALUE"""),"ม.1/8")</f>
        <v>ม.1/8</v>
      </c>
      <c r="D283" s="3" t="str">
        <f>IFERROR(__xludf.DUMMYFUNCTION("""COMPUTED_VALUE"""),"PR 1/8")</f>
        <v>PR 1/8</v>
      </c>
      <c r="E283" s="2" t="str">
        <f>IFERROR(__xludf.DUMMYFUNCTION("""COMPUTED_VALUE"""),"หญิง")</f>
        <v>หญิง</v>
      </c>
      <c r="F283" s="5" t="str">
        <f>IFERROR(__xludf.DUMMYFUNCTION("""COMPUTED_VALUE"""),"https://azizstan.net/student_image/26138.jpg")</f>
        <v>https://azizstan.net/student_image/26138.jpg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 t="str">
        <f>IFERROR(__xludf.DUMMYFUNCTION("""COMPUTED_VALUE"""),"26146")</f>
        <v>26146</v>
      </c>
      <c r="B284" s="3" t="str">
        <f>IFERROR(__xludf.DUMMYFUNCTION("""COMPUTED_VALUE"""),"ด.ญ.ยาวานี เง๊าะ")</f>
        <v>ด.ญ.ยาวานี เง๊าะ</v>
      </c>
      <c r="C284" s="3" t="str">
        <f>IFERROR(__xludf.DUMMYFUNCTION("""COMPUTED_VALUE"""),"ม.1/8")</f>
        <v>ม.1/8</v>
      </c>
      <c r="D284" s="3" t="str">
        <f>IFERROR(__xludf.DUMMYFUNCTION("""COMPUTED_VALUE"""),"PR 1/8")</f>
        <v>PR 1/8</v>
      </c>
      <c r="E284" s="2" t="str">
        <f>IFERROR(__xludf.DUMMYFUNCTION("""COMPUTED_VALUE"""),"หญิง")</f>
        <v>หญิง</v>
      </c>
      <c r="F284" s="5" t="str">
        <f>IFERROR(__xludf.DUMMYFUNCTION("""COMPUTED_VALUE"""),"https://azizstan.net/student_image/26146.jpg")</f>
        <v>https://azizstan.net/student_image/26146.jpg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 t="str">
        <f>IFERROR(__xludf.DUMMYFUNCTION("""COMPUTED_VALUE"""),"26164")</f>
        <v>26164</v>
      </c>
      <c r="B285" s="3" t="str">
        <f>IFERROR(__xludf.DUMMYFUNCTION("""COMPUTED_VALUE"""),"ด.ญ.นาซีฟะห์ หะหลี")</f>
        <v>ด.ญ.นาซีฟะห์ หะหลี</v>
      </c>
      <c r="C285" s="3" t="str">
        <f>IFERROR(__xludf.DUMMYFUNCTION("""COMPUTED_VALUE"""),"ม.1/8")</f>
        <v>ม.1/8</v>
      </c>
      <c r="D285" s="3" t="str">
        <f>IFERROR(__xludf.DUMMYFUNCTION("""COMPUTED_VALUE"""),"PR 1/8")</f>
        <v>PR 1/8</v>
      </c>
      <c r="E285" s="2" t="str">
        <f>IFERROR(__xludf.DUMMYFUNCTION("""COMPUTED_VALUE"""),"หญิง")</f>
        <v>หญิง</v>
      </c>
      <c r="F285" s="5" t="str">
        <f>IFERROR(__xludf.DUMMYFUNCTION("""COMPUTED_VALUE"""),"https://azizstan.net/student_image/26164.jpg")</f>
        <v>https://azizstan.net/student_image/26164.jpg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 t="str">
        <f>IFERROR(__xludf.DUMMYFUNCTION("""COMPUTED_VALUE"""),"26167")</f>
        <v>26167</v>
      </c>
      <c r="B286" s="3" t="str">
        <f>IFERROR(__xludf.DUMMYFUNCTION("""COMPUTED_VALUE"""),"ด.ญ.ซูไฮลา ยูโซะ")</f>
        <v>ด.ญ.ซูไฮลา ยูโซะ</v>
      </c>
      <c r="C286" s="3" t="str">
        <f>IFERROR(__xludf.DUMMYFUNCTION("""COMPUTED_VALUE"""),"ม.1/8")</f>
        <v>ม.1/8</v>
      </c>
      <c r="D286" s="3" t="str">
        <f>IFERROR(__xludf.DUMMYFUNCTION("""COMPUTED_VALUE"""),"PR 1/8")</f>
        <v>PR 1/8</v>
      </c>
      <c r="E286" s="2" t="str">
        <f>IFERROR(__xludf.DUMMYFUNCTION("""COMPUTED_VALUE"""),"หญิง")</f>
        <v>หญิง</v>
      </c>
      <c r="F286" s="5" t="str">
        <f>IFERROR(__xludf.DUMMYFUNCTION("""COMPUTED_VALUE"""),"https://azizstan.net/student_image/26167.jpg")</f>
        <v>https://azizstan.net/student_image/26167.jpg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 t="str">
        <f>IFERROR(__xludf.DUMMYFUNCTION("""COMPUTED_VALUE"""),"26168")</f>
        <v>26168</v>
      </c>
      <c r="B287" s="3" t="str">
        <f>IFERROR(__xludf.DUMMYFUNCTION("""COMPUTED_VALUE"""),"ด.ญ.อิสวาณีย์ สมานหะ")</f>
        <v>ด.ญ.อิสวาณีย์ สมานหะ</v>
      </c>
      <c r="C287" s="3" t="str">
        <f>IFERROR(__xludf.DUMMYFUNCTION("""COMPUTED_VALUE"""),"ม.1/8")</f>
        <v>ม.1/8</v>
      </c>
      <c r="D287" s="3" t="str">
        <f>IFERROR(__xludf.DUMMYFUNCTION("""COMPUTED_VALUE"""),"PR 1/8")</f>
        <v>PR 1/8</v>
      </c>
      <c r="E287" s="2" t="str">
        <f>IFERROR(__xludf.DUMMYFUNCTION("""COMPUTED_VALUE"""),"หญิง")</f>
        <v>หญิง</v>
      </c>
      <c r="F287" s="5" t="str">
        <f>IFERROR(__xludf.DUMMYFUNCTION("""COMPUTED_VALUE"""),"https://azizstan.net/student_image/26168.jpg")</f>
        <v>https://azizstan.net/student_image/26168.jpg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 t="str">
        <f>IFERROR(__xludf.DUMMYFUNCTION("""COMPUTED_VALUE"""),"26213")</f>
        <v>26213</v>
      </c>
      <c r="B288" s="3" t="str">
        <f>IFERROR(__xludf.DUMMYFUNCTION("""COMPUTED_VALUE"""),"ด.ญ.นริศรา สกุลพงศ์เศรษฐ์")</f>
        <v>ด.ญ.นริศรา สกุลพงศ์เศรษฐ์</v>
      </c>
      <c r="C288" s="3" t="str">
        <f>IFERROR(__xludf.DUMMYFUNCTION("""COMPUTED_VALUE"""),"ม.1/8")</f>
        <v>ม.1/8</v>
      </c>
      <c r="D288" s="3" t="str">
        <f>IFERROR(__xludf.DUMMYFUNCTION("""COMPUTED_VALUE"""),"PR 1/8")</f>
        <v>PR 1/8</v>
      </c>
      <c r="E288" s="2" t="str">
        <f>IFERROR(__xludf.DUMMYFUNCTION("""COMPUTED_VALUE"""),"หญิง")</f>
        <v>หญิง</v>
      </c>
      <c r="F288" s="5" t="str">
        <f>IFERROR(__xludf.DUMMYFUNCTION("""COMPUTED_VALUE"""),"https://azizstan.net/student_image/26213.jpg")</f>
        <v>https://azizstan.net/student_image/26213.jpg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 t="str">
        <f>IFERROR(__xludf.DUMMYFUNCTION("""COMPUTED_VALUE"""),"26227")</f>
        <v>26227</v>
      </c>
      <c r="B289" s="3" t="str">
        <f>IFERROR(__xludf.DUMMYFUNCTION("""COMPUTED_VALUE"""),"ด.ญ.ฟีรดาว สะนิ")</f>
        <v>ด.ญ.ฟีรดาว สะนิ</v>
      </c>
      <c r="C289" s="3" t="str">
        <f>IFERROR(__xludf.DUMMYFUNCTION("""COMPUTED_VALUE"""),"ม.1/8")</f>
        <v>ม.1/8</v>
      </c>
      <c r="D289" s="3" t="str">
        <f>IFERROR(__xludf.DUMMYFUNCTION("""COMPUTED_VALUE"""),"PR 1/8")</f>
        <v>PR 1/8</v>
      </c>
      <c r="E289" s="2" t="str">
        <f>IFERROR(__xludf.DUMMYFUNCTION("""COMPUTED_VALUE"""),"หญิง")</f>
        <v>หญิง</v>
      </c>
      <c r="F289" s="5" t="str">
        <f>IFERROR(__xludf.DUMMYFUNCTION("""COMPUTED_VALUE"""),"https://azizstan.net/student_image/26227.jpg")</f>
        <v>https://azizstan.net/student_image/26227.jpg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 t="str">
        <f>IFERROR(__xludf.DUMMYFUNCTION("""COMPUTED_VALUE"""),"26245")</f>
        <v>26245</v>
      </c>
      <c r="B290" s="3" t="str">
        <f>IFERROR(__xludf.DUMMYFUNCTION("""COMPUTED_VALUE"""),"ด.ญ.ฮาฟีซา จิยีมะ")</f>
        <v>ด.ญ.ฮาฟีซา จิยีมะ</v>
      </c>
      <c r="C290" s="3" t="str">
        <f>IFERROR(__xludf.DUMMYFUNCTION("""COMPUTED_VALUE"""),"ม.1/8")</f>
        <v>ม.1/8</v>
      </c>
      <c r="D290" s="3" t="str">
        <f>IFERROR(__xludf.DUMMYFUNCTION("""COMPUTED_VALUE"""),"PR 1/8")</f>
        <v>PR 1/8</v>
      </c>
      <c r="E290" s="2" t="str">
        <f>IFERROR(__xludf.DUMMYFUNCTION("""COMPUTED_VALUE"""),"หญิง")</f>
        <v>หญิง</v>
      </c>
      <c r="F290" s="5" t="str">
        <f>IFERROR(__xludf.DUMMYFUNCTION("""COMPUTED_VALUE"""),"https://azizstan.net/student_image/26245.jpg")</f>
        <v>https://azizstan.net/student_image/26245.jpg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 t="str">
        <f>IFERROR(__xludf.DUMMYFUNCTION("""COMPUTED_VALUE"""),"26246")</f>
        <v>26246</v>
      </c>
      <c r="B291" s="3" t="str">
        <f>IFERROR(__xludf.DUMMYFUNCTION("""COMPUTED_VALUE"""),"ด.ญ.วันซูฟียา แมวาโซะ")</f>
        <v>ด.ญ.วันซูฟียา แมวาโซะ</v>
      </c>
      <c r="C291" s="3" t="str">
        <f>IFERROR(__xludf.DUMMYFUNCTION("""COMPUTED_VALUE"""),"ม.1/8")</f>
        <v>ม.1/8</v>
      </c>
      <c r="D291" s="3" t="str">
        <f>IFERROR(__xludf.DUMMYFUNCTION("""COMPUTED_VALUE"""),"PR 1/8")</f>
        <v>PR 1/8</v>
      </c>
      <c r="E291" s="2" t="str">
        <f>IFERROR(__xludf.DUMMYFUNCTION("""COMPUTED_VALUE"""),"หญิง")</f>
        <v>หญิง</v>
      </c>
      <c r="F291" s="5" t="str">
        <f>IFERROR(__xludf.DUMMYFUNCTION("""COMPUTED_VALUE"""),"https://azizstan.net/student_image/26246.jpg")</f>
        <v>https://azizstan.net/student_image/26246.jpg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 t="str">
        <f>IFERROR(__xludf.DUMMYFUNCTION("""COMPUTED_VALUE"""),"26298")</f>
        <v>26298</v>
      </c>
      <c r="B292" s="3" t="str">
        <f>IFERROR(__xludf.DUMMYFUNCTION("""COMPUTED_VALUE"""),"ด.ญ.สุไรดา รอดนวน")</f>
        <v>ด.ญ.สุไรดา รอดนวน</v>
      </c>
      <c r="C292" s="3" t="str">
        <f>IFERROR(__xludf.DUMMYFUNCTION("""COMPUTED_VALUE"""),"ม.1/8")</f>
        <v>ม.1/8</v>
      </c>
      <c r="D292" s="3" t="str">
        <f>IFERROR(__xludf.DUMMYFUNCTION("""COMPUTED_VALUE"""),"PR 1/8")</f>
        <v>PR 1/8</v>
      </c>
      <c r="E292" s="2" t="str">
        <f>IFERROR(__xludf.DUMMYFUNCTION("""COMPUTED_VALUE"""),"หญิง")</f>
        <v>หญิง</v>
      </c>
      <c r="F292" s="5" t="str">
        <f>IFERROR(__xludf.DUMMYFUNCTION("""COMPUTED_VALUE"""),"https://azizstan.net/student_image/26298.jpg")</f>
        <v>https://azizstan.net/student_image/26298.jpg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 t="str">
        <f>IFERROR(__xludf.DUMMYFUNCTION("""COMPUTED_VALUE"""),"26311")</f>
        <v>26311</v>
      </c>
      <c r="B293" s="3" t="str">
        <f>IFERROR(__xludf.DUMMYFUNCTION("""COMPUTED_VALUE"""),"ด.ญ.สุภณิดา แก้วนวล")</f>
        <v>ด.ญ.สุภณิดา แก้วนวล</v>
      </c>
      <c r="C293" s="3" t="str">
        <f>IFERROR(__xludf.DUMMYFUNCTION("""COMPUTED_VALUE"""),"ม.1/8")</f>
        <v>ม.1/8</v>
      </c>
      <c r="D293" s="3" t="str">
        <f>IFERROR(__xludf.DUMMYFUNCTION("""COMPUTED_VALUE"""),"PR 1/8")</f>
        <v>PR 1/8</v>
      </c>
      <c r="E293" s="2" t="str">
        <f>IFERROR(__xludf.DUMMYFUNCTION("""COMPUTED_VALUE"""),"หญิง")</f>
        <v>หญิง</v>
      </c>
      <c r="F293" s="5" t="str">
        <f>IFERROR(__xludf.DUMMYFUNCTION("""COMPUTED_VALUE"""),"https://azizstan.net/student_image/26311.jpg")</f>
        <v>https://azizstan.net/student_image/26311.jpg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 t="str">
        <f>IFERROR(__xludf.DUMMYFUNCTION("""COMPUTED_VALUE"""),"26322")</f>
        <v>26322</v>
      </c>
      <c r="B294" s="3" t="str">
        <f>IFERROR(__xludf.DUMMYFUNCTION("""COMPUTED_VALUE"""),"ด.ญ.ซาวีตา อาแว")</f>
        <v>ด.ญ.ซาวีตา อาแว</v>
      </c>
      <c r="C294" s="3" t="str">
        <f>IFERROR(__xludf.DUMMYFUNCTION("""COMPUTED_VALUE"""),"ม.1/8")</f>
        <v>ม.1/8</v>
      </c>
      <c r="D294" s="3" t="str">
        <f>IFERROR(__xludf.DUMMYFUNCTION("""COMPUTED_VALUE"""),"PR 1/8")</f>
        <v>PR 1/8</v>
      </c>
      <c r="E294" s="2" t="str">
        <f>IFERROR(__xludf.DUMMYFUNCTION("""COMPUTED_VALUE"""),"หญิง")</f>
        <v>หญิง</v>
      </c>
      <c r="F294" s="5" t="str">
        <f>IFERROR(__xludf.DUMMYFUNCTION("""COMPUTED_VALUE"""),"https://azizstan.net/student_image/26322.jpg")</f>
        <v>https://azizstan.net/student_image/26322.jpg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 t="str">
        <f>IFERROR(__xludf.DUMMYFUNCTION("""COMPUTED_VALUE"""),"26326")</f>
        <v>26326</v>
      </c>
      <c r="B295" s="3" t="str">
        <f>IFERROR(__xludf.DUMMYFUNCTION("""COMPUTED_VALUE"""),"ด.ญ.กัสมา อามะ")</f>
        <v>ด.ญ.กัสมา อามะ</v>
      </c>
      <c r="C295" s="3" t="str">
        <f>IFERROR(__xludf.DUMMYFUNCTION("""COMPUTED_VALUE"""),"ม.1/8")</f>
        <v>ม.1/8</v>
      </c>
      <c r="D295" s="3" t="str">
        <f>IFERROR(__xludf.DUMMYFUNCTION("""COMPUTED_VALUE"""),"PR 1/8")</f>
        <v>PR 1/8</v>
      </c>
      <c r="E295" s="2" t="str">
        <f>IFERROR(__xludf.DUMMYFUNCTION("""COMPUTED_VALUE"""),"หญิง")</f>
        <v>หญิง</v>
      </c>
      <c r="F295" s="5" t="str">
        <f>IFERROR(__xludf.DUMMYFUNCTION("""COMPUTED_VALUE"""),"https://azizstan.net/student_image/26326.jpg")</f>
        <v>https://azizstan.net/student_image/26326.jpg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 t="str">
        <f>IFERROR(__xludf.DUMMYFUNCTION("""COMPUTED_VALUE"""),"26332")</f>
        <v>26332</v>
      </c>
      <c r="B296" s="3" t="str">
        <f>IFERROR(__xludf.DUMMYFUNCTION("""COMPUTED_VALUE"""),"ด.ญ.ศกุณตลา นิดือมอง")</f>
        <v>ด.ญ.ศกุณตลา นิดือมอง</v>
      </c>
      <c r="C296" s="3" t="str">
        <f>IFERROR(__xludf.DUMMYFUNCTION("""COMPUTED_VALUE"""),"ม.1/8")</f>
        <v>ม.1/8</v>
      </c>
      <c r="D296" s="3" t="str">
        <f>IFERROR(__xludf.DUMMYFUNCTION("""COMPUTED_VALUE"""),"PR 1/8")</f>
        <v>PR 1/8</v>
      </c>
      <c r="E296" s="2" t="str">
        <f>IFERROR(__xludf.DUMMYFUNCTION("""COMPUTED_VALUE"""),"หญิง")</f>
        <v>หญิง</v>
      </c>
      <c r="F296" s="5" t="str">
        <f>IFERROR(__xludf.DUMMYFUNCTION("""COMPUTED_VALUE"""),"https://azizstan.net/student_image/26332.jpg")</f>
        <v>https://azizstan.net/student_image/26332.jpg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 t="str">
        <f>IFERROR(__xludf.DUMMYFUNCTION("""COMPUTED_VALUE"""),"26367")</f>
        <v>26367</v>
      </c>
      <c r="B297" s="3" t="str">
        <f>IFERROR(__xludf.DUMMYFUNCTION("""COMPUTED_VALUE"""),"ด.ญ.นัสรีน วาเลง")</f>
        <v>ด.ญ.นัสรีน วาเลง</v>
      </c>
      <c r="C297" s="3" t="str">
        <f>IFERROR(__xludf.DUMMYFUNCTION("""COMPUTED_VALUE"""),"ม.1/8")</f>
        <v>ม.1/8</v>
      </c>
      <c r="D297" s="3" t="str">
        <f>IFERROR(__xludf.DUMMYFUNCTION("""COMPUTED_VALUE"""),"PR 1/8")</f>
        <v>PR 1/8</v>
      </c>
      <c r="E297" s="2" t="str">
        <f>IFERROR(__xludf.DUMMYFUNCTION("""COMPUTED_VALUE"""),"หญิง")</f>
        <v>หญิง</v>
      </c>
      <c r="F297" s="5" t="str">
        <f>IFERROR(__xludf.DUMMYFUNCTION("""COMPUTED_VALUE"""),"https://azizstan.net/student_image/26367.jpg")</f>
        <v>https://azizstan.net/student_image/26367.jpg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 t="str">
        <f>IFERROR(__xludf.DUMMYFUNCTION("""COMPUTED_VALUE"""),"26368")</f>
        <v>26368</v>
      </c>
      <c r="B298" s="3" t="str">
        <f>IFERROR(__xludf.DUMMYFUNCTION("""COMPUTED_VALUE"""),"ด.ญ.ไซนุง แซโซะ")</f>
        <v>ด.ญ.ไซนุง แซโซะ</v>
      </c>
      <c r="C298" s="3" t="str">
        <f>IFERROR(__xludf.DUMMYFUNCTION("""COMPUTED_VALUE"""),"ม.1/8")</f>
        <v>ม.1/8</v>
      </c>
      <c r="D298" s="3" t="str">
        <f>IFERROR(__xludf.DUMMYFUNCTION("""COMPUTED_VALUE"""),"PR 1/8")</f>
        <v>PR 1/8</v>
      </c>
      <c r="E298" s="2" t="str">
        <f>IFERROR(__xludf.DUMMYFUNCTION("""COMPUTED_VALUE"""),"หญิง")</f>
        <v>หญิง</v>
      </c>
      <c r="F298" s="5" t="str">
        <f>IFERROR(__xludf.DUMMYFUNCTION("""COMPUTED_VALUE"""),"https://azizstan.net/student_image/26368.jpg")</f>
        <v>https://azizstan.net/student_image/26368.jpg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 t="str">
        <f>IFERROR(__xludf.DUMMYFUNCTION("""COMPUTED_VALUE"""),"26371")</f>
        <v>26371</v>
      </c>
      <c r="B299" s="3" t="str">
        <f>IFERROR(__xludf.DUMMYFUNCTION("""COMPUTED_VALUE"""),"ด.ญ.รอยฮาน เจะเตะ")</f>
        <v>ด.ญ.รอยฮาน เจะเตะ</v>
      </c>
      <c r="C299" s="3" t="str">
        <f>IFERROR(__xludf.DUMMYFUNCTION("""COMPUTED_VALUE"""),"ม.1/8")</f>
        <v>ม.1/8</v>
      </c>
      <c r="D299" s="3" t="str">
        <f>IFERROR(__xludf.DUMMYFUNCTION("""COMPUTED_VALUE"""),"PR 1/8")</f>
        <v>PR 1/8</v>
      </c>
      <c r="E299" s="2" t="str">
        <f>IFERROR(__xludf.DUMMYFUNCTION("""COMPUTED_VALUE"""),"หญิง")</f>
        <v>หญิง</v>
      </c>
      <c r="F299" s="5" t="str">
        <f>IFERROR(__xludf.DUMMYFUNCTION("""COMPUTED_VALUE"""),"https://azizstan.net/student_image/26371.jpg")</f>
        <v>https://azizstan.net/student_image/26371.jpg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 t="str">
        <f>IFERROR(__xludf.DUMMYFUNCTION("""COMPUTED_VALUE"""),"26392")</f>
        <v>26392</v>
      </c>
      <c r="B300" s="3" t="str">
        <f>IFERROR(__xludf.DUMMYFUNCTION("""COMPUTED_VALUE"""),"ด.ญ.นิสรีน อาแว")</f>
        <v>ด.ญ.นิสรีน อาแว</v>
      </c>
      <c r="C300" s="3" t="str">
        <f>IFERROR(__xludf.DUMMYFUNCTION("""COMPUTED_VALUE"""),"ม.1/8")</f>
        <v>ม.1/8</v>
      </c>
      <c r="D300" s="3" t="str">
        <f>IFERROR(__xludf.DUMMYFUNCTION("""COMPUTED_VALUE"""),"PR 1/8")</f>
        <v>PR 1/8</v>
      </c>
      <c r="E300" s="2" t="str">
        <f>IFERROR(__xludf.DUMMYFUNCTION("""COMPUTED_VALUE"""),"หญิง")</f>
        <v>หญิง</v>
      </c>
      <c r="F300" s="5" t="str">
        <f>IFERROR(__xludf.DUMMYFUNCTION("""COMPUTED_VALUE"""),"https://azizstan.net/student_image/26392.jpg")</f>
        <v>https://azizstan.net/student_image/26392.jpg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 t="str">
        <f>IFERROR(__xludf.DUMMYFUNCTION("""COMPUTED_VALUE"""),"26421")</f>
        <v>26421</v>
      </c>
      <c r="B301" s="3" t="str">
        <f>IFERROR(__xludf.DUMMYFUNCTION("""COMPUTED_VALUE"""),"ด.ญ.ซุนนูรอยน์ เจ๊ะมะ")</f>
        <v>ด.ญ.ซุนนูรอยน์ เจ๊ะมะ</v>
      </c>
      <c r="C301" s="3" t="str">
        <f>IFERROR(__xludf.DUMMYFUNCTION("""COMPUTED_VALUE"""),"ม.1/8")</f>
        <v>ม.1/8</v>
      </c>
      <c r="D301" s="3" t="str">
        <f>IFERROR(__xludf.DUMMYFUNCTION("""COMPUTED_VALUE"""),"PR 1/8")</f>
        <v>PR 1/8</v>
      </c>
      <c r="E301" s="2" t="str">
        <f>IFERROR(__xludf.DUMMYFUNCTION("""COMPUTED_VALUE"""),"หญิง")</f>
        <v>หญิง</v>
      </c>
      <c r="F301" s="5" t="str">
        <f>IFERROR(__xludf.DUMMYFUNCTION("""COMPUTED_VALUE"""),"https://azizstan.net/student_image/26421.jpg")</f>
        <v>https://azizstan.net/student_image/26421.jpg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 t="str">
        <f>IFERROR(__xludf.DUMMYFUNCTION("""COMPUTED_VALUE"""),"26451")</f>
        <v>26451</v>
      </c>
      <c r="B302" s="3" t="str">
        <f>IFERROR(__xludf.DUMMYFUNCTION("""COMPUTED_VALUE"""),"ด.ญ.อัญญิยา บือราเฮง")</f>
        <v>ด.ญ.อัญญิยา บือราเฮง</v>
      </c>
      <c r="C302" s="3" t="str">
        <f>IFERROR(__xludf.DUMMYFUNCTION("""COMPUTED_VALUE"""),"ม.1/8")</f>
        <v>ม.1/8</v>
      </c>
      <c r="D302" s="3" t="str">
        <f>IFERROR(__xludf.DUMMYFUNCTION("""COMPUTED_VALUE"""),"PR 1/8")</f>
        <v>PR 1/8</v>
      </c>
      <c r="E302" s="2" t="str">
        <f>IFERROR(__xludf.DUMMYFUNCTION("""COMPUTED_VALUE"""),"หญิง")</f>
        <v>หญิง</v>
      </c>
      <c r="F302" s="5" t="str">
        <f>IFERROR(__xludf.DUMMYFUNCTION("""COMPUTED_VALUE"""),"https://azizstan.net/student_image/26451.jpg")</f>
        <v>https://azizstan.net/student_image/26451.jpg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 t="str">
        <f>IFERROR(__xludf.DUMMYFUNCTION("""COMPUTED_VALUE"""),"26452")</f>
        <v>26452</v>
      </c>
      <c r="B303" s="3" t="str">
        <f>IFERROR(__xludf.DUMMYFUNCTION("""COMPUTED_VALUE"""),"ด.ญ.นัสมี สามะ")</f>
        <v>ด.ญ.นัสมี สามะ</v>
      </c>
      <c r="C303" s="3" t="str">
        <f>IFERROR(__xludf.DUMMYFUNCTION("""COMPUTED_VALUE"""),"ม.1/8")</f>
        <v>ม.1/8</v>
      </c>
      <c r="D303" s="3" t="str">
        <f>IFERROR(__xludf.DUMMYFUNCTION("""COMPUTED_VALUE"""),"PR 1/8")</f>
        <v>PR 1/8</v>
      </c>
      <c r="E303" s="2" t="str">
        <f>IFERROR(__xludf.DUMMYFUNCTION("""COMPUTED_VALUE"""),"หญิง")</f>
        <v>หญิง</v>
      </c>
      <c r="F303" s="5" t="str">
        <f>IFERROR(__xludf.DUMMYFUNCTION("""COMPUTED_VALUE"""),"https://azizstan.net/student_image/26452.jpg")</f>
        <v>https://azizstan.net/student_image/26452.jpg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 t="str">
        <f>IFERROR(__xludf.DUMMYFUNCTION("""COMPUTED_VALUE"""),"26477")</f>
        <v>26477</v>
      </c>
      <c r="B304" s="3" t="str">
        <f>IFERROR(__xludf.DUMMYFUNCTION("""COMPUTED_VALUE"""),"ด.ญ.สริตา นรินทรางกูร ณ อยุธยา")</f>
        <v>ด.ญ.สริตา นรินทรางกูร ณ อยุธยา</v>
      </c>
      <c r="C304" s="3" t="str">
        <f>IFERROR(__xludf.DUMMYFUNCTION("""COMPUTED_VALUE"""),"ม.1/8")</f>
        <v>ม.1/8</v>
      </c>
      <c r="D304" s="3" t="str">
        <f>IFERROR(__xludf.DUMMYFUNCTION("""COMPUTED_VALUE"""),"PR 1/8")</f>
        <v>PR 1/8</v>
      </c>
      <c r="E304" s="2" t="str">
        <f>IFERROR(__xludf.DUMMYFUNCTION("""COMPUTED_VALUE"""),"หญิง")</f>
        <v>หญิง</v>
      </c>
      <c r="F304" s="5" t="str">
        <f>IFERROR(__xludf.DUMMYFUNCTION("""COMPUTED_VALUE"""),"https://azizstan.net/student_image/26477.jpg")</f>
        <v>https://azizstan.net/student_image/26477.jpg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 t="str">
        <f>IFERROR(__xludf.DUMMYFUNCTION("""COMPUTED_VALUE"""),"26479")</f>
        <v>26479</v>
      </c>
      <c r="B305" s="3" t="str">
        <f>IFERROR(__xludf.DUMMYFUNCTION("""COMPUTED_VALUE"""),"ด.ญ.มุรณีย์ เจะอาแว")</f>
        <v>ด.ญ.มุรณีย์ เจะอาแว</v>
      </c>
      <c r="C305" s="3" t="str">
        <f>IFERROR(__xludf.DUMMYFUNCTION("""COMPUTED_VALUE"""),"ม.1/8")</f>
        <v>ม.1/8</v>
      </c>
      <c r="D305" s="3" t="str">
        <f>IFERROR(__xludf.DUMMYFUNCTION("""COMPUTED_VALUE"""),"PR 1/8")</f>
        <v>PR 1/8</v>
      </c>
      <c r="E305" s="2" t="str">
        <f>IFERROR(__xludf.DUMMYFUNCTION("""COMPUTED_VALUE"""),"หญิง")</f>
        <v>หญิง</v>
      </c>
      <c r="F305" s="5" t="str">
        <f>IFERROR(__xludf.DUMMYFUNCTION("""COMPUTED_VALUE"""),"https://azizstan.net/student_image/26479.jpg")</f>
        <v>https://azizstan.net/student_image/26479.jpg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 t="str">
        <f>IFERROR(__xludf.DUMMYFUNCTION("""COMPUTED_VALUE"""),"26526")</f>
        <v>26526</v>
      </c>
      <c r="B306" s="3" t="str">
        <f>IFERROR(__xludf.DUMMYFUNCTION("""COMPUTED_VALUE"""),"ด.ญ.อาอีชะห์ สุหลง")</f>
        <v>ด.ญ.อาอีชะห์ สุหลง</v>
      </c>
      <c r="C306" s="3" t="str">
        <f>IFERROR(__xludf.DUMMYFUNCTION("""COMPUTED_VALUE"""),"ม.1/8")</f>
        <v>ม.1/8</v>
      </c>
      <c r="D306" s="3" t="str">
        <f>IFERROR(__xludf.DUMMYFUNCTION("""COMPUTED_VALUE"""),"PR 1/8")</f>
        <v>PR 1/8</v>
      </c>
      <c r="E306" s="2" t="str">
        <f>IFERROR(__xludf.DUMMYFUNCTION("""COMPUTED_VALUE"""),"หญิง")</f>
        <v>หญิง</v>
      </c>
      <c r="F306" s="5" t="str">
        <f>IFERROR(__xludf.DUMMYFUNCTION("""COMPUTED_VALUE"""),"https://azizstan.net/student_image/26526.jpg")</f>
        <v>https://azizstan.net/student_image/26526.jpg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 t="str">
        <f>IFERROR(__xludf.DUMMYFUNCTION("""COMPUTED_VALUE"""),"26563")</f>
        <v>26563</v>
      </c>
      <c r="B307" s="3" t="str">
        <f>IFERROR(__xludf.DUMMYFUNCTION("""COMPUTED_VALUE"""),"ด.ญ.นูรอยฮัน ดอเลาะ")</f>
        <v>ด.ญ.นูรอยฮัน ดอเลาะ</v>
      </c>
      <c r="C307" s="3" t="str">
        <f>IFERROR(__xludf.DUMMYFUNCTION("""COMPUTED_VALUE"""),"ม.1/8")</f>
        <v>ม.1/8</v>
      </c>
      <c r="D307" s="3" t="str">
        <f>IFERROR(__xludf.DUMMYFUNCTION("""COMPUTED_VALUE"""),"PR 1/8")</f>
        <v>PR 1/8</v>
      </c>
      <c r="E307" s="2" t="str">
        <f>IFERROR(__xludf.DUMMYFUNCTION("""COMPUTED_VALUE"""),"หญิง")</f>
        <v>หญิง</v>
      </c>
      <c r="F307" s="5" t="str">
        <f>IFERROR(__xludf.DUMMYFUNCTION("""COMPUTED_VALUE"""),"https://azizstan.net/student_image/26563.jpg")</f>
        <v>https://azizstan.net/student_image/26563.jpg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 t="str">
        <f>IFERROR(__xludf.DUMMYFUNCTION("""COMPUTED_VALUE"""),"26597")</f>
        <v>26597</v>
      </c>
      <c r="B308" s="3" t="str">
        <f>IFERROR(__xludf.DUMMYFUNCTION("""COMPUTED_VALUE"""),"ด.ญ.อารอฟัต โตะเลง")</f>
        <v>ด.ญ.อารอฟัต โตะเลง</v>
      </c>
      <c r="C308" s="3" t="str">
        <f>IFERROR(__xludf.DUMMYFUNCTION("""COMPUTED_VALUE"""),"ม.1/8")</f>
        <v>ม.1/8</v>
      </c>
      <c r="D308" s="3" t="str">
        <f>IFERROR(__xludf.DUMMYFUNCTION("""COMPUTED_VALUE"""),"PR 1/8")</f>
        <v>PR 1/8</v>
      </c>
      <c r="E308" s="2" t="str">
        <f>IFERROR(__xludf.DUMMYFUNCTION("""COMPUTED_VALUE"""),"หญิง")</f>
        <v>หญิง</v>
      </c>
      <c r="F308" s="5" t="str">
        <f>IFERROR(__xludf.DUMMYFUNCTION("""COMPUTED_VALUE"""),"https://azizstan.net/student_image/26597.jpg")</f>
        <v>https://azizstan.net/student_image/26597.jpg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 t="str">
        <f>IFERROR(__xludf.DUMMYFUNCTION("""COMPUTED_VALUE"""),"26601")</f>
        <v>26601</v>
      </c>
      <c r="B309" s="3" t="str">
        <f>IFERROR(__xludf.DUMMYFUNCTION("""COMPUTED_VALUE"""),"ด.ญ.ซูไฮลา อาลี")</f>
        <v>ด.ญ.ซูไฮลา อาลี</v>
      </c>
      <c r="C309" s="3" t="str">
        <f>IFERROR(__xludf.DUMMYFUNCTION("""COMPUTED_VALUE"""),"ม.1/8")</f>
        <v>ม.1/8</v>
      </c>
      <c r="D309" s="3" t="str">
        <f>IFERROR(__xludf.DUMMYFUNCTION("""COMPUTED_VALUE"""),"PR 1/8")</f>
        <v>PR 1/8</v>
      </c>
      <c r="E309" s="2" t="str">
        <f>IFERROR(__xludf.DUMMYFUNCTION("""COMPUTED_VALUE"""),"หญิง")</f>
        <v>หญิง</v>
      </c>
      <c r="F309" s="5" t="str">
        <f>IFERROR(__xludf.DUMMYFUNCTION("""COMPUTED_VALUE"""),"https://azizstan.net/student_image/26601.jpg")</f>
        <v>https://azizstan.net/student_image/26601.jpg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 t="str">
        <f>IFERROR(__xludf.DUMMYFUNCTION("""COMPUTED_VALUE"""),"26616")</f>
        <v>26616</v>
      </c>
      <c r="B310" s="3" t="str">
        <f>IFERROR(__xludf.DUMMYFUNCTION("""COMPUTED_VALUE"""),"ด.ญ.ซูฮาดา ช่วยบำรุง")</f>
        <v>ด.ญ.ซูฮาดา ช่วยบำรุง</v>
      </c>
      <c r="C310" s="3" t="str">
        <f>IFERROR(__xludf.DUMMYFUNCTION("""COMPUTED_VALUE"""),"ม.1/8")</f>
        <v>ม.1/8</v>
      </c>
      <c r="D310" s="3" t="str">
        <f>IFERROR(__xludf.DUMMYFUNCTION("""COMPUTED_VALUE"""),"PR 1/8")</f>
        <v>PR 1/8</v>
      </c>
      <c r="E310" s="2" t="str">
        <f>IFERROR(__xludf.DUMMYFUNCTION("""COMPUTED_VALUE"""),"หญิง")</f>
        <v>หญิง</v>
      </c>
      <c r="F310" s="5" t="str">
        <f>IFERROR(__xludf.DUMMYFUNCTION("""COMPUTED_VALUE"""),"https://azizstan.net/student_image/26616.jpg")</f>
        <v>https://azizstan.net/student_image/26616.jpg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 t="str">
        <f>IFERROR(__xludf.DUMMYFUNCTION("""COMPUTED_VALUE"""),"26646")</f>
        <v>26646</v>
      </c>
      <c r="B311" s="3" t="str">
        <f>IFERROR(__xludf.DUMMYFUNCTION("""COMPUTED_VALUE"""),"ด.ญ.นุรอัฟนาน แวลี")</f>
        <v>ด.ญ.นุรอัฟนาน แวลี</v>
      </c>
      <c r="C311" s="3" t="str">
        <f>IFERROR(__xludf.DUMMYFUNCTION("""COMPUTED_VALUE"""),"ม.1/8")</f>
        <v>ม.1/8</v>
      </c>
      <c r="D311" s="3" t="str">
        <f>IFERROR(__xludf.DUMMYFUNCTION("""COMPUTED_VALUE"""),"PR 1/8")</f>
        <v>PR 1/8</v>
      </c>
      <c r="E311" s="2" t="str">
        <f>IFERROR(__xludf.DUMMYFUNCTION("""COMPUTED_VALUE"""),"หญิง")</f>
        <v>หญิง</v>
      </c>
      <c r="F311" s="5" t="str">
        <f>IFERROR(__xludf.DUMMYFUNCTION("""COMPUTED_VALUE"""),"https://azizstan.net/student_image/26646.jpg")</f>
        <v>https://azizstan.net/student_image/26646.jpg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 t="str">
        <f>IFERROR(__xludf.DUMMYFUNCTION("""COMPUTED_VALUE"""),"26648")</f>
        <v>26648</v>
      </c>
      <c r="B312" s="3" t="str">
        <f>IFERROR(__xludf.DUMMYFUNCTION("""COMPUTED_VALUE"""),"ด.ญ.นูรซัลซาบีล เจะสนิ")</f>
        <v>ด.ญ.นูรซัลซาบีล เจะสนิ</v>
      </c>
      <c r="C312" s="3" t="str">
        <f>IFERROR(__xludf.DUMMYFUNCTION("""COMPUTED_VALUE"""),"ม.1/8")</f>
        <v>ม.1/8</v>
      </c>
      <c r="D312" s="3" t="str">
        <f>IFERROR(__xludf.DUMMYFUNCTION("""COMPUTED_VALUE"""),"PR 1/8")</f>
        <v>PR 1/8</v>
      </c>
      <c r="E312" s="2" t="str">
        <f>IFERROR(__xludf.DUMMYFUNCTION("""COMPUTED_VALUE"""),"หญิง")</f>
        <v>หญิง</v>
      </c>
      <c r="F312" s="5" t="str">
        <f>IFERROR(__xludf.DUMMYFUNCTION("""COMPUTED_VALUE"""),"https://azizstan.net/student_image/26648.jpg")</f>
        <v>https://azizstan.net/student_image/26648.jpg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 t="str">
        <f>IFERROR(__xludf.DUMMYFUNCTION("""COMPUTED_VALUE"""),"26738")</f>
        <v>26738</v>
      </c>
      <c r="B313" s="3" t="str">
        <f>IFERROR(__xludf.DUMMYFUNCTION("""COMPUTED_VALUE"""),"ด.ญ.นิอัซมาณีย์ ดอเลาะ")</f>
        <v>ด.ญ.นิอัซมาณีย์ ดอเลาะ</v>
      </c>
      <c r="C313" s="3" t="str">
        <f>IFERROR(__xludf.DUMMYFUNCTION("""COMPUTED_VALUE"""),"ม.1/8")</f>
        <v>ม.1/8</v>
      </c>
      <c r="D313" s="3" t="str">
        <f>IFERROR(__xludf.DUMMYFUNCTION("""COMPUTED_VALUE"""),"PR 1/8")</f>
        <v>PR 1/8</v>
      </c>
      <c r="E313" s="2" t="str">
        <f>IFERROR(__xludf.DUMMYFUNCTION("""COMPUTED_VALUE"""),"หญิง")</f>
        <v>หญิง</v>
      </c>
      <c r="F313" s="5" t="str">
        <f>IFERROR(__xludf.DUMMYFUNCTION("""COMPUTED_VALUE"""),"https://azizstan.net/student_image/26738.jpg")</f>
        <v>https://azizstan.net/student_image/26738.jpg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 t="str">
        <f>IFERROR(__xludf.DUMMYFUNCTION("""COMPUTED_VALUE"""),"26746")</f>
        <v>26746</v>
      </c>
      <c r="B314" s="3" t="str">
        <f>IFERROR(__xludf.DUMMYFUNCTION("""COMPUTED_VALUE"""),"ด.ญ.รุสมานี แห่เหล็ม")</f>
        <v>ด.ญ.รุสมานี แห่เหล็ม</v>
      </c>
      <c r="C314" s="3" t="str">
        <f>IFERROR(__xludf.DUMMYFUNCTION("""COMPUTED_VALUE"""),"ม.1/8")</f>
        <v>ม.1/8</v>
      </c>
      <c r="D314" s="3" t="str">
        <f>IFERROR(__xludf.DUMMYFUNCTION("""COMPUTED_VALUE"""),"PR 1/8")</f>
        <v>PR 1/8</v>
      </c>
      <c r="E314" s="2" t="str">
        <f>IFERROR(__xludf.DUMMYFUNCTION("""COMPUTED_VALUE"""),"หญิง")</f>
        <v>หญิง</v>
      </c>
      <c r="F314" s="5" t="str">
        <f>IFERROR(__xludf.DUMMYFUNCTION("""COMPUTED_VALUE"""),"https://azizstan.net/student_image/26746.jpg")</f>
        <v>https://azizstan.net/student_image/26746.jpg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 t="str">
        <f>IFERROR(__xludf.DUMMYFUNCTION("""COMPUTED_VALUE"""),"26753")</f>
        <v>26753</v>
      </c>
      <c r="B315" s="3" t="str">
        <f>IFERROR(__xludf.DUMMYFUNCTION("""COMPUTED_VALUE"""),"ด.ญ.นัสริน เพ็งมูซอ")</f>
        <v>ด.ญ.นัสริน เพ็งมูซอ</v>
      </c>
      <c r="C315" s="3" t="str">
        <f>IFERROR(__xludf.DUMMYFUNCTION("""COMPUTED_VALUE"""),"ม.1/8")</f>
        <v>ม.1/8</v>
      </c>
      <c r="D315" s="3" t="str">
        <f>IFERROR(__xludf.DUMMYFUNCTION("""COMPUTED_VALUE"""),"PR 1/8")</f>
        <v>PR 1/8</v>
      </c>
      <c r="E315" s="2" t="str">
        <f>IFERROR(__xludf.DUMMYFUNCTION("""COMPUTED_VALUE"""),"หญิง")</f>
        <v>หญิง</v>
      </c>
      <c r="F315" s="5" t="str">
        <f>IFERROR(__xludf.DUMMYFUNCTION("""COMPUTED_VALUE"""),"https://azizstan.net/student_image/26753.jpg")</f>
        <v>https://azizstan.net/student_image/26753.jpg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 t="str">
        <f>IFERROR(__xludf.DUMMYFUNCTION("""COMPUTED_VALUE"""),"26755")</f>
        <v>26755</v>
      </c>
      <c r="B316" s="3" t="str">
        <f>IFERROR(__xludf.DUMMYFUNCTION("""COMPUTED_VALUE"""),"ด.ญ.อีมาน เจะอาลี")</f>
        <v>ด.ญ.อีมาน เจะอาลี</v>
      </c>
      <c r="C316" s="3" t="str">
        <f>IFERROR(__xludf.DUMMYFUNCTION("""COMPUTED_VALUE"""),"ม.1/8")</f>
        <v>ม.1/8</v>
      </c>
      <c r="D316" s="3" t="str">
        <f>IFERROR(__xludf.DUMMYFUNCTION("""COMPUTED_VALUE"""),"PR 1/8")</f>
        <v>PR 1/8</v>
      </c>
      <c r="E316" s="2" t="str">
        <f>IFERROR(__xludf.DUMMYFUNCTION("""COMPUTED_VALUE"""),"หญิง")</f>
        <v>หญิง</v>
      </c>
      <c r="F316" s="5" t="str">
        <f>IFERROR(__xludf.DUMMYFUNCTION("""COMPUTED_VALUE"""),"https://azizstan.net/student_image/26755.jpg")</f>
        <v>https://azizstan.net/student_image/26755.jpg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" t="str">
        <f>IFERROR(__xludf.DUMMYFUNCTION("""COMPUTED_VALUE"""),"25605")</f>
        <v>25605</v>
      </c>
      <c r="B317" s="3" t="str">
        <f>IFERROR(__xludf.DUMMYFUNCTION("""COMPUTED_VALUE"""),"ด.ญ.ตัสนีม เจะมะ")</f>
        <v>ด.ญ.ตัสนีม เจะมะ</v>
      </c>
      <c r="C317" s="3" t="str">
        <f>IFERROR(__xludf.DUMMYFUNCTION("""COMPUTED_VALUE"""),"ม.1/9")</f>
        <v>ม.1/9</v>
      </c>
      <c r="D317" s="3" t="str">
        <f>IFERROR(__xludf.DUMMYFUNCTION("""COMPUTED_VALUE"""),"PR 1/9")</f>
        <v>PR 1/9</v>
      </c>
      <c r="E317" s="2" t="str">
        <f>IFERROR(__xludf.DUMMYFUNCTION("""COMPUTED_VALUE"""),"หญิง")</f>
        <v>หญิง</v>
      </c>
      <c r="F317" s="5" t="str">
        <f>IFERROR(__xludf.DUMMYFUNCTION("""COMPUTED_VALUE"""),"https://azizstan.net/student_image/25605.jpg")</f>
        <v>https://azizstan.net/student_image/25605.jpg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 t="str">
        <f>IFERROR(__xludf.DUMMYFUNCTION("""COMPUTED_VALUE"""),"26036")</f>
        <v>26036</v>
      </c>
      <c r="B318" s="3" t="str">
        <f>IFERROR(__xludf.DUMMYFUNCTION("""COMPUTED_VALUE"""),"ด.ญ.อัสรีดา ดอมะ")</f>
        <v>ด.ญ.อัสรีดา ดอมะ</v>
      </c>
      <c r="C318" s="3" t="str">
        <f>IFERROR(__xludf.DUMMYFUNCTION("""COMPUTED_VALUE"""),"ม.1/9")</f>
        <v>ม.1/9</v>
      </c>
      <c r="D318" s="3" t="str">
        <f>IFERROR(__xludf.DUMMYFUNCTION("""COMPUTED_VALUE"""),"PR 1/9")</f>
        <v>PR 1/9</v>
      </c>
      <c r="E318" s="2" t="str">
        <f>IFERROR(__xludf.DUMMYFUNCTION("""COMPUTED_VALUE"""),"หญิง")</f>
        <v>หญิง</v>
      </c>
      <c r="F318" s="5" t="str">
        <f>IFERROR(__xludf.DUMMYFUNCTION("""COMPUTED_VALUE"""),"https://azizstan.net/student_image/26036.jpg")</f>
        <v>https://azizstan.net/student_image/26036.jpg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 t="str">
        <f>IFERROR(__xludf.DUMMYFUNCTION("""COMPUTED_VALUE"""),"26083")</f>
        <v>26083</v>
      </c>
      <c r="B319" s="3" t="str">
        <f>IFERROR(__xludf.DUMMYFUNCTION("""COMPUTED_VALUE"""),"ด.ญ.ตัสนีม บาเหม")</f>
        <v>ด.ญ.ตัสนีม บาเหม</v>
      </c>
      <c r="C319" s="3" t="str">
        <f>IFERROR(__xludf.DUMMYFUNCTION("""COMPUTED_VALUE"""),"ม.1/9")</f>
        <v>ม.1/9</v>
      </c>
      <c r="D319" s="3" t="str">
        <f>IFERROR(__xludf.DUMMYFUNCTION("""COMPUTED_VALUE"""),"PR 1/9")</f>
        <v>PR 1/9</v>
      </c>
      <c r="E319" s="2" t="str">
        <f>IFERROR(__xludf.DUMMYFUNCTION("""COMPUTED_VALUE"""),"หญิง")</f>
        <v>หญิง</v>
      </c>
      <c r="F319" s="5" t="str">
        <f>IFERROR(__xludf.DUMMYFUNCTION("""COMPUTED_VALUE"""),"https://azizstan.net/student_image/26083.jpg")</f>
        <v>https://azizstan.net/student_image/26083.jpg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 t="str">
        <f>IFERROR(__xludf.DUMMYFUNCTION("""COMPUTED_VALUE"""),"26090")</f>
        <v>26090</v>
      </c>
      <c r="B320" s="3" t="str">
        <f>IFERROR(__xludf.DUMMYFUNCTION("""COMPUTED_VALUE"""),"ด.ญ.ศรัญญา กูโนะ")</f>
        <v>ด.ญ.ศรัญญา กูโนะ</v>
      </c>
      <c r="C320" s="3" t="str">
        <f>IFERROR(__xludf.DUMMYFUNCTION("""COMPUTED_VALUE"""),"ม.1/9")</f>
        <v>ม.1/9</v>
      </c>
      <c r="D320" s="3" t="str">
        <f>IFERROR(__xludf.DUMMYFUNCTION("""COMPUTED_VALUE"""),"PR 1/9")</f>
        <v>PR 1/9</v>
      </c>
      <c r="E320" s="2" t="str">
        <f>IFERROR(__xludf.DUMMYFUNCTION("""COMPUTED_VALUE"""),"หญิง")</f>
        <v>หญิง</v>
      </c>
      <c r="F320" s="5" t="str">
        <f>IFERROR(__xludf.DUMMYFUNCTION("""COMPUTED_VALUE"""),"https://azizstan.net/student_image/26090.jpg")</f>
        <v>https://azizstan.net/student_image/26090.jpg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" t="str">
        <f>IFERROR(__xludf.DUMMYFUNCTION("""COMPUTED_VALUE"""),"26093")</f>
        <v>26093</v>
      </c>
      <c r="B321" s="3" t="str">
        <f>IFERROR(__xludf.DUMMYFUNCTION("""COMPUTED_VALUE"""),"ด.ญ.ไดลามีย์ อาแว")</f>
        <v>ด.ญ.ไดลามีย์ อาแว</v>
      </c>
      <c r="C321" s="3" t="str">
        <f>IFERROR(__xludf.DUMMYFUNCTION("""COMPUTED_VALUE"""),"ม.1/9")</f>
        <v>ม.1/9</v>
      </c>
      <c r="D321" s="3" t="str">
        <f>IFERROR(__xludf.DUMMYFUNCTION("""COMPUTED_VALUE"""),"PR 1/9")</f>
        <v>PR 1/9</v>
      </c>
      <c r="E321" s="2" t="str">
        <f>IFERROR(__xludf.DUMMYFUNCTION("""COMPUTED_VALUE"""),"หญิง")</f>
        <v>หญิง</v>
      </c>
      <c r="F321" s="5" t="str">
        <f>IFERROR(__xludf.DUMMYFUNCTION("""COMPUTED_VALUE"""),"https://azizstan.net/student_image/26093.jpg")</f>
        <v>https://azizstan.net/student_image/26093.jpg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" t="str">
        <f>IFERROR(__xludf.DUMMYFUNCTION("""COMPUTED_VALUE"""),"26106")</f>
        <v>26106</v>
      </c>
      <c r="B322" s="3" t="str">
        <f>IFERROR(__xludf.DUMMYFUNCTION("""COMPUTED_VALUE"""),"ด.ญ.เจ๊ะจัลวาตีย์ ปูเต๊ะ")</f>
        <v>ด.ญ.เจ๊ะจัลวาตีย์ ปูเต๊ะ</v>
      </c>
      <c r="C322" s="3" t="str">
        <f>IFERROR(__xludf.DUMMYFUNCTION("""COMPUTED_VALUE"""),"ม.1/9")</f>
        <v>ม.1/9</v>
      </c>
      <c r="D322" s="3" t="str">
        <f>IFERROR(__xludf.DUMMYFUNCTION("""COMPUTED_VALUE"""),"PR 1/9")</f>
        <v>PR 1/9</v>
      </c>
      <c r="E322" s="2" t="str">
        <f>IFERROR(__xludf.DUMMYFUNCTION("""COMPUTED_VALUE"""),"หญิง")</f>
        <v>หญิง</v>
      </c>
      <c r="F322" s="5" t="str">
        <f>IFERROR(__xludf.DUMMYFUNCTION("""COMPUTED_VALUE"""),"https://azizstan.net/student_image/26106.jpg")</f>
        <v>https://azizstan.net/student_image/26106.jpg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" t="str">
        <f>IFERROR(__xludf.DUMMYFUNCTION("""COMPUTED_VALUE"""),"26118")</f>
        <v>26118</v>
      </c>
      <c r="B323" s="3" t="str">
        <f>IFERROR(__xludf.DUMMYFUNCTION("""COMPUTED_VALUE"""),"ด.ญ.บุสรอ สะตาปอ")</f>
        <v>ด.ญ.บุสรอ สะตาปอ</v>
      </c>
      <c r="C323" s="3" t="str">
        <f>IFERROR(__xludf.DUMMYFUNCTION("""COMPUTED_VALUE"""),"ม.1/9")</f>
        <v>ม.1/9</v>
      </c>
      <c r="D323" s="3" t="str">
        <f>IFERROR(__xludf.DUMMYFUNCTION("""COMPUTED_VALUE"""),"PR 1/9")</f>
        <v>PR 1/9</v>
      </c>
      <c r="E323" s="2" t="str">
        <f>IFERROR(__xludf.DUMMYFUNCTION("""COMPUTED_VALUE"""),"หญิง")</f>
        <v>หญิง</v>
      </c>
      <c r="F323" s="5" t="str">
        <f>IFERROR(__xludf.DUMMYFUNCTION("""COMPUTED_VALUE"""),"https://azizstan.net/student_image/26118.jpg")</f>
        <v>https://azizstan.net/student_image/26118.jpg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" t="str">
        <f>IFERROR(__xludf.DUMMYFUNCTION("""COMPUTED_VALUE"""),"26132")</f>
        <v>26132</v>
      </c>
      <c r="B324" s="3" t="str">
        <f>IFERROR(__xludf.DUMMYFUNCTION("""COMPUTED_VALUE"""),"ด.ญ.นูรดีนี มูนะ")</f>
        <v>ด.ญ.นูรดีนี มูนะ</v>
      </c>
      <c r="C324" s="3" t="str">
        <f>IFERROR(__xludf.DUMMYFUNCTION("""COMPUTED_VALUE"""),"ม.1/9")</f>
        <v>ม.1/9</v>
      </c>
      <c r="D324" s="3" t="str">
        <f>IFERROR(__xludf.DUMMYFUNCTION("""COMPUTED_VALUE"""),"PR 1/9")</f>
        <v>PR 1/9</v>
      </c>
      <c r="E324" s="2" t="str">
        <f>IFERROR(__xludf.DUMMYFUNCTION("""COMPUTED_VALUE"""),"หญิง")</f>
        <v>หญิง</v>
      </c>
      <c r="F324" s="5" t="str">
        <f>IFERROR(__xludf.DUMMYFUNCTION("""COMPUTED_VALUE"""),"https://azizstan.net/student_image/26132.jpg")</f>
        <v>https://azizstan.net/student_image/26132.jpg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" t="str">
        <f>IFERROR(__xludf.DUMMYFUNCTION("""COMPUTED_VALUE"""),"26133")</f>
        <v>26133</v>
      </c>
      <c r="B325" s="3" t="str">
        <f>IFERROR(__xludf.DUMMYFUNCTION("""COMPUTED_VALUE"""),"ด.ญ.ยาวารี อุเซ็ง")</f>
        <v>ด.ญ.ยาวารี อุเซ็ง</v>
      </c>
      <c r="C325" s="3" t="str">
        <f>IFERROR(__xludf.DUMMYFUNCTION("""COMPUTED_VALUE"""),"ม.1/9")</f>
        <v>ม.1/9</v>
      </c>
      <c r="D325" s="3" t="str">
        <f>IFERROR(__xludf.DUMMYFUNCTION("""COMPUTED_VALUE"""),"PR 1/9")</f>
        <v>PR 1/9</v>
      </c>
      <c r="E325" s="2" t="str">
        <f>IFERROR(__xludf.DUMMYFUNCTION("""COMPUTED_VALUE"""),"หญิง")</f>
        <v>หญิง</v>
      </c>
      <c r="F325" s="5" t="str">
        <f>IFERROR(__xludf.DUMMYFUNCTION("""COMPUTED_VALUE"""),"https://azizstan.net/student_image/26133.jpg")</f>
        <v>https://azizstan.net/student_image/26133.jpg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 t="str">
        <f>IFERROR(__xludf.DUMMYFUNCTION("""COMPUTED_VALUE"""),"26165")</f>
        <v>26165</v>
      </c>
      <c r="B326" s="3" t="str">
        <f>IFERROR(__xludf.DUMMYFUNCTION("""COMPUTED_VALUE"""),"ด.ญ.นูรมูรซีดา แมเหง๊าะ")</f>
        <v>ด.ญ.นูรมูรซีดา แมเหง๊าะ</v>
      </c>
      <c r="C326" s="3" t="str">
        <f>IFERROR(__xludf.DUMMYFUNCTION("""COMPUTED_VALUE"""),"ม.1/9")</f>
        <v>ม.1/9</v>
      </c>
      <c r="D326" s="3" t="str">
        <f>IFERROR(__xludf.DUMMYFUNCTION("""COMPUTED_VALUE"""),"PR 1/9")</f>
        <v>PR 1/9</v>
      </c>
      <c r="E326" s="2" t="str">
        <f>IFERROR(__xludf.DUMMYFUNCTION("""COMPUTED_VALUE"""),"หญิง")</f>
        <v>หญิง</v>
      </c>
      <c r="F326" s="5" t="str">
        <f>IFERROR(__xludf.DUMMYFUNCTION("""COMPUTED_VALUE"""),"https://azizstan.net/student_image/26165.jpg")</f>
        <v>https://azizstan.net/student_image/26165.jpg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 t="str">
        <f>IFERROR(__xludf.DUMMYFUNCTION("""COMPUTED_VALUE"""),"26238")</f>
        <v>26238</v>
      </c>
      <c r="B327" s="3" t="str">
        <f>IFERROR(__xludf.DUMMYFUNCTION("""COMPUTED_VALUE"""),"ด.ญ.ศรัญญา วงษ์เต๊ะ")</f>
        <v>ด.ญ.ศรัญญา วงษ์เต๊ะ</v>
      </c>
      <c r="C327" s="3" t="str">
        <f>IFERROR(__xludf.DUMMYFUNCTION("""COMPUTED_VALUE"""),"ม.1/9")</f>
        <v>ม.1/9</v>
      </c>
      <c r="D327" s="3" t="str">
        <f>IFERROR(__xludf.DUMMYFUNCTION("""COMPUTED_VALUE"""),"PR 1/9")</f>
        <v>PR 1/9</v>
      </c>
      <c r="E327" s="2" t="str">
        <f>IFERROR(__xludf.DUMMYFUNCTION("""COMPUTED_VALUE"""),"หญิง")</f>
        <v>หญิง</v>
      </c>
      <c r="F327" s="5" t="str">
        <f>IFERROR(__xludf.DUMMYFUNCTION("""COMPUTED_VALUE"""),"https://azizstan.net/student_image/26238.jpg")</f>
        <v>https://azizstan.net/student_image/26238.jpg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 t="str">
        <f>IFERROR(__xludf.DUMMYFUNCTION("""COMPUTED_VALUE"""),"26241")</f>
        <v>26241</v>
      </c>
      <c r="B328" s="3" t="str">
        <f>IFERROR(__xludf.DUMMYFUNCTION("""COMPUTED_VALUE"""),"ด.ญ.นูรฮากีมีย์ มะแซ")</f>
        <v>ด.ญ.นูรฮากีมีย์ มะแซ</v>
      </c>
      <c r="C328" s="3" t="str">
        <f>IFERROR(__xludf.DUMMYFUNCTION("""COMPUTED_VALUE"""),"ม.1/9")</f>
        <v>ม.1/9</v>
      </c>
      <c r="D328" s="3" t="str">
        <f>IFERROR(__xludf.DUMMYFUNCTION("""COMPUTED_VALUE"""),"PR 1/9")</f>
        <v>PR 1/9</v>
      </c>
      <c r="E328" s="2" t="str">
        <f>IFERROR(__xludf.DUMMYFUNCTION("""COMPUTED_VALUE"""),"หญิง")</f>
        <v>หญิง</v>
      </c>
      <c r="F328" s="5" t="str">
        <f>IFERROR(__xludf.DUMMYFUNCTION("""COMPUTED_VALUE"""),"https://azizstan.net/student_image/26241.jpg")</f>
        <v>https://azizstan.net/student_image/26241.jpg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 t="str">
        <f>IFERROR(__xludf.DUMMYFUNCTION("""COMPUTED_VALUE"""),"26265")</f>
        <v>26265</v>
      </c>
      <c r="B329" s="3" t="str">
        <f>IFERROR(__xludf.DUMMYFUNCTION("""COMPUTED_VALUE"""),"ด.ญ.นูรยัสมีน มะแอ")</f>
        <v>ด.ญ.นูรยัสมีน มะแอ</v>
      </c>
      <c r="C329" s="3" t="str">
        <f>IFERROR(__xludf.DUMMYFUNCTION("""COMPUTED_VALUE"""),"ม.1/9")</f>
        <v>ม.1/9</v>
      </c>
      <c r="D329" s="3" t="str">
        <f>IFERROR(__xludf.DUMMYFUNCTION("""COMPUTED_VALUE"""),"PR 1/9")</f>
        <v>PR 1/9</v>
      </c>
      <c r="E329" s="2" t="str">
        <f>IFERROR(__xludf.DUMMYFUNCTION("""COMPUTED_VALUE"""),"หญิง")</f>
        <v>หญิง</v>
      </c>
      <c r="F329" s="5" t="str">
        <f>IFERROR(__xludf.DUMMYFUNCTION("""COMPUTED_VALUE"""),"https://azizstan.net/student_image/26265.jpg")</f>
        <v>https://azizstan.net/student_image/26265.jpg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 t="str">
        <f>IFERROR(__xludf.DUMMYFUNCTION("""COMPUTED_VALUE"""),"26294")</f>
        <v>26294</v>
      </c>
      <c r="B330" s="3" t="str">
        <f>IFERROR(__xludf.DUMMYFUNCTION("""COMPUTED_VALUE"""),"ด.ญ.หนิอัสม๊ะ เดหนิ")</f>
        <v>ด.ญ.หนิอัสม๊ะ เดหนิ</v>
      </c>
      <c r="C330" s="3" t="str">
        <f>IFERROR(__xludf.DUMMYFUNCTION("""COMPUTED_VALUE"""),"ม.1/9")</f>
        <v>ม.1/9</v>
      </c>
      <c r="D330" s="3" t="str">
        <f>IFERROR(__xludf.DUMMYFUNCTION("""COMPUTED_VALUE"""),"PR 1/9")</f>
        <v>PR 1/9</v>
      </c>
      <c r="E330" s="2" t="str">
        <f>IFERROR(__xludf.DUMMYFUNCTION("""COMPUTED_VALUE"""),"หญิง")</f>
        <v>หญิง</v>
      </c>
      <c r="F330" s="5" t="str">
        <f>IFERROR(__xludf.DUMMYFUNCTION("""COMPUTED_VALUE"""),"https://azizstan.net/student_image/26294.jpg")</f>
        <v>https://azizstan.net/student_image/26294.jpg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 t="str">
        <f>IFERROR(__xludf.DUMMYFUNCTION("""COMPUTED_VALUE"""),"26302")</f>
        <v>26302</v>
      </c>
      <c r="B331" s="3" t="str">
        <f>IFERROR(__xludf.DUMMYFUNCTION("""COMPUTED_VALUE"""),"ด.ญ.นุรซูซานา แวหนิ")</f>
        <v>ด.ญ.นุรซูซานา แวหนิ</v>
      </c>
      <c r="C331" s="3" t="str">
        <f>IFERROR(__xludf.DUMMYFUNCTION("""COMPUTED_VALUE"""),"ม.1/9")</f>
        <v>ม.1/9</v>
      </c>
      <c r="D331" s="3" t="str">
        <f>IFERROR(__xludf.DUMMYFUNCTION("""COMPUTED_VALUE"""),"PR 1/9")</f>
        <v>PR 1/9</v>
      </c>
      <c r="E331" s="2" t="str">
        <f>IFERROR(__xludf.DUMMYFUNCTION("""COMPUTED_VALUE"""),"หญิง")</f>
        <v>หญิง</v>
      </c>
      <c r="F331" s="5" t="str">
        <f>IFERROR(__xludf.DUMMYFUNCTION("""COMPUTED_VALUE"""),"https://azizstan.net/student_image/26302.jpg")</f>
        <v>https://azizstan.net/student_image/26302.jpg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" t="str">
        <f>IFERROR(__xludf.DUMMYFUNCTION("""COMPUTED_VALUE"""),"26303")</f>
        <v>26303</v>
      </c>
      <c r="B332" s="3" t="str">
        <f>IFERROR(__xludf.DUMMYFUNCTION("""COMPUTED_VALUE"""),"ด.ญ.นูรูลฮูดา มุสอหัด")</f>
        <v>ด.ญ.นูรูลฮูดา มุสอหัด</v>
      </c>
      <c r="C332" s="3" t="str">
        <f>IFERROR(__xludf.DUMMYFUNCTION("""COMPUTED_VALUE"""),"ม.1/9")</f>
        <v>ม.1/9</v>
      </c>
      <c r="D332" s="3" t="str">
        <f>IFERROR(__xludf.DUMMYFUNCTION("""COMPUTED_VALUE"""),"PR 1/9")</f>
        <v>PR 1/9</v>
      </c>
      <c r="E332" s="2" t="str">
        <f>IFERROR(__xludf.DUMMYFUNCTION("""COMPUTED_VALUE"""),"หญิง")</f>
        <v>หญิง</v>
      </c>
      <c r="F332" s="5" t="str">
        <f>IFERROR(__xludf.DUMMYFUNCTION("""COMPUTED_VALUE"""),"https://azizstan.net/student_image/26303.jpg")</f>
        <v>https://azizstan.net/student_image/26303.jpg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" t="str">
        <f>IFERROR(__xludf.DUMMYFUNCTION("""COMPUTED_VALUE"""),"26310")</f>
        <v>26310</v>
      </c>
      <c r="B333" s="3" t="str">
        <f>IFERROR(__xludf.DUMMYFUNCTION("""COMPUTED_VALUE"""),"ด.ญ.นูรอัซมีนา อามะ")</f>
        <v>ด.ญ.นูรอัซมีนา อามะ</v>
      </c>
      <c r="C333" s="3" t="str">
        <f>IFERROR(__xludf.DUMMYFUNCTION("""COMPUTED_VALUE"""),"ม.1/9")</f>
        <v>ม.1/9</v>
      </c>
      <c r="D333" s="3" t="str">
        <f>IFERROR(__xludf.DUMMYFUNCTION("""COMPUTED_VALUE"""),"PR 1/9")</f>
        <v>PR 1/9</v>
      </c>
      <c r="E333" s="2" t="str">
        <f>IFERROR(__xludf.DUMMYFUNCTION("""COMPUTED_VALUE"""),"หญิง")</f>
        <v>หญิง</v>
      </c>
      <c r="F333" s="5" t="str">
        <f>IFERROR(__xludf.DUMMYFUNCTION("""COMPUTED_VALUE"""),"https://azizstan.net/student_image/26310.jpg")</f>
        <v>https://azizstan.net/student_image/26310.jpg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" t="str">
        <f>IFERROR(__xludf.DUMMYFUNCTION("""COMPUTED_VALUE"""),"26324")</f>
        <v>26324</v>
      </c>
      <c r="B334" s="3" t="str">
        <f>IFERROR(__xludf.DUMMYFUNCTION("""COMPUTED_VALUE"""),"ด.ญ.นุอัฟนัน อีนีละไม")</f>
        <v>ด.ญ.นุอัฟนัน อีนีละไม</v>
      </c>
      <c r="C334" s="3" t="str">
        <f>IFERROR(__xludf.DUMMYFUNCTION("""COMPUTED_VALUE"""),"ม.1/9")</f>
        <v>ม.1/9</v>
      </c>
      <c r="D334" s="3" t="str">
        <f>IFERROR(__xludf.DUMMYFUNCTION("""COMPUTED_VALUE"""),"PR 1/9")</f>
        <v>PR 1/9</v>
      </c>
      <c r="E334" s="2" t="str">
        <f>IFERROR(__xludf.DUMMYFUNCTION("""COMPUTED_VALUE"""),"หญิง")</f>
        <v>หญิง</v>
      </c>
      <c r="F334" s="5" t="str">
        <f>IFERROR(__xludf.DUMMYFUNCTION("""COMPUTED_VALUE"""),"https://azizstan.net/student_image/26324.jpg")</f>
        <v>https://azizstan.net/student_image/26324.jpg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 t="str">
        <f>IFERROR(__xludf.DUMMYFUNCTION("""COMPUTED_VALUE"""),"26329")</f>
        <v>26329</v>
      </c>
      <c r="B335" s="3" t="str">
        <f>IFERROR(__xludf.DUMMYFUNCTION("""COMPUTED_VALUE"""),"ด.ญ.ซอฟียะห์ แวสุหลง")</f>
        <v>ด.ญ.ซอฟียะห์ แวสุหลง</v>
      </c>
      <c r="C335" s="3" t="str">
        <f>IFERROR(__xludf.DUMMYFUNCTION("""COMPUTED_VALUE"""),"ม.1/9")</f>
        <v>ม.1/9</v>
      </c>
      <c r="D335" s="3" t="str">
        <f>IFERROR(__xludf.DUMMYFUNCTION("""COMPUTED_VALUE"""),"PR 1/9")</f>
        <v>PR 1/9</v>
      </c>
      <c r="E335" s="2" t="str">
        <f>IFERROR(__xludf.DUMMYFUNCTION("""COMPUTED_VALUE"""),"หญิง")</f>
        <v>หญิง</v>
      </c>
      <c r="F335" s="5" t="str">
        <f>IFERROR(__xludf.DUMMYFUNCTION("""COMPUTED_VALUE"""),"https://azizstan.net/student_image/26329.jpg")</f>
        <v>https://azizstan.net/student_image/26329.jpg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" t="str">
        <f>IFERROR(__xludf.DUMMYFUNCTION("""COMPUTED_VALUE"""),"26420")</f>
        <v>26420</v>
      </c>
      <c r="B336" s="3" t="str">
        <f>IFERROR(__xludf.DUMMYFUNCTION("""COMPUTED_VALUE"""),"ด.ญ.นิสรีน ยาแรสางะ")</f>
        <v>ด.ญ.นิสรีน ยาแรสางะ</v>
      </c>
      <c r="C336" s="3" t="str">
        <f>IFERROR(__xludf.DUMMYFUNCTION("""COMPUTED_VALUE"""),"ม.1/9")</f>
        <v>ม.1/9</v>
      </c>
      <c r="D336" s="3" t="str">
        <f>IFERROR(__xludf.DUMMYFUNCTION("""COMPUTED_VALUE"""),"PR 1/9")</f>
        <v>PR 1/9</v>
      </c>
      <c r="E336" s="2" t="str">
        <f>IFERROR(__xludf.DUMMYFUNCTION("""COMPUTED_VALUE"""),"หญิง")</f>
        <v>หญิง</v>
      </c>
      <c r="F336" s="5" t="str">
        <f>IFERROR(__xludf.DUMMYFUNCTION("""COMPUTED_VALUE"""),"https://azizstan.net/student_image/26420.jpg")</f>
        <v>https://azizstan.net/student_image/26420.jpg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" t="str">
        <f>IFERROR(__xludf.DUMMYFUNCTION("""COMPUTED_VALUE"""),"26427")</f>
        <v>26427</v>
      </c>
      <c r="B337" s="3" t="str">
        <f>IFERROR(__xludf.DUMMYFUNCTION("""COMPUTED_VALUE"""),"ด.ญ.วาฮีดา แมเราะ")</f>
        <v>ด.ญ.วาฮีดา แมเราะ</v>
      </c>
      <c r="C337" s="3" t="str">
        <f>IFERROR(__xludf.DUMMYFUNCTION("""COMPUTED_VALUE"""),"ม.1/9")</f>
        <v>ม.1/9</v>
      </c>
      <c r="D337" s="3" t="str">
        <f>IFERROR(__xludf.DUMMYFUNCTION("""COMPUTED_VALUE"""),"PR 1/9")</f>
        <v>PR 1/9</v>
      </c>
      <c r="E337" s="2" t="str">
        <f>IFERROR(__xludf.DUMMYFUNCTION("""COMPUTED_VALUE"""),"หญิง")</f>
        <v>หญิง</v>
      </c>
      <c r="F337" s="5" t="str">
        <f>IFERROR(__xludf.DUMMYFUNCTION("""COMPUTED_VALUE"""),"https://azizstan.net/student_image/26427.jpg")</f>
        <v>https://azizstan.net/student_image/26427.jpg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" t="str">
        <f>IFERROR(__xludf.DUMMYFUNCTION("""COMPUTED_VALUE"""),"26435")</f>
        <v>26435</v>
      </c>
      <c r="B338" s="3" t="str">
        <f>IFERROR(__xludf.DUMMYFUNCTION("""COMPUTED_VALUE"""),"ด.ญ.แวรุสนี ขาเดร์")</f>
        <v>ด.ญ.แวรุสนี ขาเดร์</v>
      </c>
      <c r="C338" s="3" t="str">
        <f>IFERROR(__xludf.DUMMYFUNCTION("""COMPUTED_VALUE"""),"ม.1/9")</f>
        <v>ม.1/9</v>
      </c>
      <c r="D338" s="3" t="str">
        <f>IFERROR(__xludf.DUMMYFUNCTION("""COMPUTED_VALUE"""),"PR 1/9")</f>
        <v>PR 1/9</v>
      </c>
      <c r="E338" s="2" t="str">
        <f>IFERROR(__xludf.DUMMYFUNCTION("""COMPUTED_VALUE"""),"หญิง")</f>
        <v>หญิง</v>
      </c>
      <c r="F338" s="5" t="str">
        <f>IFERROR(__xludf.DUMMYFUNCTION("""COMPUTED_VALUE"""),"https://azizstan.net/student_image/26435.jpg")</f>
        <v>https://azizstan.net/student_image/26435.jpg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 t="str">
        <f>IFERROR(__xludf.DUMMYFUNCTION("""COMPUTED_VALUE"""),"26463")</f>
        <v>26463</v>
      </c>
      <c r="B339" s="3" t="str">
        <f>IFERROR(__xludf.DUMMYFUNCTION("""COMPUTED_VALUE"""),"ด.ญ.นินารีดา หมัดหนิ")</f>
        <v>ด.ญ.นินารีดา หมัดหนิ</v>
      </c>
      <c r="C339" s="3" t="str">
        <f>IFERROR(__xludf.DUMMYFUNCTION("""COMPUTED_VALUE"""),"ม.1/9")</f>
        <v>ม.1/9</v>
      </c>
      <c r="D339" s="3" t="str">
        <f>IFERROR(__xludf.DUMMYFUNCTION("""COMPUTED_VALUE"""),"PR 1/9")</f>
        <v>PR 1/9</v>
      </c>
      <c r="E339" s="2" t="str">
        <f>IFERROR(__xludf.DUMMYFUNCTION("""COMPUTED_VALUE"""),"หญิง")</f>
        <v>หญิง</v>
      </c>
      <c r="F339" s="5" t="str">
        <f>IFERROR(__xludf.DUMMYFUNCTION("""COMPUTED_VALUE"""),"https://azizstan.net/student_image/26463.jpg")</f>
        <v>https://azizstan.net/student_image/26463.jpg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" t="str">
        <f>IFERROR(__xludf.DUMMYFUNCTION("""COMPUTED_VALUE"""),"26466")</f>
        <v>26466</v>
      </c>
      <c r="B340" s="3" t="str">
        <f>IFERROR(__xludf.DUMMYFUNCTION("""COMPUTED_VALUE"""),"ด.ญ.อานิส โอล่า")</f>
        <v>ด.ญ.อานิส โอล่า</v>
      </c>
      <c r="C340" s="3" t="str">
        <f>IFERROR(__xludf.DUMMYFUNCTION("""COMPUTED_VALUE"""),"ม.1/9")</f>
        <v>ม.1/9</v>
      </c>
      <c r="D340" s="3" t="str">
        <f>IFERROR(__xludf.DUMMYFUNCTION("""COMPUTED_VALUE"""),"PR 1/9")</f>
        <v>PR 1/9</v>
      </c>
      <c r="E340" s="2" t="str">
        <f>IFERROR(__xludf.DUMMYFUNCTION("""COMPUTED_VALUE"""),"หญิง")</f>
        <v>หญิง</v>
      </c>
      <c r="F340" s="5" t="str">
        <f>IFERROR(__xludf.DUMMYFUNCTION("""COMPUTED_VALUE"""),"https://azizstan.net/student_image/26466.jpg")</f>
        <v>https://azizstan.net/student_image/26466.jpg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" t="str">
        <f>IFERROR(__xludf.DUMMYFUNCTION("""COMPUTED_VALUE"""),"26489")</f>
        <v>26489</v>
      </c>
      <c r="B341" s="3" t="str">
        <f>IFERROR(__xludf.DUMMYFUNCTION("""COMPUTED_VALUE"""),"ด.ญ.จัสมิน ดอเลาะ")</f>
        <v>ด.ญ.จัสมิน ดอเลาะ</v>
      </c>
      <c r="C341" s="3" t="str">
        <f>IFERROR(__xludf.DUMMYFUNCTION("""COMPUTED_VALUE"""),"ม.1/9")</f>
        <v>ม.1/9</v>
      </c>
      <c r="D341" s="3" t="str">
        <f>IFERROR(__xludf.DUMMYFUNCTION("""COMPUTED_VALUE"""),"PR 1/9")</f>
        <v>PR 1/9</v>
      </c>
      <c r="E341" s="2" t="str">
        <f>IFERROR(__xludf.DUMMYFUNCTION("""COMPUTED_VALUE"""),"หญิง")</f>
        <v>หญิง</v>
      </c>
      <c r="F341" s="5" t="str">
        <f>IFERROR(__xludf.DUMMYFUNCTION("""COMPUTED_VALUE"""),"https://azizstan.net/student_image/26489.jpg")</f>
        <v>https://azizstan.net/student_image/26489.jpg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 t="str">
        <f>IFERROR(__xludf.DUMMYFUNCTION("""COMPUTED_VALUE"""),"26493")</f>
        <v>26493</v>
      </c>
      <c r="B342" s="3" t="str">
        <f>IFERROR(__xludf.DUMMYFUNCTION("""COMPUTED_VALUE"""),"ด.ญ.นินัจวา เดหนิ")</f>
        <v>ด.ญ.นินัจวา เดหนิ</v>
      </c>
      <c r="C342" s="3" t="str">
        <f>IFERROR(__xludf.DUMMYFUNCTION("""COMPUTED_VALUE"""),"ม.1/9")</f>
        <v>ม.1/9</v>
      </c>
      <c r="D342" s="3" t="str">
        <f>IFERROR(__xludf.DUMMYFUNCTION("""COMPUTED_VALUE"""),"PR 1/9")</f>
        <v>PR 1/9</v>
      </c>
      <c r="E342" s="2" t="str">
        <f>IFERROR(__xludf.DUMMYFUNCTION("""COMPUTED_VALUE"""),"หญิง")</f>
        <v>หญิง</v>
      </c>
      <c r="F342" s="5" t="str">
        <f>IFERROR(__xludf.DUMMYFUNCTION("""COMPUTED_VALUE"""),"https://azizstan.net/student_image/26493.jpg")</f>
        <v>https://azizstan.net/student_image/26493.jpg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 t="str">
        <f>IFERROR(__xludf.DUMMYFUNCTION("""COMPUTED_VALUE"""),"26508")</f>
        <v>26508</v>
      </c>
      <c r="B343" s="3" t="str">
        <f>IFERROR(__xludf.DUMMYFUNCTION("""COMPUTED_VALUE"""),"ด.ญ.อามีรา โชโด")</f>
        <v>ด.ญ.อามีรา โชโด</v>
      </c>
      <c r="C343" s="3" t="str">
        <f>IFERROR(__xludf.DUMMYFUNCTION("""COMPUTED_VALUE"""),"ม.1/9")</f>
        <v>ม.1/9</v>
      </c>
      <c r="D343" s="3" t="str">
        <f>IFERROR(__xludf.DUMMYFUNCTION("""COMPUTED_VALUE"""),"PR 1/9")</f>
        <v>PR 1/9</v>
      </c>
      <c r="E343" s="2" t="str">
        <f>IFERROR(__xludf.DUMMYFUNCTION("""COMPUTED_VALUE"""),"หญิง")</f>
        <v>หญิง</v>
      </c>
      <c r="F343" s="5" t="str">
        <f>IFERROR(__xludf.DUMMYFUNCTION("""COMPUTED_VALUE"""),"https://azizstan.net/student_image/26508.jpg")</f>
        <v>https://azizstan.net/student_image/26508.jpg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 t="str">
        <f>IFERROR(__xludf.DUMMYFUNCTION("""COMPUTED_VALUE"""),"26510")</f>
        <v>26510</v>
      </c>
      <c r="B344" s="3" t="str">
        <f>IFERROR(__xludf.DUMMYFUNCTION("""COMPUTED_VALUE"""),"ด.ญ.เอมตีฟัร ดือราแม")</f>
        <v>ด.ญ.เอมตีฟัร ดือราแม</v>
      </c>
      <c r="C344" s="3" t="str">
        <f>IFERROR(__xludf.DUMMYFUNCTION("""COMPUTED_VALUE"""),"ม.1/9")</f>
        <v>ม.1/9</v>
      </c>
      <c r="D344" s="3" t="str">
        <f>IFERROR(__xludf.DUMMYFUNCTION("""COMPUTED_VALUE"""),"PR 1/9")</f>
        <v>PR 1/9</v>
      </c>
      <c r="E344" s="2" t="str">
        <f>IFERROR(__xludf.DUMMYFUNCTION("""COMPUTED_VALUE"""),"หญิง")</f>
        <v>หญิง</v>
      </c>
      <c r="F344" s="5" t="str">
        <f>IFERROR(__xludf.DUMMYFUNCTION("""COMPUTED_VALUE"""),"https://azizstan.net/student_image/26510.jpg")</f>
        <v>https://azizstan.net/student_image/26510.jpg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" t="str">
        <f>IFERROR(__xludf.DUMMYFUNCTION("""COMPUTED_VALUE"""),"26523")</f>
        <v>26523</v>
      </c>
      <c r="B345" s="3" t="str">
        <f>IFERROR(__xludf.DUMMYFUNCTION("""COMPUTED_VALUE"""),"ด.ญ.นูรุลซากีลา สะมะแอ")</f>
        <v>ด.ญ.นูรุลซากีลา สะมะแอ</v>
      </c>
      <c r="C345" s="3" t="str">
        <f>IFERROR(__xludf.DUMMYFUNCTION("""COMPUTED_VALUE"""),"ม.1/9")</f>
        <v>ม.1/9</v>
      </c>
      <c r="D345" s="3" t="str">
        <f>IFERROR(__xludf.DUMMYFUNCTION("""COMPUTED_VALUE"""),"PR 1/9")</f>
        <v>PR 1/9</v>
      </c>
      <c r="E345" s="2" t="str">
        <f>IFERROR(__xludf.DUMMYFUNCTION("""COMPUTED_VALUE"""),"หญิง")</f>
        <v>หญิง</v>
      </c>
      <c r="F345" s="5" t="str">
        <f>IFERROR(__xludf.DUMMYFUNCTION("""COMPUTED_VALUE"""),"https://azizstan.net/student_image/26523.jpg")</f>
        <v>https://azizstan.net/student_image/26523.jpg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" t="str">
        <f>IFERROR(__xludf.DUMMYFUNCTION("""COMPUTED_VALUE"""),"26528")</f>
        <v>26528</v>
      </c>
      <c r="B346" s="3" t="str">
        <f>IFERROR(__xludf.DUMMYFUNCTION("""COMPUTED_VALUE"""),"ด.ญ.อาฟีซา คงไข่ศรี")</f>
        <v>ด.ญ.อาฟีซา คงไข่ศรี</v>
      </c>
      <c r="C346" s="3" t="str">
        <f>IFERROR(__xludf.DUMMYFUNCTION("""COMPUTED_VALUE"""),"ม.1/9")</f>
        <v>ม.1/9</v>
      </c>
      <c r="D346" s="3" t="str">
        <f>IFERROR(__xludf.DUMMYFUNCTION("""COMPUTED_VALUE"""),"PR 1/9")</f>
        <v>PR 1/9</v>
      </c>
      <c r="E346" s="2" t="str">
        <f>IFERROR(__xludf.DUMMYFUNCTION("""COMPUTED_VALUE"""),"หญิง")</f>
        <v>หญิง</v>
      </c>
      <c r="F346" s="5" t="str">
        <f>IFERROR(__xludf.DUMMYFUNCTION("""COMPUTED_VALUE"""),"https://azizstan.net/student_image/26528.jpg")</f>
        <v>https://azizstan.net/student_image/26528.jpg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" t="str">
        <f>IFERROR(__xludf.DUMMYFUNCTION("""COMPUTED_VALUE"""),"26545")</f>
        <v>26545</v>
      </c>
      <c r="B347" s="3" t="str">
        <f>IFERROR(__xludf.DUMMYFUNCTION("""COMPUTED_VALUE"""),"ด.ญ.ฟิรดาว อธิชากุล")</f>
        <v>ด.ญ.ฟิรดาว อธิชากุล</v>
      </c>
      <c r="C347" s="3" t="str">
        <f>IFERROR(__xludf.DUMMYFUNCTION("""COMPUTED_VALUE"""),"ม.1/9")</f>
        <v>ม.1/9</v>
      </c>
      <c r="D347" s="3" t="str">
        <f>IFERROR(__xludf.DUMMYFUNCTION("""COMPUTED_VALUE"""),"PR 1/9")</f>
        <v>PR 1/9</v>
      </c>
      <c r="E347" s="2" t="str">
        <f>IFERROR(__xludf.DUMMYFUNCTION("""COMPUTED_VALUE"""),"หญิง")</f>
        <v>หญิง</v>
      </c>
      <c r="F347" s="5" t="str">
        <f>IFERROR(__xludf.DUMMYFUNCTION("""COMPUTED_VALUE"""),"https://azizstan.net/student_image/26545.jpg")</f>
        <v>https://azizstan.net/student_image/26545.jpg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" t="str">
        <f>IFERROR(__xludf.DUMMYFUNCTION("""COMPUTED_VALUE"""),"26558")</f>
        <v>26558</v>
      </c>
      <c r="B348" s="3" t="str">
        <f>IFERROR(__xludf.DUMMYFUNCTION("""COMPUTED_VALUE"""),"ด.ญ.ฮาบีบะห์ มะมิง")</f>
        <v>ด.ญ.ฮาบีบะห์ มะมิง</v>
      </c>
      <c r="C348" s="3" t="str">
        <f>IFERROR(__xludf.DUMMYFUNCTION("""COMPUTED_VALUE"""),"ม.1/9")</f>
        <v>ม.1/9</v>
      </c>
      <c r="D348" s="3" t="str">
        <f>IFERROR(__xludf.DUMMYFUNCTION("""COMPUTED_VALUE"""),"PR 1/9")</f>
        <v>PR 1/9</v>
      </c>
      <c r="E348" s="2" t="str">
        <f>IFERROR(__xludf.DUMMYFUNCTION("""COMPUTED_VALUE"""),"หญิง")</f>
        <v>หญิง</v>
      </c>
      <c r="F348" s="5" t="str">
        <f>IFERROR(__xludf.DUMMYFUNCTION("""COMPUTED_VALUE"""),"https://azizstan.net/student_image/26558.jpg")</f>
        <v>https://azizstan.net/student_image/26558.jpg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 t="str">
        <f>IFERROR(__xludf.DUMMYFUNCTION("""COMPUTED_VALUE"""),"26567")</f>
        <v>26567</v>
      </c>
      <c r="B349" s="3" t="str">
        <f>IFERROR(__xludf.DUMMYFUNCTION("""COMPUTED_VALUE"""),"ด.ญ.นูรฮันนาน สาเมาะ")</f>
        <v>ด.ญ.นูรฮันนาน สาเมาะ</v>
      </c>
      <c r="C349" s="3" t="str">
        <f>IFERROR(__xludf.DUMMYFUNCTION("""COMPUTED_VALUE"""),"ม.1/9")</f>
        <v>ม.1/9</v>
      </c>
      <c r="D349" s="3" t="str">
        <f>IFERROR(__xludf.DUMMYFUNCTION("""COMPUTED_VALUE"""),"PR 1/9")</f>
        <v>PR 1/9</v>
      </c>
      <c r="E349" s="2" t="str">
        <f>IFERROR(__xludf.DUMMYFUNCTION("""COMPUTED_VALUE"""),"หญิง")</f>
        <v>หญิง</v>
      </c>
      <c r="F349" s="5" t="str">
        <f>IFERROR(__xludf.DUMMYFUNCTION("""COMPUTED_VALUE"""),"https://azizstan.net/student_image/26567.jpg")</f>
        <v>https://azizstan.net/student_image/26567.jpg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 t="str">
        <f>IFERROR(__xludf.DUMMYFUNCTION("""COMPUTED_VALUE"""),"26576")</f>
        <v>26576</v>
      </c>
      <c r="B350" s="3" t="str">
        <f>IFERROR(__xludf.DUMMYFUNCTION("""COMPUTED_VALUE"""),"ด.ญ.นาตาซา เจะโมง")</f>
        <v>ด.ญ.นาตาซา เจะโมง</v>
      </c>
      <c r="C350" s="3" t="str">
        <f>IFERROR(__xludf.DUMMYFUNCTION("""COMPUTED_VALUE"""),"ม.1/9")</f>
        <v>ม.1/9</v>
      </c>
      <c r="D350" s="3" t="str">
        <f>IFERROR(__xludf.DUMMYFUNCTION("""COMPUTED_VALUE"""),"PR 1/9")</f>
        <v>PR 1/9</v>
      </c>
      <c r="E350" s="2" t="str">
        <f>IFERROR(__xludf.DUMMYFUNCTION("""COMPUTED_VALUE"""),"หญิง")</f>
        <v>หญิง</v>
      </c>
      <c r="F350" s="5" t="str">
        <f>IFERROR(__xludf.DUMMYFUNCTION("""COMPUTED_VALUE"""),"https://azizstan.net/student_image/26576.jpg")</f>
        <v>https://azizstan.net/student_image/26576.jpg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 t="str">
        <f>IFERROR(__xludf.DUMMYFUNCTION("""COMPUTED_VALUE"""),"26586")</f>
        <v>26586</v>
      </c>
      <c r="B351" s="3" t="str">
        <f>IFERROR(__xludf.DUMMYFUNCTION("""COMPUTED_VALUE"""),"ด.ญ.นิซุลฟา กาเจ")</f>
        <v>ด.ญ.นิซุลฟา กาเจ</v>
      </c>
      <c r="C351" s="3" t="str">
        <f>IFERROR(__xludf.DUMMYFUNCTION("""COMPUTED_VALUE"""),"ม.1/9")</f>
        <v>ม.1/9</v>
      </c>
      <c r="D351" s="3" t="str">
        <f>IFERROR(__xludf.DUMMYFUNCTION("""COMPUTED_VALUE"""),"PR 1/9")</f>
        <v>PR 1/9</v>
      </c>
      <c r="E351" s="2" t="str">
        <f>IFERROR(__xludf.DUMMYFUNCTION("""COMPUTED_VALUE"""),"หญิง")</f>
        <v>หญิง</v>
      </c>
      <c r="F351" s="5" t="str">
        <f>IFERROR(__xludf.DUMMYFUNCTION("""COMPUTED_VALUE"""),"https://azizstan.net/student_image/26586.jpg")</f>
        <v>https://azizstan.net/student_image/26586.jpg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 t="str">
        <f>IFERROR(__xludf.DUMMYFUNCTION("""COMPUTED_VALUE"""),"26629")</f>
        <v>26629</v>
      </c>
      <c r="B352" s="3" t="str">
        <f>IFERROR(__xludf.DUMMYFUNCTION("""COMPUTED_VALUE"""),"ด.ญ.นุรโซเฟีย ยูโซะ")</f>
        <v>ด.ญ.นุรโซเฟีย ยูโซะ</v>
      </c>
      <c r="C352" s="3" t="str">
        <f>IFERROR(__xludf.DUMMYFUNCTION("""COMPUTED_VALUE"""),"ม.1/9")</f>
        <v>ม.1/9</v>
      </c>
      <c r="D352" s="3" t="str">
        <f>IFERROR(__xludf.DUMMYFUNCTION("""COMPUTED_VALUE"""),"PR 1/9")</f>
        <v>PR 1/9</v>
      </c>
      <c r="E352" s="2" t="str">
        <f>IFERROR(__xludf.DUMMYFUNCTION("""COMPUTED_VALUE"""),"หญิง")</f>
        <v>หญิง</v>
      </c>
      <c r="F352" s="5" t="str">
        <f>IFERROR(__xludf.DUMMYFUNCTION("""COMPUTED_VALUE"""),"https://azizstan.net/student_image/26629.jpg")</f>
        <v>https://azizstan.net/student_image/26629.jpg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 t="str">
        <f>IFERROR(__xludf.DUMMYFUNCTION("""COMPUTED_VALUE"""),"26645")</f>
        <v>26645</v>
      </c>
      <c r="B353" s="3" t="str">
        <f>IFERROR(__xludf.DUMMYFUNCTION("""COMPUTED_VALUE"""),"ด.ญ.นูนาดา เต๊ะอาปี")</f>
        <v>ด.ญ.นูนาดา เต๊ะอาปี</v>
      </c>
      <c r="C353" s="3" t="str">
        <f>IFERROR(__xludf.DUMMYFUNCTION("""COMPUTED_VALUE"""),"ม.1/9")</f>
        <v>ม.1/9</v>
      </c>
      <c r="D353" s="3" t="str">
        <f>IFERROR(__xludf.DUMMYFUNCTION("""COMPUTED_VALUE"""),"PR 1/9")</f>
        <v>PR 1/9</v>
      </c>
      <c r="E353" s="2" t="str">
        <f>IFERROR(__xludf.DUMMYFUNCTION("""COMPUTED_VALUE"""),"หญิง")</f>
        <v>หญิง</v>
      </c>
      <c r="F353" s="5" t="str">
        <f>IFERROR(__xludf.DUMMYFUNCTION("""COMPUTED_VALUE"""),"https://azizstan.net/student_image/26645.jpg")</f>
        <v>https://azizstan.net/student_image/26645.jpg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 t="str">
        <f>IFERROR(__xludf.DUMMYFUNCTION("""COMPUTED_VALUE"""),"26669")</f>
        <v>26669</v>
      </c>
      <c r="B354" s="3" t="str">
        <f>IFERROR(__xludf.DUMMYFUNCTION("""COMPUTED_VALUE"""),"ด.ญ.นูรฮาซีกีน เจะอาแซ")</f>
        <v>ด.ญ.นูรฮาซีกีน เจะอาแซ</v>
      </c>
      <c r="C354" s="3" t="str">
        <f>IFERROR(__xludf.DUMMYFUNCTION("""COMPUTED_VALUE"""),"ม.1/9")</f>
        <v>ม.1/9</v>
      </c>
      <c r="D354" s="3" t="str">
        <f>IFERROR(__xludf.DUMMYFUNCTION("""COMPUTED_VALUE"""),"PR 1/9")</f>
        <v>PR 1/9</v>
      </c>
      <c r="E354" s="2" t="str">
        <f>IFERROR(__xludf.DUMMYFUNCTION("""COMPUTED_VALUE"""),"หญิง")</f>
        <v>หญิง</v>
      </c>
      <c r="F354" s="5" t="str">
        <f>IFERROR(__xludf.DUMMYFUNCTION("""COMPUTED_VALUE"""),"https://azizstan.net/student_image/26669.jpg")</f>
        <v>https://azizstan.net/student_image/26669.jpg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 t="str">
        <f>IFERROR(__xludf.DUMMYFUNCTION("""COMPUTED_VALUE"""),"26691")</f>
        <v>26691</v>
      </c>
      <c r="B355" s="3" t="str">
        <f>IFERROR(__xludf.DUMMYFUNCTION("""COMPUTED_VALUE"""),"ด.ญ.ชุติมา สุลง")</f>
        <v>ด.ญ.ชุติมา สุลง</v>
      </c>
      <c r="C355" s="3" t="str">
        <f>IFERROR(__xludf.DUMMYFUNCTION("""COMPUTED_VALUE"""),"ม.1/9")</f>
        <v>ม.1/9</v>
      </c>
      <c r="D355" s="3" t="str">
        <f>IFERROR(__xludf.DUMMYFUNCTION("""COMPUTED_VALUE"""),"PR 1/9")</f>
        <v>PR 1/9</v>
      </c>
      <c r="E355" s="2" t="str">
        <f>IFERROR(__xludf.DUMMYFUNCTION("""COMPUTED_VALUE"""),"หญิง")</f>
        <v>หญิง</v>
      </c>
      <c r="F355" s="5" t="str">
        <f>IFERROR(__xludf.DUMMYFUNCTION("""COMPUTED_VALUE"""),"https://azizstan.net/student_image/26691.jpg")</f>
        <v>https://azizstan.net/student_image/26691.jpg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 t="str">
        <f>IFERROR(__xludf.DUMMYFUNCTION("""COMPUTED_VALUE"""),"26692")</f>
        <v>26692</v>
      </c>
      <c r="B356" s="3" t="str">
        <f>IFERROR(__xludf.DUMMYFUNCTION("""COMPUTED_VALUE"""),"ด.ญ.นูรุลญันนะฮ อาแซ")</f>
        <v>ด.ญ.นูรุลญันนะฮ อาแซ</v>
      </c>
      <c r="C356" s="3" t="str">
        <f>IFERROR(__xludf.DUMMYFUNCTION("""COMPUTED_VALUE"""),"ม.1/9")</f>
        <v>ม.1/9</v>
      </c>
      <c r="D356" s="3" t="str">
        <f>IFERROR(__xludf.DUMMYFUNCTION("""COMPUTED_VALUE"""),"PR 1/9")</f>
        <v>PR 1/9</v>
      </c>
      <c r="E356" s="2" t="str">
        <f>IFERROR(__xludf.DUMMYFUNCTION("""COMPUTED_VALUE"""),"หญิง")</f>
        <v>หญิง</v>
      </c>
      <c r="F356" s="5" t="str">
        <f>IFERROR(__xludf.DUMMYFUNCTION("""COMPUTED_VALUE"""),"https://azizstan.net/student_image/26692.jpg")</f>
        <v>https://azizstan.net/student_image/26692.jpg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 t="str">
        <f>IFERROR(__xludf.DUMMYFUNCTION("""COMPUTED_VALUE"""),"26705")</f>
        <v>26705</v>
      </c>
      <c r="B357" s="3" t="str">
        <f>IFERROR(__xludf.DUMMYFUNCTION("""COMPUTED_VALUE"""),"ด.ญ.อาฟีฟะห์ ยะมา")</f>
        <v>ด.ญ.อาฟีฟะห์ ยะมา</v>
      </c>
      <c r="C357" s="3" t="str">
        <f>IFERROR(__xludf.DUMMYFUNCTION("""COMPUTED_VALUE"""),"ม.1/9")</f>
        <v>ม.1/9</v>
      </c>
      <c r="D357" s="3" t="str">
        <f>IFERROR(__xludf.DUMMYFUNCTION("""COMPUTED_VALUE"""),"PR 1/9")</f>
        <v>PR 1/9</v>
      </c>
      <c r="E357" s="2" t="str">
        <f>IFERROR(__xludf.DUMMYFUNCTION("""COMPUTED_VALUE"""),"หญิง")</f>
        <v>หญิง</v>
      </c>
      <c r="F357" s="5" t="str">
        <f>IFERROR(__xludf.DUMMYFUNCTION("""COMPUTED_VALUE"""),"https://azizstan.net/student_image/26705.jpg")</f>
        <v>https://azizstan.net/student_image/26705.jpg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" t="str">
        <f>IFERROR(__xludf.DUMMYFUNCTION("""COMPUTED_VALUE"""),"26706")</f>
        <v>26706</v>
      </c>
      <c r="B358" s="3" t="str">
        <f>IFERROR(__xludf.DUMMYFUNCTION("""COMPUTED_VALUE"""),"ด.ญ.ตัสณีม ดลล่าเต๊ะ")</f>
        <v>ด.ญ.ตัสณีม ดลล่าเต๊ะ</v>
      </c>
      <c r="C358" s="3" t="str">
        <f>IFERROR(__xludf.DUMMYFUNCTION("""COMPUTED_VALUE"""),"ม.1/9")</f>
        <v>ม.1/9</v>
      </c>
      <c r="D358" s="3" t="str">
        <f>IFERROR(__xludf.DUMMYFUNCTION("""COMPUTED_VALUE"""),"PR 1/9")</f>
        <v>PR 1/9</v>
      </c>
      <c r="E358" s="2" t="str">
        <f>IFERROR(__xludf.DUMMYFUNCTION("""COMPUTED_VALUE"""),"หญิง")</f>
        <v>หญิง</v>
      </c>
      <c r="F358" s="5" t="str">
        <f>IFERROR(__xludf.DUMMYFUNCTION("""COMPUTED_VALUE"""),"https://azizstan.net/student_image/26706.jpg")</f>
        <v>https://azizstan.net/student_image/26706.jpg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" t="str">
        <f>IFERROR(__xludf.DUMMYFUNCTION("""COMPUTED_VALUE"""),"26044")</f>
        <v>26044</v>
      </c>
      <c r="B359" s="3" t="str">
        <f>IFERROR(__xludf.DUMMYFUNCTION("""COMPUTED_VALUE"""),"ด.ญ.อามีนีน อาลี")</f>
        <v>ด.ญ.อามีนีน อาลี</v>
      </c>
      <c r="C359" s="3" t="str">
        <f>IFERROR(__xludf.DUMMYFUNCTION("""COMPUTED_VALUE"""),"ม.1/10")</f>
        <v>ม.1/10</v>
      </c>
      <c r="D359" s="3" t="str">
        <f>IFERROR(__xludf.DUMMYFUNCTION("""COMPUTED_VALUE"""),"อก.1/10")</f>
        <v>อก.1/10</v>
      </c>
      <c r="E359" s="2" t="str">
        <f>IFERROR(__xludf.DUMMYFUNCTION("""COMPUTED_VALUE"""),"หญิง")</f>
        <v>หญิง</v>
      </c>
      <c r="F359" s="5" t="str">
        <f>IFERROR(__xludf.DUMMYFUNCTION("""COMPUTED_VALUE"""),"https://azizstan.net/student_image/26044.jpg")</f>
        <v>https://azizstan.net/student_image/26044.jpg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 t="str">
        <f>IFERROR(__xludf.DUMMYFUNCTION("""COMPUTED_VALUE"""),"26060")</f>
        <v>26060</v>
      </c>
      <c r="B360" s="3" t="str">
        <f>IFERROR(__xludf.DUMMYFUNCTION("""COMPUTED_VALUE"""),"ด.ญ.นูรุลอิฮซาน สาและ")</f>
        <v>ด.ญ.นูรุลอิฮซาน สาและ</v>
      </c>
      <c r="C360" s="3" t="str">
        <f>IFERROR(__xludf.DUMMYFUNCTION("""COMPUTED_VALUE"""),"ม.1/10")</f>
        <v>ม.1/10</v>
      </c>
      <c r="D360" s="3" t="str">
        <f>IFERROR(__xludf.DUMMYFUNCTION("""COMPUTED_VALUE"""),"อก.1/10")</f>
        <v>อก.1/10</v>
      </c>
      <c r="E360" s="2" t="str">
        <f>IFERROR(__xludf.DUMMYFUNCTION("""COMPUTED_VALUE"""),"หญิง")</f>
        <v>หญิง</v>
      </c>
      <c r="F360" s="5" t="str">
        <f>IFERROR(__xludf.DUMMYFUNCTION("""COMPUTED_VALUE"""),"https://azizstan.net/student_image/26060.jpg")</f>
        <v>https://azizstan.net/student_image/26060.jpg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" t="str">
        <f>IFERROR(__xludf.DUMMYFUNCTION("""COMPUTED_VALUE"""),"26113")</f>
        <v>26113</v>
      </c>
      <c r="B361" s="3" t="str">
        <f>IFERROR(__xludf.DUMMYFUNCTION("""COMPUTED_VALUE"""),"ด.ญ.นัจญ์วา หะยีบากา")</f>
        <v>ด.ญ.นัจญ์วา หะยีบากา</v>
      </c>
      <c r="C361" s="3" t="str">
        <f>IFERROR(__xludf.DUMMYFUNCTION("""COMPUTED_VALUE"""),"ม.1/10")</f>
        <v>ม.1/10</v>
      </c>
      <c r="D361" s="3" t="str">
        <f>IFERROR(__xludf.DUMMYFUNCTION("""COMPUTED_VALUE"""),"อก.1/10")</f>
        <v>อก.1/10</v>
      </c>
      <c r="E361" s="2" t="str">
        <f>IFERROR(__xludf.DUMMYFUNCTION("""COMPUTED_VALUE"""),"หญิง")</f>
        <v>หญิง</v>
      </c>
      <c r="F361" s="5" t="str">
        <f>IFERROR(__xludf.DUMMYFUNCTION("""COMPUTED_VALUE"""),"https://azizstan.net/student_image/26113.jpg")</f>
        <v>https://azizstan.net/student_image/26113.jpg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" t="str">
        <f>IFERROR(__xludf.DUMMYFUNCTION("""COMPUTED_VALUE"""),"26121")</f>
        <v>26121</v>
      </c>
      <c r="B362" s="3" t="str">
        <f>IFERROR(__xludf.DUMMYFUNCTION("""COMPUTED_VALUE"""),"ด.ญ.อามิตา สาเมาะ")</f>
        <v>ด.ญ.อามิตา สาเมาะ</v>
      </c>
      <c r="C362" s="3" t="str">
        <f>IFERROR(__xludf.DUMMYFUNCTION("""COMPUTED_VALUE"""),"ม.1/10")</f>
        <v>ม.1/10</v>
      </c>
      <c r="D362" s="3" t="str">
        <f>IFERROR(__xludf.DUMMYFUNCTION("""COMPUTED_VALUE"""),"อก.1/10")</f>
        <v>อก.1/10</v>
      </c>
      <c r="E362" s="2" t="str">
        <f>IFERROR(__xludf.DUMMYFUNCTION("""COMPUTED_VALUE"""),"หญิง")</f>
        <v>หญิง</v>
      </c>
      <c r="F362" s="5" t="str">
        <f>IFERROR(__xludf.DUMMYFUNCTION("""COMPUTED_VALUE"""),"https://azizstan.net/student_image/26121.jpg")</f>
        <v>https://azizstan.net/student_image/26121.jpg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" t="str">
        <f>IFERROR(__xludf.DUMMYFUNCTION("""COMPUTED_VALUE"""),"26176")</f>
        <v>26176</v>
      </c>
      <c r="B363" s="3" t="str">
        <f>IFERROR(__xludf.DUMMYFUNCTION("""COMPUTED_VALUE"""),"ด.ช.บีลัล สานิ")</f>
        <v>ด.ช.บีลัล สานิ</v>
      </c>
      <c r="C363" s="3" t="str">
        <f>IFERROR(__xludf.DUMMYFUNCTION("""COMPUTED_VALUE"""),"ม.1/10")</f>
        <v>ม.1/10</v>
      </c>
      <c r="D363" s="3" t="str">
        <f>IFERROR(__xludf.DUMMYFUNCTION("""COMPUTED_VALUE"""),"อก.1/10")</f>
        <v>อก.1/10</v>
      </c>
      <c r="E363" s="2" t="str">
        <f>IFERROR(__xludf.DUMMYFUNCTION("""COMPUTED_VALUE"""),"ชาย")</f>
        <v>ชาย</v>
      </c>
      <c r="F363" s="5" t="str">
        <f>IFERROR(__xludf.DUMMYFUNCTION("""COMPUTED_VALUE"""),"https://azizstan.net/student_image/26176.jpg")</f>
        <v>https://azizstan.net/student_image/26176.jpg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 t="str">
        <f>IFERROR(__xludf.DUMMYFUNCTION("""COMPUTED_VALUE"""),"26208")</f>
        <v>26208</v>
      </c>
      <c r="B364" s="3" t="str">
        <f>IFERROR(__xludf.DUMMYFUNCTION("""COMPUTED_VALUE"""),"ด.ญ.ฮัยฟะห์ เจะแว")</f>
        <v>ด.ญ.ฮัยฟะห์ เจะแว</v>
      </c>
      <c r="C364" s="3" t="str">
        <f>IFERROR(__xludf.DUMMYFUNCTION("""COMPUTED_VALUE"""),"ม.1/10")</f>
        <v>ม.1/10</v>
      </c>
      <c r="D364" s="3" t="str">
        <f>IFERROR(__xludf.DUMMYFUNCTION("""COMPUTED_VALUE"""),"อก.1/10")</f>
        <v>อก.1/10</v>
      </c>
      <c r="E364" s="2" t="str">
        <f>IFERROR(__xludf.DUMMYFUNCTION("""COMPUTED_VALUE"""),"หญิง")</f>
        <v>หญิง</v>
      </c>
      <c r="F364" s="5" t="str">
        <f>IFERROR(__xludf.DUMMYFUNCTION("""COMPUTED_VALUE"""),"https://azizstan.net/student_image/26208.jpg")</f>
        <v>https://azizstan.net/student_image/26208.jpg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 t="str">
        <f>IFERROR(__xludf.DUMMYFUNCTION("""COMPUTED_VALUE"""),"26230")</f>
        <v>26230</v>
      </c>
      <c r="B365" s="3" t="str">
        <f>IFERROR(__xludf.DUMMYFUNCTION("""COMPUTED_VALUE"""),"ด.ญ.นูรซาฟีกา เจะอุมา")</f>
        <v>ด.ญ.นูรซาฟีกา เจะอุมา</v>
      </c>
      <c r="C365" s="3" t="str">
        <f>IFERROR(__xludf.DUMMYFUNCTION("""COMPUTED_VALUE"""),"ม.1/10")</f>
        <v>ม.1/10</v>
      </c>
      <c r="D365" s="3" t="str">
        <f>IFERROR(__xludf.DUMMYFUNCTION("""COMPUTED_VALUE"""),"อก.1/10")</f>
        <v>อก.1/10</v>
      </c>
      <c r="E365" s="2" t="str">
        <f>IFERROR(__xludf.DUMMYFUNCTION("""COMPUTED_VALUE"""),"หญิง")</f>
        <v>หญิง</v>
      </c>
      <c r="F365" s="5" t="str">
        <f>IFERROR(__xludf.DUMMYFUNCTION("""COMPUTED_VALUE"""),"https://azizstan.net/student_image/26230.jpg")</f>
        <v>https://azizstan.net/student_image/26230.jpg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 t="str">
        <f>IFERROR(__xludf.DUMMYFUNCTION("""COMPUTED_VALUE"""),"26242")</f>
        <v>26242</v>
      </c>
      <c r="B366" s="3" t="str">
        <f>IFERROR(__xludf.DUMMYFUNCTION("""COMPUTED_VALUE"""),"ด.ช.กัดดาฟี เฮ็งปิยา")</f>
        <v>ด.ช.กัดดาฟี เฮ็งปิยา</v>
      </c>
      <c r="C366" s="3" t="str">
        <f>IFERROR(__xludf.DUMMYFUNCTION("""COMPUTED_VALUE"""),"ม.1/10")</f>
        <v>ม.1/10</v>
      </c>
      <c r="D366" s="3" t="str">
        <f>IFERROR(__xludf.DUMMYFUNCTION("""COMPUTED_VALUE"""),"อก.1/10")</f>
        <v>อก.1/10</v>
      </c>
      <c r="E366" s="2" t="str">
        <f>IFERROR(__xludf.DUMMYFUNCTION("""COMPUTED_VALUE"""),"ชาย")</f>
        <v>ชาย</v>
      </c>
      <c r="F366" s="5" t="str">
        <f>IFERROR(__xludf.DUMMYFUNCTION("""COMPUTED_VALUE"""),"https://azizstan.net/student_image/26242.jpg")</f>
        <v>https://azizstan.net/student_image/26242.jpg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" t="str">
        <f>IFERROR(__xludf.DUMMYFUNCTION("""COMPUTED_VALUE"""),"26257")</f>
        <v>26257</v>
      </c>
      <c r="B367" s="3" t="str">
        <f>IFERROR(__xludf.DUMMYFUNCTION("""COMPUTED_VALUE"""),"ด.ญ.นูรฟาตีมะห์ กาเด็ง")</f>
        <v>ด.ญ.นูรฟาตีมะห์ กาเด็ง</v>
      </c>
      <c r="C367" s="3" t="str">
        <f>IFERROR(__xludf.DUMMYFUNCTION("""COMPUTED_VALUE"""),"ม.1/10")</f>
        <v>ม.1/10</v>
      </c>
      <c r="D367" s="3" t="str">
        <f>IFERROR(__xludf.DUMMYFUNCTION("""COMPUTED_VALUE"""),"อก.1/10")</f>
        <v>อก.1/10</v>
      </c>
      <c r="E367" s="2" t="str">
        <f>IFERROR(__xludf.DUMMYFUNCTION("""COMPUTED_VALUE"""),"หญิง")</f>
        <v>หญิง</v>
      </c>
      <c r="F367" s="5" t="str">
        <f>IFERROR(__xludf.DUMMYFUNCTION("""COMPUTED_VALUE"""),"https://azizstan.net/student_image/26257.jpg")</f>
        <v>https://azizstan.net/student_image/26257.jpg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" t="str">
        <f>IFERROR(__xludf.DUMMYFUNCTION("""COMPUTED_VALUE"""),"26263")</f>
        <v>26263</v>
      </c>
      <c r="B368" s="3" t="str">
        <f>IFERROR(__xludf.DUMMYFUNCTION("""COMPUTED_VALUE"""),"ด.ญ.ยัสมีน แยนา")</f>
        <v>ด.ญ.ยัสมีน แยนา</v>
      </c>
      <c r="C368" s="3" t="str">
        <f>IFERROR(__xludf.DUMMYFUNCTION("""COMPUTED_VALUE"""),"ม.1/10")</f>
        <v>ม.1/10</v>
      </c>
      <c r="D368" s="3" t="str">
        <f>IFERROR(__xludf.DUMMYFUNCTION("""COMPUTED_VALUE"""),"อก.1/10")</f>
        <v>อก.1/10</v>
      </c>
      <c r="E368" s="2" t="str">
        <f>IFERROR(__xludf.DUMMYFUNCTION("""COMPUTED_VALUE"""),"หญิง")</f>
        <v>หญิง</v>
      </c>
      <c r="F368" s="5" t="str">
        <f>IFERROR(__xludf.DUMMYFUNCTION("""COMPUTED_VALUE"""),"https://azizstan.net/student_image/26263.jpg")</f>
        <v>https://azizstan.net/student_image/26263.jpg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" t="str">
        <f>IFERROR(__xludf.DUMMYFUNCTION("""COMPUTED_VALUE"""),"26285")</f>
        <v>26285</v>
      </c>
      <c r="B369" s="3" t="str">
        <f>IFERROR(__xludf.DUMMYFUNCTION("""COMPUTED_VALUE"""),"ด.ญ.ฟิรฮาน แวยูโซ๊ะ")</f>
        <v>ด.ญ.ฟิรฮาน แวยูโซ๊ะ</v>
      </c>
      <c r="C369" s="3" t="str">
        <f>IFERROR(__xludf.DUMMYFUNCTION("""COMPUTED_VALUE"""),"ม.1/10")</f>
        <v>ม.1/10</v>
      </c>
      <c r="D369" s="3" t="str">
        <f>IFERROR(__xludf.DUMMYFUNCTION("""COMPUTED_VALUE"""),"อก.1/10")</f>
        <v>อก.1/10</v>
      </c>
      <c r="E369" s="2" t="str">
        <f>IFERROR(__xludf.DUMMYFUNCTION("""COMPUTED_VALUE"""),"หญิง")</f>
        <v>หญิง</v>
      </c>
      <c r="F369" s="5" t="str">
        <f>IFERROR(__xludf.DUMMYFUNCTION("""COMPUTED_VALUE"""),"https://azizstan.net/student_image/26285.jpg")</f>
        <v>https://azizstan.net/student_image/26285.jpg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" t="str">
        <f>IFERROR(__xludf.DUMMYFUNCTION("""COMPUTED_VALUE"""),"26286")</f>
        <v>26286</v>
      </c>
      <c r="B370" s="3" t="str">
        <f>IFERROR(__xludf.DUMMYFUNCTION("""COMPUTED_VALUE"""),"ด.ญ.มูฮัยมีน บูเงาะแงะ")</f>
        <v>ด.ญ.มูฮัยมีน บูเงาะแงะ</v>
      </c>
      <c r="C370" s="3" t="str">
        <f>IFERROR(__xludf.DUMMYFUNCTION("""COMPUTED_VALUE"""),"ม.1/10")</f>
        <v>ม.1/10</v>
      </c>
      <c r="D370" s="3" t="str">
        <f>IFERROR(__xludf.DUMMYFUNCTION("""COMPUTED_VALUE"""),"อก.1/10")</f>
        <v>อก.1/10</v>
      </c>
      <c r="E370" s="2" t="str">
        <f>IFERROR(__xludf.DUMMYFUNCTION("""COMPUTED_VALUE"""),"หญิง")</f>
        <v>หญิง</v>
      </c>
      <c r="F370" s="5" t="str">
        <f>IFERROR(__xludf.DUMMYFUNCTION("""COMPUTED_VALUE"""),"https://azizstan.net/student_image/26286.jpg")</f>
        <v>https://azizstan.net/student_image/26286.jpg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 t="str">
        <f>IFERROR(__xludf.DUMMYFUNCTION("""COMPUTED_VALUE"""),"26299")</f>
        <v>26299</v>
      </c>
      <c r="B371" s="3" t="str">
        <f>IFERROR(__xludf.DUMMYFUNCTION("""COMPUTED_VALUE"""),"ด.ญ.นัสริน สูตี")</f>
        <v>ด.ญ.นัสริน สูตี</v>
      </c>
      <c r="C371" s="3" t="str">
        <f>IFERROR(__xludf.DUMMYFUNCTION("""COMPUTED_VALUE"""),"ม.1/10")</f>
        <v>ม.1/10</v>
      </c>
      <c r="D371" s="3" t="str">
        <f>IFERROR(__xludf.DUMMYFUNCTION("""COMPUTED_VALUE"""),"อก.1/10")</f>
        <v>อก.1/10</v>
      </c>
      <c r="E371" s="2" t="str">
        <f>IFERROR(__xludf.DUMMYFUNCTION("""COMPUTED_VALUE"""),"หญิง")</f>
        <v>หญิง</v>
      </c>
      <c r="F371" s="5" t="str">
        <f>IFERROR(__xludf.DUMMYFUNCTION("""COMPUTED_VALUE"""),"https://azizstan.net/student_image/26299.jpg")</f>
        <v>https://azizstan.net/student_image/26299.jpg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" t="str">
        <f>IFERROR(__xludf.DUMMYFUNCTION("""COMPUTED_VALUE"""),"26300")</f>
        <v>26300</v>
      </c>
      <c r="B372" s="3" t="str">
        <f>IFERROR(__xludf.DUMMYFUNCTION("""COMPUTED_VALUE"""),"ด.ญ.ดลีละฮ์ เจะเหมาะ")</f>
        <v>ด.ญ.ดลีละฮ์ เจะเหมาะ</v>
      </c>
      <c r="C372" s="3" t="str">
        <f>IFERROR(__xludf.DUMMYFUNCTION("""COMPUTED_VALUE"""),"ม.1/10")</f>
        <v>ม.1/10</v>
      </c>
      <c r="D372" s="3" t="str">
        <f>IFERROR(__xludf.DUMMYFUNCTION("""COMPUTED_VALUE"""),"อก.1/10")</f>
        <v>อก.1/10</v>
      </c>
      <c r="E372" s="2" t="str">
        <f>IFERROR(__xludf.DUMMYFUNCTION("""COMPUTED_VALUE"""),"หญิง")</f>
        <v>หญิง</v>
      </c>
      <c r="F372" s="5" t="str">
        <f>IFERROR(__xludf.DUMMYFUNCTION("""COMPUTED_VALUE"""),"https://azizstan.net/student_image/26300.jpg")</f>
        <v>https://azizstan.net/student_image/26300.jpg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" t="str">
        <f>IFERROR(__xludf.DUMMYFUNCTION("""COMPUTED_VALUE"""),"26308")</f>
        <v>26308</v>
      </c>
      <c r="B373" s="3" t="str">
        <f>IFERROR(__xludf.DUMMYFUNCTION("""COMPUTED_VALUE"""),"ด.ช.มุสลิม สามะ")</f>
        <v>ด.ช.มุสลิม สามะ</v>
      </c>
      <c r="C373" s="3" t="str">
        <f>IFERROR(__xludf.DUMMYFUNCTION("""COMPUTED_VALUE"""),"ม.1/10")</f>
        <v>ม.1/10</v>
      </c>
      <c r="D373" s="3" t="str">
        <f>IFERROR(__xludf.DUMMYFUNCTION("""COMPUTED_VALUE"""),"อก.1/10")</f>
        <v>อก.1/10</v>
      </c>
      <c r="E373" s="2" t="str">
        <f>IFERROR(__xludf.DUMMYFUNCTION("""COMPUTED_VALUE"""),"ชาย")</f>
        <v>ชาย</v>
      </c>
      <c r="F373" s="5" t="str">
        <f>IFERROR(__xludf.DUMMYFUNCTION("""COMPUTED_VALUE"""),"https://azizstan.net/student_image/26308.jpg")</f>
        <v>https://azizstan.net/student_image/26308.jpg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" t="str">
        <f>IFERROR(__xludf.DUMMYFUNCTION("""COMPUTED_VALUE"""),"26309")</f>
        <v>26309</v>
      </c>
      <c r="B374" s="3" t="str">
        <f>IFERROR(__xludf.DUMMYFUNCTION("""COMPUTED_VALUE"""),"ด.ช.ซาพารี เจะเลาะ")</f>
        <v>ด.ช.ซาพารี เจะเลาะ</v>
      </c>
      <c r="C374" s="3" t="str">
        <f>IFERROR(__xludf.DUMMYFUNCTION("""COMPUTED_VALUE"""),"ม.1/10")</f>
        <v>ม.1/10</v>
      </c>
      <c r="D374" s="3" t="str">
        <f>IFERROR(__xludf.DUMMYFUNCTION("""COMPUTED_VALUE"""),"อก.1/10")</f>
        <v>อก.1/10</v>
      </c>
      <c r="E374" s="2" t="str">
        <f>IFERROR(__xludf.DUMMYFUNCTION("""COMPUTED_VALUE"""),"ชาย")</f>
        <v>ชาย</v>
      </c>
      <c r="F374" s="5" t="str">
        <f>IFERROR(__xludf.DUMMYFUNCTION("""COMPUTED_VALUE"""),"https://azizstan.net/student_image/26309.jpg")</f>
        <v>https://azizstan.net/student_image/26309.jpg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" t="str">
        <f>IFERROR(__xludf.DUMMYFUNCTION("""COMPUTED_VALUE"""),"26376")</f>
        <v>26376</v>
      </c>
      <c r="B375" s="3" t="str">
        <f>IFERROR(__xludf.DUMMYFUNCTION("""COMPUTED_VALUE"""),"ด.ญ.มีนี แลเบาะ")</f>
        <v>ด.ญ.มีนี แลเบาะ</v>
      </c>
      <c r="C375" s="3" t="str">
        <f>IFERROR(__xludf.DUMMYFUNCTION("""COMPUTED_VALUE"""),"ม.1/10")</f>
        <v>ม.1/10</v>
      </c>
      <c r="D375" s="3" t="str">
        <f>IFERROR(__xludf.DUMMYFUNCTION("""COMPUTED_VALUE"""),"อก.1/10")</f>
        <v>อก.1/10</v>
      </c>
      <c r="E375" s="2" t="str">
        <f>IFERROR(__xludf.DUMMYFUNCTION("""COMPUTED_VALUE"""),"หญิง")</f>
        <v>หญิง</v>
      </c>
      <c r="F375" s="5" t="str">
        <f>IFERROR(__xludf.DUMMYFUNCTION("""COMPUTED_VALUE"""),"https://azizstan.net/student_image/26376.jpg")</f>
        <v>https://azizstan.net/student_image/26376.jpg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" t="str">
        <f>IFERROR(__xludf.DUMMYFUNCTION("""COMPUTED_VALUE"""),"26393")</f>
        <v>26393</v>
      </c>
      <c r="B376" s="3" t="str">
        <f>IFERROR(__xludf.DUMMYFUNCTION("""COMPUTED_VALUE"""),"ด.ช.ซารีฟ เง๊าะ")</f>
        <v>ด.ช.ซารีฟ เง๊าะ</v>
      </c>
      <c r="C376" s="3" t="str">
        <f>IFERROR(__xludf.DUMMYFUNCTION("""COMPUTED_VALUE"""),"ม.1/10")</f>
        <v>ม.1/10</v>
      </c>
      <c r="D376" s="3" t="str">
        <f>IFERROR(__xludf.DUMMYFUNCTION("""COMPUTED_VALUE"""),"อก.1/10")</f>
        <v>อก.1/10</v>
      </c>
      <c r="E376" s="2" t="str">
        <f>IFERROR(__xludf.DUMMYFUNCTION("""COMPUTED_VALUE"""),"ชาย")</f>
        <v>ชาย</v>
      </c>
      <c r="F376" s="5" t="str">
        <f>IFERROR(__xludf.DUMMYFUNCTION("""COMPUTED_VALUE"""),"https://azizstan.net/student_image/26393.jpg")</f>
        <v>https://azizstan.net/student_image/26393.jpg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" t="str">
        <f>IFERROR(__xludf.DUMMYFUNCTION("""COMPUTED_VALUE"""),"26394")</f>
        <v>26394</v>
      </c>
      <c r="B377" s="3" t="str">
        <f>IFERROR(__xludf.DUMMYFUNCTION("""COMPUTED_VALUE"""),"ด.ช.เจ๊ะมูฮำหมัดชาริฟ โว๊ะ")</f>
        <v>ด.ช.เจ๊ะมูฮำหมัดชาริฟ โว๊ะ</v>
      </c>
      <c r="C377" s="3" t="str">
        <f>IFERROR(__xludf.DUMMYFUNCTION("""COMPUTED_VALUE"""),"ม.1/10")</f>
        <v>ม.1/10</v>
      </c>
      <c r="D377" s="3" t="str">
        <f>IFERROR(__xludf.DUMMYFUNCTION("""COMPUTED_VALUE"""),"อก.1/10")</f>
        <v>อก.1/10</v>
      </c>
      <c r="E377" s="2" t="str">
        <f>IFERROR(__xludf.DUMMYFUNCTION("""COMPUTED_VALUE"""),"ชาย")</f>
        <v>ชาย</v>
      </c>
      <c r="F377" s="5" t="str">
        <f>IFERROR(__xludf.DUMMYFUNCTION("""COMPUTED_VALUE"""),"https://azizstan.net/student_image/26394.jpg")</f>
        <v>https://azizstan.net/student_image/26394.jpg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 t="str">
        <f>IFERROR(__xludf.DUMMYFUNCTION("""COMPUTED_VALUE"""),"26457")</f>
        <v>26457</v>
      </c>
      <c r="B378" s="3" t="str">
        <f>IFERROR(__xludf.DUMMYFUNCTION("""COMPUTED_VALUE"""),"ด.ช.มูฮำหมัดชาฮิต ฮะยีบูสู")</f>
        <v>ด.ช.มูฮำหมัดชาฮิต ฮะยีบูสู</v>
      </c>
      <c r="C378" s="3" t="str">
        <f>IFERROR(__xludf.DUMMYFUNCTION("""COMPUTED_VALUE"""),"ม.1/10")</f>
        <v>ม.1/10</v>
      </c>
      <c r="D378" s="3" t="str">
        <f>IFERROR(__xludf.DUMMYFUNCTION("""COMPUTED_VALUE"""),"อก.1/10")</f>
        <v>อก.1/10</v>
      </c>
      <c r="E378" s="2" t="str">
        <f>IFERROR(__xludf.DUMMYFUNCTION("""COMPUTED_VALUE"""),"ชาย")</f>
        <v>ชาย</v>
      </c>
      <c r="F378" s="5" t="str">
        <f>IFERROR(__xludf.DUMMYFUNCTION("""COMPUTED_VALUE"""),"https://azizstan.net/student_image/26457.jpg")</f>
        <v>https://azizstan.net/student_image/26457.jpg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 t="str">
        <f>IFERROR(__xludf.DUMMYFUNCTION("""COMPUTED_VALUE"""),"26550")</f>
        <v>26550</v>
      </c>
      <c r="B379" s="3" t="str">
        <f>IFERROR(__xludf.DUMMYFUNCTION("""COMPUTED_VALUE"""),"ด.ช.มูฮำหมัดฮานาฟี เมาะเหย")</f>
        <v>ด.ช.มูฮำหมัดฮานาฟี เมาะเหย</v>
      </c>
      <c r="C379" s="3" t="str">
        <f>IFERROR(__xludf.DUMMYFUNCTION("""COMPUTED_VALUE"""),"ม.1/10")</f>
        <v>ม.1/10</v>
      </c>
      <c r="D379" s="3" t="str">
        <f>IFERROR(__xludf.DUMMYFUNCTION("""COMPUTED_VALUE"""),"อก.1/10")</f>
        <v>อก.1/10</v>
      </c>
      <c r="E379" s="2" t="str">
        <f>IFERROR(__xludf.DUMMYFUNCTION("""COMPUTED_VALUE"""),"ชาย")</f>
        <v>ชาย</v>
      </c>
      <c r="F379" s="5" t="str">
        <f>IFERROR(__xludf.DUMMYFUNCTION("""COMPUTED_VALUE"""),"https://azizstan.net/student_image/26550.jpg")</f>
        <v>https://azizstan.net/student_image/26550.jpg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 t="str">
        <f>IFERROR(__xludf.DUMMYFUNCTION("""COMPUTED_VALUE"""),"26560")</f>
        <v>26560</v>
      </c>
      <c r="B380" s="3" t="str">
        <f>IFERROR(__xludf.DUMMYFUNCTION("""COMPUTED_VALUE"""),"ด.ญ.ซอลีฮะห์ แฉะ")</f>
        <v>ด.ญ.ซอลีฮะห์ แฉะ</v>
      </c>
      <c r="C380" s="3" t="str">
        <f>IFERROR(__xludf.DUMMYFUNCTION("""COMPUTED_VALUE"""),"ม.1/10")</f>
        <v>ม.1/10</v>
      </c>
      <c r="D380" s="3" t="str">
        <f>IFERROR(__xludf.DUMMYFUNCTION("""COMPUTED_VALUE"""),"อก.1/10")</f>
        <v>อก.1/10</v>
      </c>
      <c r="E380" s="2" t="str">
        <f>IFERROR(__xludf.DUMMYFUNCTION("""COMPUTED_VALUE"""),"หญิง")</f>
        <v>หญิง</v>
      </c>
      <c r="F380" s="5" t="str">
        <f>IFERROR(__xludf.DUMMYFUNCTION("""COMPUTED_VALUE"""),"https://azizstan.net/student_image/26560.jpg")</f>
        <v>https://azizstan.net/student_image/26560.jpg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 t="str">
        <f>IFERROR(__xludf.DUMMYFUNCTION("""COMPUTED_VALUE"""),"26591")</f>
        <v>26591</v>
      </c>
      <c r="B381" s="3" t="str">
        <f>IFERROR(__xludf.DUMMYFUNCTION("""COMPUTED_VALUE"""),"ด.ญ.นุรฟาตีน มะแซ")</f>
        <v>ด.ญ.นุรฟาตีน มะแซ</v>
      </c>
      <c r="C381" s="3" t="str">
        <f>IFERROR(__xludf.DUMMYFUNCTION("""COMPUTED_VALUE"""),"ม.1/10")</f>
        <v>ม.1/10</v>
      </c>
      <c r="D381" s="3" t="str">
        <f>IFERROR(__xludf.DUMMYFUNCTION("""COMPUTED_VALUE"""),"อก.1/10")</f>
        <v>อก.1/10</v>
      </c>
      <c r="E381" s="2" t="str">
        <f>IFERROR(__xludf.DUMMYFUNCTION("""COMPUTED_VALUE"""),"หญิง")</f>
        <v>หญิง</v>
      </c>
      <c r="F381" s="5" t="str">
        <f>IFERROR(__xludf.DUMMYFUNCTION("""COMPUTED_VALUE"""),"https://azizstan.net/student_image/26591.jpg")</f>
        <v>https://azizstan.net/student_image/26591.jpg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" t="str">
        <f>IFERROR(__xludf.DUMMYFUNCTION("""COMPUTED_VALUE"""),"26612")</f>
        <v>26612</v>
      </c>
      <c r="B382" s="3" t="str">
        <f>IFERROR(__xludf.DUMMYFUNCTION("""COMPUTED_VALUE"""),"ด.ญ.มัลดาร์ ปะดอ")</f>
        <v>ด.ญ.มัลดาร์ ปะดอ</v>
      </c>
      <c r="C382" s="3" t="str">
        <f>IFERROR(__xludf.DUMMYFUNCTION("""COMPUTED_VALUE"""),"ม.1/10")</f>
        <v>ม.1/10</v>
      </c>
      <c r="D382" s="3" t="str">
        <f>IFERROR(__xludf.DUMMYFUNCTION("""COMPUTED_VALUE"""),"อก.1/10")</f>
        <v>อก.1/10</v>
      </c>
      <c r="E382" s="2" t="str">
        <f>IFERROR(__xludf.DUMMYFUNCTION("""COMPUTED_VALUE"""),"หญิง")</f>
        <v>หญิง</v>
      </c>
      <c r="F382" s="5" t="str">
        <f>IFERROR(__xludf.DUMMYFUNCTION("""COMPUTED_VALUE"""),"https://azizstan.net/student_image/26612.jpg")</f>
        <v>https://azizstan.net/student_image/26612.jpg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" t="str">
        <f>IFERROR(__xludf.DUMMYFUNCTION("""COMPUTED_VALUE"""),"26613")</f>
        <v>26613</v>
      </c>
      <c r="B383" s="3" t="str">
        <f>IFERROR(__xludf.DUMMYFUNCTION("""COMPUTED_VALUE"""),"ด.ช.นาอีม โต๊ะด้วน")</f>
        <v>ด.ช.นาอีม โต๊ะด้วน</v>
      </c>
      <c r="C383" s="3" t="str">
        <f>IFERROR(__xludf.DUMMYFUNCTION("""COMPUTED_VALUE"""),"ม.1/10")</f>
        <v>ม.1/10</v>
      </c>
      <c r="D383" s="3" t="str">
        <f>IFERROR(__xludf.DUMMYFUNCTION("""COMPUTED_VALUE"""),"อก.1/10")</f>
        <v>อก.1/10</v>
      </c>
      <c r="E383" s="2" t="str">
        <f>IFERROR(__xludf.DUMMYFUNCTION("""COMPUTED_VALUE"""),"ชาย")</f>
        <v>ชาย</v>
      </c>
      <c r="F383" s="5" t="str">
        <f>IFERROR(__xludf.DUMMYFUNCTION("""COMPUTED_VALUE"""),"https://azizstan.net/student_image/26613.jpg")</f>
        <v>https://azizstan.net/student_image/26613.jpg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" t="str">
        <f>IFERROR(__xludf.DUMMYFUNCTION("""COMPUTED_VALUE"""),"26642")</f>
        <v>26642</v>
      </c>
      <c r="B384" s="3" t="str">
        <f>IFERROR(__xludf.DUMMYFUNCTION("""COMPUTED_VALUE"""),"ด.ช.อัฟฎอล หะยียูโซะ")</f>
        <v>ด.ช.อัฟฎอล หะยียูโซะ</v>
      </c>
      <c r="C384" s="3" t="str">
        <f>IFERROR(__xludf.DUMMYFUNCTION("""COMPUTED_VALUE"""),"ม.1/10")</f>
        <v>ม.1/10</v>
      </c>
      <c r="D384" s="3" t="str">
        <f>IFERROR(__xludf.DUMMYFUNCTION("""COMPUTED_VALUE"""),"อก.1/10")</f>
        <v>อก.1/10</v>
      </c>
      <c r="E384" s="2" t="str">
        <f>IFERROR(__xludf.DUMMYFUNCTION("""COMPUTED_VALUE"""),"ชาย")</f>
        <v>ชาย</v>
      </c>
      <c r="F384" s="5" t="str">
        <f>IFERROR(__xludf.DUMMYFUNCTION("""COMPUTED_VALUE"""),"https://azizstan.net/student_image/26642.jpg")</f>
        <v>https://azizstan.net/student_image/26642.jpg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" t="str">
        <f>IFERROR(__xludf.DUMMYFUNCTION("""COMPUTED_VALUE"""),"26670")</f>
        <v>26670</v>
      </c>
      <c r="B385" s="3" t="str">
        <f>IFERROR(__xludf.DUMMYFUNCTION("""COMPUTED_VALUE"""),"ด.ช.มีซาน ดาราแม")</f>
        <v>ด.ช.มีซาน ดาราแม</v>
      </c>
      <c r="C385" s="3" t="str">
        <f>IFERROR(__xludf.DUMMYFUNCTION("""COMPUTED_VALUE"""),"ม.1/10")</f>
        <v>ม.1/10</v>
      </c>
      <c r="D385" s="3" t="str">
        <f>IFERROR(__xludf.DUMMYFUNCTION("""COMPUTED_VALUE"""),"อก.1/10")</f>
        <v>อก.1/10</v>
      </c>
      <c r="E385" s="2" t="str">
        <f>IFERROR(__xludf.DUMMYFUNCTION("""COMPUTED_VALUE"""),"ชาย")</f>
        <v>ชาย</v>
      </c>
      <c r="F385" s="5" t="str">
        <f>IFERROR(__xludf.DUMMYFUNCTION("""COMPUTED_VALUE"""),"https://azizstan.net/student_image/26670.jpg")</f>
        <v>https://azizstan.net/student_image/26670.jpg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" t="str">
        <f>IFERROR(__xludf.DUMMYFUNCTION("""COMPUTED_VALUE"""),"26673")</f>
        <v>26673</v>
      </c>
      <c r="B386" s="3" t="str">
        <f>IFERROR(__xludf.DUMMYFUNCTION("""COMPUTED_VALUE"""),"ด.ช.อัฮมัดอาลี เดสุหลง")</f>
        <v>ด.ช.อัฮมัดอาลี เดสุหลง</v>
      </c>
      <c r="C386" s="3" t="str">
        <f>IFERROR(__xludf.DUMMYFUNCTION("""COMPUTED_VALUE"""),"ม.1/10")</f>
        <v>ม.1/10</v>
      </c>
      <c r="D386" s="3" t="str">
        <f>IFERROR(__xludf.DUMMYFUNCTION("""COMPUTED_VALUE"""),"อก.1/10")</f>
        <v>อก.1/10</v>
      </c>
      <c r="E386" s="2" t="str">
        <f>IFERROR(__xludf.DUMMYFUNCTION("""COMPUTED_VALUE"""),"ชาย")</f>
        <v>ชาย</v>
      </c>
      <c r="F386" s="5" t="str">
        <f>IFERROR(__xludf.DUMMYFUNCTION("""COMPUTED_VALUE"""),"https://azizstan.net/student_image/26673.jpg")</f>
        <v>https://azizstan.net/student_image/26673.jpg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 t="str">
        <f>IFERROR(__xludf.DUMMYFUNCTION("""COMPUTED_VALUE"""),"26678")</f>
        <v>26678</v>
      </c>
      <c r="B387" s="3" t="str">
        <f>IFERROR(__xludf.DUMMYFUNCTION("""COMPUTED_VALUE"""),"ด.ญ.ฮูสนะห์ เจะเลาะ")</f>
        <v>ด.ญ.ฮูสนะห์ เจะเลาะ</v>
      </c>
      <c r="C387" s="3" t="str">
        <f>IFERROR(__xludf.DUMMYFUNCTION("""COMPUTED_VALUE"""),"ม.1/10")</f>
        <v>ม.1/10</v>
      </c>
      <c r="D387" s="3" t="str">
        <f>IFERROR(__xludf.DUMMYFUNCTION("""COMPUTED_VALUE"""),"อก.1/10")</f>
        <v>อก.1/10</v>
      </c>
      <c r="E387" s="2" t="str">
        <f>IFERROR(__xludf.DUMMYFUNCTION("""COMPUTED_VALUE"""),"หญิง")</f>
        <v>หญิง</v>
      </c>
      <c r="F387" s="5" t="str">
        <f>IFERROR(__xludf.DUMMYFUNCTION("""COMPUTED_VALUE"""),"https://azizstan.net/student_image/26678.jpg")</f>
        <v>https://azizstan.net/student_image/26678.jpg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 t="str">
        <f>IFERROR(__xludf.DUMMYFUNCTION("""COMPUTED_VALUE"""),"26681")</f>
        <v>26681</v>
      </c>
      <c r="B388" s="3" t="str">
        <f>IFERROR(__xludf.DUMMYFUNCTION("""COMPUTED_VALUE"""),"ด.ญ.ฮัลวา มะสัน")</f>
        <v>ด.ญ.ฮัลวา มะสัน</v>
      </c>
      <c r="C388" s="3" t="str">
        <f>IFERROR(__xludf.DUMMYFUNCTION("""COMPUTED_VALUE"""),"ม.1/10")</f>
        <v>ม.1/10</v>
      </c>
      <c r="D388" s="3" t="str">
        <f>IFERROR(__xludf.DUMMYFUNCTION("""COMPUTED_VALUE"""),"อก.1/10")</f>
        <v>อก.1/10</v>
      </c>
      <c r="E388" s="2" t="str">
        <f>IFERROR(__xludf.DUMMYFUNCTION("""COMPUTED_VALUE"""),"หญิง")</f>
        <v>หญิง</v>
      </c>
      <c r="F388" s="5" t="str">
        <f>IFERROR(__xludf.DUMMYFUNCTION("""COMPUTED_VALUE"""),"https://azizstan.net/student_image/26681.jpg")</f>
        <v>https://azizstan.net/student_image/26681.jpg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 t="str">
        <f>IFERROR(__xludf.DUMMYFUNCTION("""COMPUTED_VALUE"""),"26049")</f>
        <v>26049</v>
      </c>
      <c r="B389" s="3" t="str">
        <f>IFERROR(__xludf.DUMMYFUNCTION("""COMPUTED_VALUE"""),"ด.ช.ฮาซิก นินวน")</f>
        <v>ด.ช.ฮาซิก นินวน</v>
      </c>
      <c r="C389" s="3" t="str">
        <f>IFERROR(__xludf.DUMMYFUNCTION("""COMPUTED_VALUE"""),"ม.1/11")</f>
        <v>ม.1/11</v>
      </c>
      <c r="D389" s="3" t="str">
        <f>IFERROR(__xludf.DUMMYFUNCTION("""COMPUTED_VALUE"""),"อก.1/11")</f>
        <v>อก.1/11</v>
      </c>
      <c r="E389" s="2" t="str">
        <f>IFERROR(__xludf.DUMMYFUNCTION("""COMPUTED_VALUE"""),"ชาย")</f>
        <v>ชาย</v>
      </c>
      <c r="F389" s="5" t="str">
        <f>IFERROR(__xludf.DUMMYFUNCTION("""COMPUTED_VALUE"""),"https://azizstan.net/student_image/26049.jpg")</f>
        <v>https://azizstan.net/student_image/26049.jpg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 t="str">
        <f>IFERROR(__xludf.DUMMYFUNCTION("""COMPUTED_VALUE"""),"26065")</f>
        <v>26065</v>
      </c>
      <c r="B390" s="3" t="str">
        <f>IFERROR(__xludf.DUMMYFUNCTION("""COMPUTED_VALUE"""),"ด.ช.อาดัม เจะเลง")</f>
        <v>ด.ช.อาดัม เจะเลง</v>
      </c>
      <c r="C390" s="3" t="str">
        <f>IFERROR(__xludf.DUMMYFUNCTION("""COMPUTED_VALUE"""),"ม.1/11")</f>
        <v>ม.1/11</v>
      </c>
      <c r="D390" s="3" t="str">
        <f>IFERROR(__xludf.DUMMYFUNCTION("""COMPUTED_VALUE"""),"อก.1/11")</f>
        <v>อก.1/11</v>
      </c>
      <c r="E390" s="2" t="str">
        <f>IFERROR(__xludf.DUMMYFUNCTION("""COMPUTED_VALUE"""),"ชาย")</f>
        <v>ชาย</v>
      </c>
      <c r="F390" s="5" t="str">
        <f>IFERROR(__xludf.DUMMYFUNCTION("""COMPUTED_VALUE"""),"https://azizstan.net/student_image/26065.jpg")</f>
        <v>https://azizstan.net/student_image/26065.jpg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 t="str">
        <f>IFERROR(__xludf.DUMMYFUNCTION("""COMPUTED_VALUE"""),"26079")</f>
        <v>26079</v>
      </c>
      <c r="B391" s="3" t="str">
        <f>IFERROR(__xludf.DUMMYFUNCTION("""COMPUTED_VALUE"""),"ด.ช.มาลิค มูนะ")</f>
        <v>ด.ช.มาลิค มูนะ</v>
      </c>
      <c r="C391" s="3" t="str">
        <f>IFERROR(__xludf.DUMMYFUNCTION("""COMPUTED_VALUE"""),"ม.1/11")</f>
        <v>ม.1/11</v>
      </c>
      <c r="D391" s="3" t="str">
        <f>IFERROR(__xludf.DUMMYFUNCTION("""COMPUTED_VALUE"""),"อก.1/11")</f>
        <v>อก.1/11</v>
      </c>
      <c r="E391" s="2" t="str">
        <f>IFERROR(__xludf.DUMMYFUNCTION("""COMPUTED_VALUE"""),"ชาย")</f>
        <v>ชาย</v>
      </c>
      <c r="F391" s="5" t="str">
        <f>IFERROR(__xludf.DUMMYFUNCTION("""COMPUTED_VALUE"""),"https://azizstan.net/student_image/26079.jpg")</f>
        <v>https://azizstan.net/student_image/26079.jpg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 t="str">
        <f>IFERROR(__xludf.DUMMYFUNCTION("""COMPUTED_VALUE"""),"26088")</f>
        <v>26088</v>
      </c>
      <c r="B392" s="3" t="str">
        <f>IFERROR(__xludf.DUMMYFUNCTION("""COMPUTED_VALUE"""),"ด.ช.สุรนนท์ ขะมิมะ")</f>
        <v>ด.ช.สุรนนท์ ขะมิมะ</v>
      </c>
      <c r="C392" s="3" t="str">
        <f>IFERROR(__xludf.DUMMYFUNCTION("""COMPUTED_VALUE"""),"ม.1/11")</f>
        <v>ม.1/11</v>
      </c>
      <c r="D392" s="3" t="str">
        <f>IFERROR(__xludf.DUMMYFUNCTION("""COMPUTED_VALUE"""),"อก.1/11")</f>
        <v>อก.1/11</v>
      </c>
      <c r="E392" s="2" t="str">
        <f>IFERROR(__xludf.DUMMYFUNCTION("""COMPUTED_VALUE"""),"ชาย")</f>
        <v>ชาย</v>
      </c>
      <c r="F392" s="5" t="str">
        <f>IFERROR(__xludf.DUMMYFUNCTION("""COMPUTED_VALUE"""),"https://azizstan.net/student_image/26088.jpg")</f>
        <v>https://azizstan.net/student_image/26088.jpg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 t="str">
        <f>IFERROR(__xludf.DUMMYFUNCTION("""COMPUTED_VALUE"""),"26091")</f>
        <v>26091</v>
      </c>
      <c r="B393" s="3" t="str">
        <f>IFERROR(__xludf.DUMMYFUNCTION("""COMPUTED_VALUE"""),"ด.ช.ฟาดีลัน ยูโซะ")</f>
        <v>ด.ช.ฟาดีลัน ยูโซะ</v>
      </c>
      <c r="C393" s="3" t="str">
        <f>IFERROR(__xludf.DUMMYFUNCTION("""COMPUTED_VALUE"""),"ม.1/11")</f>
        <v>ม.1/11</v>
      </c>
      <c r="D393" s="3" t="str">
        <f>IFERROR(__xludf.DUMMYFUNCTION("""COMPUTED_VALUE"""),"อก.1/11")</f>
        <v>อก.1/11</v>
      </c>
      <c r="E393" s="2" t="str">
        <f>IFERROR(__xludf.DUMMYFUNCTION("""COMPUTED_VALUE"""),"ชาย")</f>
        <v>ชาย</v>
      </c>
      <c r="F393" s="5" t="str">
        <f>IFERROR(__xludf.DUMMYFUNCTION("""COMPUTED_VALUE"""),"https://azizstan.net/student_image/26091.jpg")</f>
        <v>https://azizstan.net/student_image/26091.jpg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 t="str">
        <f>IFERROR(__xludf.DUMMYFUNCTION("""COMPUTED_VALUE"""),"26094")</f>
        <v>26094</v>
      </c>
      <c r="B394" s="3" t="str">
        <f>IFERROR(__xludf.DUMMYFUNCTION("""COMPUTED_VALUE"""),"ด.ญ.ฮัซวานี หะยียูนุ")</f>
        <v>ด.ญ.ฮัซวานี หะยียูนุ</v>
      </c>
      <c r="C394" s="3" t="str">
        <f>IFERROR(__xludf.DUMMYFUNCTION("""COMPUTED_VALUE"""),"ม.1/11")</f>
        <v>ม.1/11</v>
      </c>
      <c r="D394" s="3" t="str">
        <f>IFERROR(__xludf.DUMMYFUNCTION("""COMPUTED_VALUE"""),"อก.1/11")</f>
        <v>อก.1/11</v>
      </c>
      <c r="E394" s="2" t="str">
        <f>IFERROR(__xludf.DUMMYFUNCTION("""COMPUTED_VALUE"""),"หญิง")</f>
        <v>หญิง</v>
      </c>
      <c r="F394" s="5" t="str">
        <f>IFERROR(__xludf.DUMMYFUNCTION("""COMPUTED_VALUE"""),"https://azizstan.net/student_image/26094.jpg")</f>
        <v>https://azizstan.net/student_image/26094.jpg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" t="str">
        <f>IFERROR(__xludf.DUMMYFUNCTION("""COMPUTED_VALUE"""),"26103")</f>
        <v>26103</v>
      </c>
      <c r="B395" s="3" t="str">
        <f>IFERROR(__xludf.DUMMYFUNCTION("""COMPUTED_VALUE"""),"ด.ญ.วันนูรนาดา หะยีแวจิ")</f>
        <v>ด.ญ.วันนูรนาดา หะยีแวจิ</v>
      </c>
      <c r="C395" s="3" t="str">
        <f>IFERROR(__xludf.DUMMYFUNCTION("""COMPUTED_VALUE"""),"ม.1/11")</f>
        <v>ม.1/11</v>
      </c>
      <c r="D395" s="3" t="str">
        <f>IFERROR(__xludf.DUMMYFUNCTION("""COMPUTED_VALUE"""),"อก.1/11")</f>
        <v>อก.1/11</v>
      </c>
      <c r="E395" s="2" t="str">
        <f>IFERROR(__xludf.DUMMYFUNCTION("""COMPUTED_VALUE"""),"หญิง")</f>
        <v>หญิง</v>
      </c>
      <c r="F395" s="5" t="str">
        <f>IFERROR(__xludf.DUMMYFUNCTION("""COMPUTED_VALUE"""),"https://azizstan.net/student_image/26103.jpg")</f>
        <v>https://azizstan.net/student_image/26103.jpg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" t="str">
        <f>IFERROR(__xludf.DUMMYFUNCTION("""COMPUTED_VALUE"""),"26105")</f>
        <v>26105</v>
      </c>
      <c r="B396" s="3" t="str">
        <f>IFERROR(__xludf.DUMMYFUNCTION("""COMPUTED_VALUE"""),"ด.ญ.อัลวานี สาและ")</f>
        <v>ด.ญ.อัลวานี สาและ</v>
      </c>
      <c r="C396" s="3" t="str">
        <f>IFERROR(__xludf.DUMMYFUNCTION("""COMPUTED_VALUE"""),"ม.1/11")</f>
        <v>ม.1/11</v>
      </c>
      <c r="D396" s="3" t="str">
        <f>IFERROR(__xludf.DUMMYFUNCTION("""COMPUTED_VALUE"""),"อก.1/11")</f>
        <v>อก.1/11</v>
      </c>
      <c r="E396" s="2" t="str">
        <f>IFERROR(__xludf.DUMMYFUNCTION("""COMPUTED_VALUE"""),"หญิง")</f>
        <v>หญิง</v>
      </c>
      <c r="F396" s="5" t="str">
        <f>IFERROR(__xludf.DUMMYFUNCTION("""COMPUTED_VALUE"""),"https://azizstan.net/student_image/26105.jpg")</f>
        <v>https://azizstan.net/student_image/26105.jpg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" t="str">
        <f>IFERROR(__xludf.DUMMYFUNCTION("""COMPUTED_VALUE"""),"26127")</f>
        <v>26127</v>
      </c>
      <c r="B397" s="3" t="str">
        <f>IFERROR(__xludf.DUMMYFUNCTION("""COMPUTED_VALUE"""),"ด.ญ.วันนูรฮัลวา แวมามะ")</f>
        <v>ด.ญ.วันนูรฮัลวา แวมามะ</v>
      </c>
      <c r="C397" s="3" t="str">
        <f>IFERROR(__xludf.DUMMYFUNCTION("""COMPUTED_VALUE"""),"ม.1/11")</f>
        <v>ม.1/11</v>
      </c>
      <c r="D397" s="3" t="str">
        <f>IFERROR(__xludf.DUMMYFUNCTION("""COMPUTED_VALUE"""),"อก.1/11")</f>
        <v>อก.1/11</v>
      </c>
      <c r="E397" s="2" t="str">
        <f>IFERROR(__xludf.DUMMYFUNCTION("""COMPUTED_VALUE"""),"หญิง")</f>
        <v>หญิง</v>
      </c>
      <c r="F397" s="5" t="str">
        <f>IFERROR(__xludf.DUMMYFUNCTION("""COMPUTED_VALUE"""),"https://azizstan.net/student_image/26127.jpg")</f>
        <v>https://azizstan.net/student_image/26127.jpg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" t="str">
        <f>IFERROR(__xludf.DUMMYFUNCTION("""COMPUTED_VALUE"""),"26128")</f>
        <v>26128</v>
      </c>
      <c r="B398" s="3" t="str">
        <f>IFERROR(__xludf.DUMMYFUNCTION("""COMPUTED_VALUE"""),"ด.ญ.นูรีน อุปมา")</f>
        <v>ด.ญ.นูรีน อุปมา</v>
      </c>
      <c r="C398" s="3" t="str">
        <f>IFERROR(__xludf.DUMMYFUNCTION("""COMPUTED_VALUE"""),"ม.1/11")</f>
        <v>ม.1/11</v>
      </c>
      <c r="D398" s="3" t="str">
        <f>IFERROR(__xludf.DUMMYFUNCTION("""COMPUTED_VALUE"""),"อก.1/11")</f>
        <v>อก.1/11</v>
      </c>
      <c r="E398" s="2" t="str">
        <f>IFERROR(__xludf.DUMMYFUNCTION("""COMPUTED_VALUE"""),"หญิง")</f>
        <v>หญิง</v>
      </c>
      <c r="F398" s="5" t="str">
        <f>IFERROR(__xludf.DUMMYFUNCTION("""COMPUTED_VALUE"""),"https://azizstan.net/student_image/26128.jpg")</f>
        <v>https://azizstan.net/student_image/26128.jpg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" t="str">
        <f>IFERROR(__xludf.DUMMYFUNCTION("""COMPUTED_VALUE"""),"26141")</f>
        <v>26141</v>
      </c>
      <c r="B399" s="3" t="str">
        <f>IFERROR(__xludf.DUMMYFUNCTION("""COMPUTED_VALUE"""),"ด.ญ.นุรลัยลา ล่ากูด")</f>
        <v>ด.ญ.นุรลัยลา ล่ากูด</v>
      </c>
      <c r="C399" s="3" t="str">
        <f>IFERROR(__xludf.DUMMYFUNCTION("""COMPUTED_VALUE"""),"ม.1/11")</f>
        <v>ม.1/11</v>
      </c>
      <c r="D399" s="3" t="str">
        <f>IFERROR(__xludf.DUMMYFUNCTION("""COMPUTED_VALUE"""),"อก.1/11")</f>
        <v>อก.1/11</v>
      </c>
      <c r="E399" s="2" t="str">
        <f>IFERROR(__xludf.DUMMYFUNCTION("""COMPUTED_VALUE"""),"หญิง")</f>
        <v>หญิง</v>
      </c>
      <c r="F399" s="5" t="str">
        <f>IFERROR(__xludf.DUMMYFUNCTION("""COMPUTED_VALUE"""),"https://azizstan.net/student_image/26141.jpg")</f>
        <v>https://azizstan.net/student_image/26141.jpg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" t="str">
        <f>IFERROR(__xludf.DUMMYFUNCTION("""COMPUTED_VALUE"""),"26142")</f>
        <v>26142</v>
      </c>
      <c r="B400" s="3" t="str">
        <f>IFERROR(__xludf.DUMMYFUNCTION("""COMPUTED_VALUE"""),"ด.ญ.นัสรีน มังสมาน")</f>
        <v>ด.ญ.นัสรีน มังสมาน</v>
      </c>
      <c r="C400" s="3" t="str">
        <f>IFERROR(__xludf.DUMMYFUNCTION("""COMPUTED_VALUE"""),"ม.1/11")</f>
        <v>ม.1/11</v>
      </c>
      <c r="D400" s="3" t="str">
        <f>IFERROR(__xludf.DUMMYFUNCTION("""COMPUTED_VALUE"""),"อก.1/11")</f>
        <v>อก.1/11</v>
      </c>
      <c r="E400" s="2" t="str">
        <f>IFERROR(__xludf.DUMMYFUNCTION("""COMPUTED_VALUE"""),"หญิง")</f>
        <v>หญิง</v>
      </c>
      <c r="F400" s="5" t="str">
        <f>IFERROR(__xludf.DUMMYFUNCTION("""COMPUTED_VALUE"""),"https://azizstan.net/student_image/26142.jpg")</f>
        <v>https://azizstan.net/student_image/26142.jpg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" t="str">
        <f>IFERROR(__xludf.DUMMYFUNCTION("""COMPUTED_VALUE"""),"26144")</f>
        <v>26144</v>
      </c>
      <c r="B401" s="3" t="str">
        <f>IFERROR(__xludf.DUMMYFUNCTION("""COMPUTED_VALUE"""),"ด.ช.อับดุลดัยยาน อาแว")</f>
        <v>ด.ช.อับดุลดัยยาน อาแว</v>
      </c>
      <c r="C401" s="3" t="str">
        <f>IFERROR(__xludf.DUMMYFUNCTION("""COMPUTED_VALUE"""),"ม.1/11")</f>
        <v>ม.1/11</v>
      </c>
      <c r="D401" s="3" t="str">
        <f>IFERROR(__xludf.DUMMYFUNCTION("""COMPUTED_VALUE"""),"อก.1/11")</f>
        <v>อก.1/11</v>
      </c>
      <c r="E401" s="2" t="str">
        <f>IFERROR(__xludf.DUMMYFUNCTION("""COMPUTED_VALUE"""),"ชาย")</f>
        <v>ชาย</v>
      </c>
      <c r="F401" s="5" t="str">
        <f>IFERROR(__xludf.DUMMYFUNCTION("""COMPUTED_VALUE"""),"https://azizstan.net/student_image/26144.jpg")</f>
        <v>https://azizstan.net/student_image/26144.jpg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 t="str">
        <f>IFERROR(__xludf.DUMMYFUNCTION("""COMPUTED_VALUE"""),"26174")</f>
        <v>26174</v>
      </c>
      <c r="B402" s="3" t="str">
        <f>IFERROR(__xludf.DUMMYFUNCTION("""COMPUTED_VALUE"""),"ด.ญ.ดาเนีย ยูโซะ")</f>
        <v>ด.ญ.ดาเนีย ยูโซะ</v>
      </c>
      <c r="C402" s="3" t="str">
        <f>IFERROR(__xludf.DUMMYFUNCTION("""COMPUTED_VALUE"""),"ม.1/11")</f>
        <v>ม.1/11</v>
      </c>
      <c r="D402" s="3" t="str">
        <f>IFERROR(__xludf.DUMMYFUNCTION("""COMPUTED_VALUE"""),"อก.1/11")</f>
        <v>อก.1/11</v>
      </c>
      <c r="E402" s="2" t="str">
        <f>IFERROR(__xludf.DUMMYFUNCTION("""COMPUTED_VALUE"""),"หญิง")</f>
        <v>หญิง</v>
      </c>
      <c r="F402" s="5" t="str">
        <f>IFERROR(__xludf.DUMMYFUNCTION("""COMPUTED_VALUE"""),"https://azizstan.net/student_image/26174.jpg")</f>
        <v>https://azizstan.net/student_image/26174.jpg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 t="str">
        <f>IFERROR(__xludf.DUMMYFUNCTION("""COMPUTED_VALUE"""),"26185")</f>
        <v>26185</v>
      </c>
      <c r="B403" s="3" t="str">
        <f>IFERROR(__xludf.DUMMYFUNCTION("""COMPUTED_VALUE"""),"ด.ญ.นาตาชา พันธุสะ")</f>
        <v>ด.ญ.นาตาชา พันธุสะ</v>
      </c>
      <c r="C403" s="3" t="str">
        <f>IFERROR(__xludf.DUMMYFUNCTION("""COMPUTED_VALUE"""),"ม.1/11")</f>
        <v>ม.1/11</v>
      </c>
      <c r="D403" s="3" t="str">
        <f>IFERROR(__xludf.DUMMYFUNCTION("""COMPUTED_VALUE"""),"อก.1/11")</f>
        <v>อก.1/11</v>
      </c>
      <c r="E403" s="2" t="str">
        <f>IFERROR(__xludf.DUMMYFUNCTION("""COMPUTED_VALUE"""),"หญิง")</f>
        <v>หญิง</v>
      </c>
      <c r="F403" s="5" t="str">
        <f>IFERROR(__xludf.DUMMYFUNCTION("""COMPUTED_VALUE"""),"https://azizstan.net/student_image/26185.jpg")</f>
        <v>https://azizstan.net/student_image/26185.jpg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 t="str">
        <f>IFERROR(__xludf.DUMMYFUNCTION("""COMPUTED_VALUE"""),"26186")</f>
        <v>26186</v>
      </c>
      <c r="B404" s="3" t="str">
        <f>IFERROR(__xludf.DUMMYFUNCTION("""COMPUTED_VALUE"""),"ด.ญ.ธัญมล แหละหมัน")</f>
        <v>ด.ญ.ธัญมล แหละหมัน</v>
      </c>
      <c r="C404" s="3" t="str">
        <f>IFERROR(__xludf.DUMMYFUNCTION("""COMPUTED_VALUE"""),"ม.1/11")</f>
        <v>ม.1/11</v>
      </c>
      <c r="D404" s="3" t="str">
        <f>IFERROR(__xludf.DUMMYFUNCTION("""COMPUTED_VALUE"""),"อก.1/11")</f>
        <v>อก.1/11</v>
      </c>
      <c r="E404" s="2" t="str">
        <f>IFERROR(__xludf.DUMMYFUNCTION("""COMPUTED_VALUE"""),"หญิง")</f>
        <v>หญิง</v>
      </c>
      <c r="F404" s="5" t="str">
        <f>IFERROR(__xludf.DUMMYFUNCTION("""COMPUTED_VALUE"""),"https://azizstan.net/student_image/26186.jpg")</f>
        <v>https://azizstan.net/student_image/26186.jpg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 t="str">
        <f>IFERROR(__xludf.DUMMYFUNCTION("""COMPUTED_VALUE"""),"26194")</f>
        <v>26194</v>
      </c>
      <c r="B405" s="3" t="str">
        <f>IFERROR(__xludf.DUMMYFUNCTION("""COMPUTED_VALUE"""),"ด.ญ.ญาดา ชูสาเหาะ")</f>
        <v>ด.ญ.ญาดา ชูสาเหาะ</v>
      </c>
      <c r="C405" s="3" t="str">
        <f>IFERROR(__xludf.DUMMYFUNCTION("""COMPUTED_VALUE"""),"ม.1/11")</f>
        <v>ม.1/11</v>
      </c>
      <c r="D405" s="3" t="str">
        <f>IFERROR(__xludf.DUMMYFUNCTION("""COMPUTED_VALUE"""),"อก.1/11")</f>
        <v>อก.1/11</v>
      </c>
      <c r="E405" s="2" t="str">
        <f>IFERROR(__xludf.DUMMYFUNCTION("""COMPUTED_VALUE"""),"หญิง")</f>
        <v>หญิง</v>
      </c>
      <c r="F405" s="5" t="str">
        <f>IFERROR(__xludf.DUMMYFUNCTION("""COMPUTED_VALUE"""),"https://azizstan.net/student_image/26194.jpg")</f>
        <v>https://azizstan.net/student_image/26194.jpg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 t="str">
        <f>IFERROR(__xludf.DUMMYFUNCTION("""COMPUTED_VALUE"""),"26205")</f>
        <v>26205</v>
      </c>
      <c r="B406" s="3" t="str">
        <f>IFERROR(__xludf.DUMMYFUNCTION("""COMPUTED_VALUE"""),"ด.ญ.ฟิรดาวส์ หะยีสาแม")</f>
        <v>ด.ญ.ฟิรดาวส์ หะยีสาแม</v>
      </c>
      <c r="C406" s="3" t="str">
        <f>IFERROR(__xludf.DUMMYFUNCTION("""COMPUTED_VALUE"""),"ม.1/11")</f>
        <v>ม.1/11</v>
      </c>
      <c r="D406" s="3" t="str">
        <f>IFERROR(__xludf.DUMMYFUNCTION("""COMPUTED_VALUE"""),"อก.1/11")</f>
        <v>อก.1/11</v>
      </c>
      <c r="E406" s="2" t="str">
        <f>IFERROR(__xludf.DUMMYFUNCTION("""COMPUTED_VALUE"""),"หญิง")</f>
        <v>หญิง</v>
      </c>
      <c r="F406" s="5" t="str">
        <f>IFERROR(__xludf.DUMMYFUNCTION("""COMPUTED_VALUE"""),"https://azizstan.net/student_image/26205.jpg")</f>
        <v>https://azizstan.net/student_image/26205.jpg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 t="str">
        <f>IFERROR(__xludf.DUMMYFUNCTION("""COMPUTED_VALUE"""),"26217")</f>
        <v>26217</v>
      </c>
      <c r="B407" s="3" t="str">
        <f>IFERROR(__xludf.DUMMYFUNCTION("""COMPUTED_VALUE"""),"ด.ญ.ตัสนิน แขวงบู")</f>
        <v>ด.ญ.ตัสนิน แขวงบู</v>
      </c>
      <c r="C407" s="3" t="str">
        <f>IFERROR(__xludf.DUMMYFUNCTION("""COMPUTED_VALUE"""),"ม.1/11")</f>
        <v>ม.1/11</v>
      </c>
      <c r="D407" s="3" t="str">
        <f>IFERROR(__xludf.DUMMYFUNCTION("""COMPUTED_VALUE"""),"อก.1/11")</f>
        <v>อก.1/11</v>
      </c>
      <c r="E407" s="2" t="str">
        <f>IFERROR(__xludf.DUMMYFUNCTION("""COMPUTED_VALUE"""),"หญิง")</f>
        <v>หญิง</v>
      </c>
      <c r="F407" s="5" t="str">
        <f>IFERROR(__xludf.DUMMYFUNCTION("""COMPUTED_VALUE"""),"https://azizstan.net/student_image/26217.jpg")</f>
        <v>https://azizstan.net/student_image/26217.jpg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" t="str">
        <f>IFERROR(__xludf.DUMMYFUNCTION("""COMPUTED_VALUE"""),"26234")</f>
        <v>26234</v>
      </c>
      <c r="B408" s="3" t="str">
        <f>IFERROR(__xludf.DUMMYFUNCTION("""COMPUTED_VALUE"""),"ด.ช.นาบิล สตาปอ")</f>
        <v>ด.ช.นาบิล สตาปอ</v>
      </c>
      <c r="C408" s="3" t="str">
        <f>IFERROR(__xludf.DUMMYFUNCTION("""COMPUTED_VALUE"""),"ม.1/11")</f>
        <v>ม.1/11</v>
      </c>
      <c r="D408" s="3" t="str">
        <f>IFERROR(__xludf.DUMMYFUNCTION("""COMPUTED_VALUE"""),"อก.1/11")</f>
        <v>อก.1/11</v>
      </c>
      <c r="E408" s="2" t="str">
        <f>IFERROR(__xludf.DUMMYFUNCTION("""COMPUTED_VALUE"""),"ชาย")</f>
        <v>ชาย</v>
      </c>
      <c r="F408" s="5" t="str">
        <f>IFERROR(__xludf.DUMMYFUNCTION("""COMPUTED_VALUE"""),"https://azizstan.net/student_image/26234.jpg")</f>
        <v>https://azizstan.net/student_image/26234.jpg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" t="str">
        <f>IFERROR(__xludf.DUMMYFUNCTION("""COMPUTED_VALUE"""),"26239")</f>
        <v>26239</v>
      </c>
      <c r="B409" s="3" t="str">
        <f>IFERROR(__xludf.DUMMYFUNCTION("""COMPUTED_VALUE"""),"ด.ญ.นุรวีอาม อาลีมามะ")</f>
        <v>ด.ญ.นุรวีอาม อาลีมามะ</v>
      </c>
      <c r="C409" s="3" t="str">
        <f>IFERROR(__xludf.DUMMYFUNCTION("""COMPUTED_VALUE"""),"ม.1/11")</f>
        <v>ม.1/11</v>
      </c>
      <c r="D409" s="3" t="str">
        <f>IFERROR(__xludf.DUMMYFUNCTION("""COMPUTED_VALUE"""),"อก.1/11")</f>
        <v>อก.1/11</v>
      </c>
      <c r="E409" s="2" t="str">
        <f>IFERROR(__xludf.DUMMYFUNCTION("""COMPUTED_VALUE"""),"หญิง")</f>
        <v>หญิง</v>
      </c>
      <c r="F409" s="5" t="str">
        <f>IFERROR(__xludf.DUMMYFUNCTION("""COMPUTED_VALUE"""),"https://azizstan.net/student_image/26239.jpg")</f>
        <v>https://azizstan.net/student_image/26239.jpg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" t="str">
        <f>IFERROR(__xludf.DUMMYFUNCTION("""COMPUTED_VALUE"""),"26268")</f>
        <v>26268</v>
      </c>
      <c r="B410" s="3" t="str">
        <f>IFERROR(__xludf.DUMMYFUNCTION("""COMPUTED_VALUE"""),"ด.ญ.นูรไลลา บาเหม")</f>
        <v>ด.ญ.นูรไลลา บาเหม</v>
      </c>
      <c r="C410" s="3" t="str">
        <f>IFERROR(__xludf.DUMMYFUNCTION("""COMPUTED_VALUE"""),"ม.1/11")</f>
        <v>ม.1/11</v>
      </c>
      <c r="D410" s="3" t="str">
        <f>IFERROR(__xludf.DUMMYFUNCTION("""COMPUTED_VALUE"""),"อก.1/11")</f>
        <v>อก.1/11</v>
      </c>
      <c r="E410" s="2" t="str">
        <f>IFERROR(__xludf.DUMMYFUNCTION("""COMPUTED_VALUE"""),"หญิง")</f>
        <v>หญิง</v>
      </c>
      <c r="F410" s="5" t="str">
        <f>IFERROR(__xludf.DUMMYFUNCTION("""COMPUTED_VALUE"""),"https://azizstan.net/student_image/26268.jpg")</f>
        <v>https://azizstan.net/student_image/26268.jpg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" t="str">
        <f>IFERROR(__xludf.DUMMYFUNCTION("""COMPUTED_VALUE"""),"26289")</f>
        <v>26289</v>
      </c>
      <c r="B411" s="3" t="str">
        <f>IFERROR(__xludf.DUMMYFUNCTION("""COMPUTED_VALUE"""),"ด.ญ.นุรอานิส ดอเลาะ")</f>
        <v>ด.ญ.นุรอานิส ดอเลาะ</v>
      </c>
      <c r="C411" s="3" t="str">
        <f>IFERROR(__xludf.DUMMYFUNCTION("""COMPUTED_VALUE"""),"ม.1/11")</f>
        <v>ม.1/11</v>
      </c>
      <c r="D411" s="3" t="str">
        <f>IFERROR(__xludf.DUMMYFUNCTION("""COMPUTED_VALUE"""),"อก.1/11")</f>
        <v>อก.1/11</v>
      </c>
      <c r="E411" s="2" t="str">
        <f>IFERROR(__xludf.DUMMYFUNCTION("""COMPUTED_VALUE"""),"หญิง")</f>
        <v>หญิง</v>
      </c>
      <c r="F411" s="5" t="str">
        <f>IFERROR(__xludf.DUMMYFUNCTION("""COMPUTED_VALUE"""),"https://azizstan.net/student_image/26289.jpg")</f>
        <v>https://azizstan.net/student_image/26289.jpg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" t="str">
        <f>IFERROR(__xludf.DUMMYFUNCTION("""COMPUTED_VALUE"""),"26290")</f>
        <v>26290</v>
      </c>
      <c r="B412" s="3" t="str">
        <f>IFERROR(__xludf.DUMMYFUNCTION("""COMPUTED_VALUE"""),"ด.ญ.นูรอัสลีน เจ๊ะโซะ")</f>
        <v>ด.ญ.นูรอัสลีน เจ๊ะโซะ</v>
      </c>
      <c r="C412" s="3" t="str">
        <f>IFERROR(__xludf.DUMMYFUNCTION("""COMPUTED_VALUE"""),"ม.1/11")</f>
        <v>ม.1/11</v>
      </c>
      <c r="D412" s="3" t="str">
        <f>IFERROR(__xludf.DUMMYFUNCTION("""COMPUTED_VALUE"""),"อก.1/11")</f>
        <v>อก.1/11</v>
      </c>
      <c r="E412" s="2" t="str">
        <f>IFERROR(__xludf.DUMMYFUNCTION("""COMPUTED_VALUE"""),"หญิง")</f>
        <v>หญิง</v>
      </c>
      <c r="F412" s="5" t="str">
        <f>IFERROR(__xludf.DUMMYFUNCTION("""COMPUTED_VALUE"""),"https://azizstan.net/student_image/26290.jpg")</f>
        <v>https://azizstan.net/student_image/26290.jpg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 t="str">
        <f>IFERROR(__xludf.DUMMYFUNCTION("""COMPUTED_VALUE"""),"26297")</f>
        <v>26297</v>
      </c>
      <c r="B413" s="3" t="str">
        <f>IFERROR(__xludf.DUMMYFUNCTION("""COMPUTED_VALUE"""),"ด.ญ.ไลลา อาแว")</f>
        <v>ด.ญ.ไลลา อาแว</v>
      </c>
      <c r="C413" s="3" t="str">
        <f>IFERROR(__xludf.DUMMYFUNCTION("""COMPUTED_VALUE"""),"ม.1/11")</f>
        <v>ม.1/11</v>
      </c>
      <c r="D413" s="3" t="str">
        <f>IFERROR(__xludf.DUMMYFUNCTION("""COMPUTED_VALUE"""),"อก.1/11")</f>
        <v>อก.1/11</v>
      </c>
      <c r="E413" s="2" t="str">
        <f>IFERROR(__xludf.DUMMYFUNCTION("""COMPUTED_VALUE"""),"หญิง")</f>
        <v>หญิง</v>
      </c>
      <c r="F413" s="5" t="str">
        <f>IFERROR(__xludf.DUMMYFUNCTION("""COMPUTED_VALUE"""),"https://azizstan.net/student_image/26297.jpg")</f>
        <v>https://azizstan.net/student_image/26297.jpg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 t="str">
        <f>IFERROR(__xludf.DUMMYFUNCTION("""COMPUTED_VALUE"""),"26337")</f>
        <v>26337</v>
      </c>
      <c r="B414" s="3" t="str">
        <f>IFERROR(__xludf.DUMMYFUNCTION("""COMPUTED_VALUE"""),"ด.ญ.ซีตีข้อดีย๊ะ อำหมัด")</f>
        <v>ด.ญ.ซีตีข้อดีย๊ะ อำหมัด</v>
      </c>
      <c r="C414" s="3" t="str">
        <f>IFERROR(__xludf.DUMMYFUNCTION("""COMPUTED_VALUE"""),"ม.1/11")</f>
        <v>ม.1/11</v>
      </c>
      <c r="D414" s="3" t="str">
        <f>IFERROR(__xludf.DUMMYFUNCTION("""COMPUTED_VALUE"""),"อก.1/11")</f>
        <v>อก.1/11</v>
      </c>
      <c r="E414" s="2" t="str">
        <f>IFERROR(__xludf.DUMMYFUNCTION("""COMPUTED_VALUE"""),"หญิง")</f>
        <v>หญิง</v>
      </c>
      <c r="F414" s="5" t="str">
        <f>IFERROR(__xludf.DUMMYFUNCTION("""COMPUTED_VALUE"""),"https://azizstan.net/student_image/26337.jpg")</f>
        <v>https://azizstan.net/student_image/26337.jpg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 t="str">
        <f>IFERROR(__xludf.DUMMYFUNCTION("""COMPUTED_VALUE"""),"26341")</f>
        <v>26341</v>
      </c>
      <c r="B415" s="3" t="str">
        <f>IFERROR(__xludf.DUMMYFUNCTION("""COMPUTED_VALUE"""),"ด.ญ.อีมาน แวดีซา")</f>
        <v>ด.ญ.อีมาน แวดีซา</v>
      </c>
      <c r="C415" s="3" t="str">
        <f>IFERROR(__xludf.DUMMYFUNCTION("""COMPUTED_VALUE"""),"ม.1/11")</f>
        <v>ม.1/11</v>
      </c>
      <c r="D415" s="3" t="str">
        <f>IFERROR(__xludf.DUMMYFUNCTION("""COMPUTED_VALUE"""),"อก.1/11")</f>
        <v>อก.1/11</v>
      </c>
      <c r="E415" s="2" t="str">
        <f>IFERROR(__xludf.DUMMYFUNCTION("""COMPUTED_VALUE"""),"หญิง")</f>
        <v>หญิง</v>
      </c>
      <c r="F415" s="5" t="str">
        <f>IFERROR(__xludf.DUMMYFUNCTION("""COMPUTED_VALUE"""),"https://azizstan.net/student_image/26341.jpg")</f>
        <v>https://azizstan.net/student_image/26341.jpg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 t="str">
        <f>IFERROR(__xludf.DUMMYFUNCTION("""COMPUTED_VALUE"""),"26443")</f>
        <v>26443</v>
      </c>
      <c r="B416" s="3" t="str">
        <f>IFERROR(__xludf.DUMMYFUNCTION("""COMPUTED_VALUE"""),"ด.ญ.นุรฟิรดาวส์ อุมา")</f>
        <v>ด.ญ.นุรฟิรดาวส์ อุมา</v>
      </c>
      <c r="C416" s="3" t="str">
        <f>IFERROR(__xludf.DUMMYFUNCTION("""COMPUTED_VALUE"""),"ม.1/11")</f>
        <v>ม.1/11</v>
      </c>
      <c r="D416" s="3" t="str">
        <f>IFERROR(__xludf.DUMMYFUNCTION("""COMPUTED_VALUE"""),"อก.1/11")</f>
        <v>อก.1/11</v>
      </c>
      <c r="E416" s="2" t="str">
        <f>IFERROR(__xludf.DUMMYFUNCTION("""COMPUTED_VALUE"""),"หญิง")</f>
        <v>หญิง</v>
      </c>
      <c r="F416" s="5" t="str">
        <f>IFERROR(__xludf.DUMMYFUNCTION("""COMPUTED_VALUE"""),"https://azizstan.net/student_image/26443.jpg")</f>
        <v>https://azizstan.net/student_image/26443.jpg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 t="str">
        <f>IFERROR(__xludf.DUMMYFUNCTION("""COMPUTED_VALUE"""),"26444")</f>
        <v>26444</v>
      </c>
      <c r="B417" s="3" t="str">
        <f>IFERROR(__xludf.DUMMYFUNCTION("""COMPUTED_VALUE"""),"ด.ญ.ซัยดานี เส็นสะนา")</f>
        <v>ด.ญ.ซัยดานี เส็นสะนา</v>
      </c>
      <c r="C417" s="3" t="str">
        <f>IFERROR(__xludf.DUMMYFUNCTION("""COMPUTED_VALUE"""),"ม.1/11")</f>
        <v>ม.1/11</v>
      </c>
      <c r="D417" s="3" t="str">
        <f>IFERROR(__xludf.DUMMYFUNCTION("""COMPUTED_VALUE"""),"อก.1/11")</f>
        <v>อก.1/11</v>
      </c>
      <c r="E417" s="2" t="str">
        <f>IFERROR(__xludf.DUMMYFUNCTION("""COMPUTED_VALUE"""),"หญิง")</f>
        <v>หญิง</v>
      </c>
      <c r="F417" s="5" t="str">
        <f>IFERROR(__xludf.DUMMYFUNCTION("""COMPUTED_VALUE"""),"https://azizstan.net/student_image/26444.jpg")</f>
        <v>https://azizstan.net/student_image/26444.jpg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 t="str">
        <f>IFERROR(__xludf.DUMMYFUNCTION("""COMPUTED_VALUE"""),"26445")</f>
        <v>26445</v>
      </c>
      <c r="B418" s="3" t="str">
        <f>IFERROR(__xludf.DUMMYFUNCTION("""COMPUTED_VALUE"""),"ด.ญ.ซุลฟาร์ ปะจู")</f>
        <v>ด.ญ.ซุลฟาร์ ปะจู</v>
      </c>
      <c r="C418" s="3" t="str">
        <f>IFERROR(__xludf.DUMMYFUNCTION("""COMPUTED_VALUE"""),"ม.1/11")</f>
        <v>ม.1/11</v>
      </c>
      <c r="D418" s="3" t="str">
        <f>IFERROR(__xludf.DUMMYFUNCTION("""COMPUTED_VALUE"""),"อก.1/11")</f>
        <v>อก.1/11</v>
      </c>
      <c r="E418" s="2" t="str">
        <f>IFERROR(__xludf.DUMMYFUNCTION("""COMPUTED_VALUE"""),"หญิง")</f>
        <v>หญิง</v>
      </c>
      <c r="F418" s="5" t="str">
        <f>IFERROR(__xludf.DUMMYFUNCTION("""COMPUTED_VALUE"""),"https://azizstan.net/student_image/26445.jpg")</f>
        <v>https://azizstan.net/student_image/26445.jpg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 t="str">
        <f>IFERROR(__xludf.DUMMYFUNCTION("""COMPUTED_VALUE"""),"26505")</f>
        <v>26505</v>
      </c>
      <c r="B419" s="3" t="str">
        <f>IFERROR(__xludf.DUMMYFUNCTION("""COMPUTED_VALUE"""),"ด.ญ.ปวันรัตน์ ประสิทธิ์วณิช")</f>
        <v>ด.ญ.ปวันรัตน์ ประสิทธิ์วณิช</v>
      </c>
      <c r="C419" s="3" t="str">
        <f>IFERROR(__xludf.DUMMYFUNCTION("""COMPUTED_VALUE"""),"ม.1/11")</f>
        <v>ม.1/11</v>
      </c>
      <c r="D419" s="3" t="str">
        <f>IFERROR(__xludf.DUMMYFUNCTION("""COMPUTED_VALUE"""),"อก.1/11")</f>
        <v>อก.1/11</v>
      </c>
      <c r="E419" s="2" t="str">
        <f>IFERROR(__xludf.DUMMYFUNCTION("""COMPUTED_VALUE"""),"หญิง")</f>
        <v>หญิง</v>
      </c>
      <c r="F419" s="5" t="str">
        <f>IFERROR(__xludf.DUMMYFUNCTION("""COMPUTED_VALUE"""),"https://azizstan.net/student_image/26505.jpg")</f>
        <v>https://azizstan.net/student_image/26505.jpg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 t="str">
        <f>IFERROR(__xludf.DUMMYFUNCTION("""COMPUTED_VALUE"""),"26521")</f>
        <v>26521</v>
      </c>
      <c r="B420" s="3" t="str">
        <f>IFERROR(__xludf.DUMMYFUNCTION("""COMPUTED_VALUE"""),"ด.ญ.ณดาเวียร์ สุวามีน")</f>
        <v>ด.ญ.ณดาเวียร์ สุวามีน</v>
      </c>
      <c r="C420" s="3" t="str">
        <f>IFERROR(__xludf.DUMMYFUNCTION("""COMPUTED_VALUE"""),"ม.1/11")</f>
        <v>ม.1/11</v>
      </c>
      <c r="D420" s="3" t="str">
        <f>IFERROR(__xludf.DUMMYFUNCTION("""COMPUTED_VALUE"""),"อก.1/11")</f>
        <v>อก.1/11</v>
      </c>
      <c r="E420" s="2" t="str">
        <f>IFERROR(__xludf.DUMMYFUNCTION("""COMPUTED_VALUE"""),"หญิง")</f>
        <v>หญิง</v>
      </c>
      <c r="F420" s="5" t="str">
        <f>IFERROR(__xludf.DUMMYFUNCTION("""COMPUTED_VALUE"""),"https://azizstan.net/student_image/26521.jpg")</f>
        <v>https://azizstan.net/student_image/26521.jpg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 t="str">
        <f>IFERROR(__xludf.DUMMYFUNCTION("""COMPUTED_VALUE"""),"26721")</f>
        <v>26721</v>
      </c>
      <c r="B421" s="3" t="str">
        <f>IFERROR(__xludf.DUMMYFUNCTION("""COMPUTED_VALUE"""),"ด.ญ.ฮุสนี ลาเต๊ะ")</f>
        <v>ด.ญ.ฮุสนี ลาเต๊ะ</v>
      </c>
      <c r="C421" s="3" t="str">
        <f>IFERROR(__xludf.DUMMYFUNCTION("""COMPUTED_VALUE"""),"ม.1/11")</f>
        <v>ม.1/11</v>
      </c>
      <c r="D421" s="3" t="str">
        <f>IFERROR(__xludf.DUMMYFUNCTION("""COMPUTED_VALUE"""),"อก.1/11")</f>
        <v>อก.1/11</v>
      </c>
      <c r="E421" s="2" t="str">
        <f>IFERROR(__xludf.DUMMYFUNCTION("""COMPUTED_VALUE"""),"หญิง")</f>
        <v>หญิง</v>
      </c>
      <c r="F421" s="5" t="str">
        <f>IFERROR(__xludf.DUMMYFUNCTION("""COMPUTED_VALUE"""),"https://azizstan.net/student_image/26721.jpg")</f>
        <v>https://azizstan.net/student_image/26721.jpg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 t="str">
        <f>IFERROR(__xludf.DUMMYFUNCTION("""COMPUTED_VALUE"""),"26730")</f>
        <v>26730</v>
      </c>
      <c r="B422" s="3" t="str">
        <f>IFERROR(__xludf.DUMMYFUNCTION("""COMPUTED_VALUE"""),"ด.ญ.ซาฮีเราะห์ อุมา")</f>
        <v>ด.ญ.ซาฮีเราะห์ อุมา</v>
      </c>
      <c r="C422" s="3" t="str">
        <f>IFERROR(__xludf.DUMMYFUNCTION("""COMPUTED_VALUE"""),"ม.1/11")</f>
        <v>ม.1/11</v>
      </c>
      <c r="D422" s="3" t="str">
        <f>IFERROR(__xludf.DUMMYFUNCTION("""COMPUTED_VALUE"""),"อก.1/11")</f>
        <v>อก.1/11</v>
      </c>
      <c r="E422" s="2" t="str">
        <f>IFERROR(__xludf.DUMMYFUNCTION("""COMPUTED_VALUE"""),"หญิง")</f>
        <v>หญิง</v>
      </c>
      <c r="F422" s="5" t="str">
        <f>IFERROR(__xludf.DUMMYFUNCTION("""COMPUTED_VALUE"""),"https://azizstan.net/student_image/26730.jpg")</f>
        <v>https://azizstan.net/student_image/26730.jpg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 t="str">
        <f>IFERROR(__xludf.DUMMYFUNCTION("""COMPUTED_VALUE"""),"26763")</f>
        <v>26763</v>
      </c>
      <c r="B423" s="3" t="str">
        <f>IFERROR(__xludf.DUMMYFUNCTION("""COMPUTED_VALUE"""),"ด.ญ.นูรฟีดา อุมา")</f>
        <v>ด.ญ.นูรฟีดา อุมา</v>
      </c>
      <c r="C423" s="3" t="str">
        <f>IFERROR(__xludf.DUMMYFUNCTION("""COMPUTED_VALUE"""),"ม.1/11")</f>
        <v>ม.1/11</v>
      </c>
      <c r="D423" s="3" t="str">
        <f>IFERROR(__xludf.DUMMYFUNCTION("""COMPUTED_VALUE"""),"อก.1/11")</f>
        <v>อก.1/11</v>
      </c>
      <c r="E423" s="2" t="str">
        <f>IFERROR(__xludf.DUMMYFUNCTION("""COMPUTED_VALUE"""),"หญิง")</f>
        <v>หญิง</v>
      </c>
      <c r="F423" s="5" t="str">
        <f>IFERROR(__xludf.DUMMYFUNCTION("""COMPUTED_VALUE"""),"https://azizstan.net/student_image/26763.jpg")</f>
        <v>https://azizstan.net/student_image/26763.jpg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 t="str">
        <f>IFERROR(__xludf.DUMMYFUNCTION("""COMPUTED_VALUE"""),"26807")</f>
        <v>26807</v>
      </c>
      <c r="B424" s="3" t="str">
        <f>IFERROR(__xludf.DUMMYFUNCTION("""COMPUTED_VALUE"""),"ด.ญ.ฟาตีฮะห์ เปาะลอ")</f>
        <v>ด.ญ.ฟาตีฮะห์ เปาะลอ</v>
      </c>
      <c r="C424" s="3" t="str">
        <f>IFERROR(__xludf.DUMMYFUNCTION("""COMPUTED_VALUE"""),"ม.1/11")</f>
        <v>ม.1/11</v>
      </c>
      <c r="D424" s="3" t="str">
        <f>IFERROR(__xludf.DUMMYFUNCTION("""COMPUTED_VALUE"""),"อก.1/11")</f>
        <v>อก.1/11</v>
      </c>
      <c r="E424" s="2" t="str">
        <f>IFERROR(__xludf.DUMMYFUNCTION("""COMPUTED_VALUE"""),"หญิง")</f>
        <v>หญิง</v>
      </c>
      <c r="F424" s="5" t="str">
        <f>IFERROR(__xludf.DUMMYFUNCTION("""COMPUTED_VALUE"""),"https://azizstan.net/student_image/26807.jpg")</f>
        <v>https://azizstan.net/student_image/26807.jpg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 t="str">
        <f>IFERROR(__xludf.DUMMYFUNCTION("""COMPUTED_VALUE"""),"26039")</f>
        <v>26039</v>
      </c>
      <c r="B425" s="3" t="str">
        <f>IFERROR(__xludf.DUMMYFUNCTION("""COMPUTED_VALUE"""),"ด.ญ.ซาฟีรีน ดอเส็ง")</f>
        <v>ด.ญ.ซาฟีรีน ดอเส็ง</v>
      </c>
      <c r="C425" s="3" t="str">
        <f>IFERROR(__xludf.DUMMYFUNCTION("""COMPUTED_VALUE"""),"ม.1/12")</f>
        <v>ม.1/12</v>
      </c>
      <c r="D425" s="3" t="str">
        <f>IFERROR(__xludf.DUMMYFUNCTION("""COMPUTED_VALUE"""),"อก.1/12")</f>
        <v>อก.1/12</v>
      </c>
      <c r="E425" s="2" t="str">
        <f>IFERROR(__xludf.DUMMYFUNCTION("""COMPUTED_VALUE"""),"หญิง")</f>
        <v>หญิง</v>
      </c>
      <c r="F425" s="5" t="str">
        <f>IFERROR(__xludf.DUMMYFUNCTION("""COMPUTED_VALUE"""),"https://azizstan.net/student_image/26039.jpg")</f>
        <v>https://azizstan.net/student_image/26039.jpg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 t="str">
        <f>IFERROR(__xludf.DUMMYFUNCTION("""COMPUTED_VALUE"""),"26047")</f>
        <v>26047</v>
      </c>
      <c r="B426" s="3" t="str">
        <f>IFERROR(__xludf.DUMMYFUNCTION("""COMPUTED_VALUE"""),"ด.ญ.อัลวานี สูเล๊าะ")</f>
        <v>ด.ญ.อัลวานี สูเล๊าะ</v>
      </c>
      <c r="C426" s="3" t="str">
        <f>IFERROR(__xludf.DUMMYFUNCTION("""COMPUTED_VALUE"""),"ม.1/12")</f>
        <v>ม.1/12</v>
      </c>
      <c r="D426" s="3" t="str">
        <f>IFERROR(__xludf.DUMMYFUNCTION("""COMPUTED_VALUE"""),"อก.1/12")</f>
        <v>อก.1/12</v>
      </c>
      <c r="E426" s="2" t="str">
        <f>IFERROR(__xludf.DUMMYFUNCTION("""COMPUTED_VALUE"""),"หญิง")</f>
        <v>หญิง</v>
      </c>
      <c r="F426" s="5" t="str">
        <f>IFERROR(__xludf.DUMMYFUNCTION("""COMPUTED_VALUE"""),"https://azizstan.net/student_image/26047.jpg")</f>
        <v>https://azizstan.net/student_image/26047.jpg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" t="str">
        <f>IFERROR(__xludf.DUMMYFUNCTION("""COMPUTED_VALUE"""),"26058")</f>
        <v>26058</v>
      </c>
      <c r="B427" s="3" t="str">
        <f>IFERROR(__xludf.DUMMYFUNCTION("""COMPUTED_VALUE"""),"ด.ญ.อิบตีซาม เจะปอ")</f>
        <v>ด.ญ.อิบตีซาม เจะปอ</v>
      </c>
      <c r="C427" s="3" t="str">
        <f>IFERROR(__xludf.DUMMYFUNCTION("""COMPUTED_VALUE"""),"ม.1/12")</f>
        <v>ม.1/12</v>
      </c>
      <c r="D427" s="3" t="str">
        <f>IFERROR(__xludf.DUMMYFUNCTION("""COMPUTED_VALUE"""),"อก.1/12")</f>
        <v>อก.1/12</v>
      </c>
      <c r="E427" s="2" t="str">
        <f>IFERROR(__xludf.DUMMYFUNCTION("""COMPUTED_VALUE"""),"หญิง")</f>
        <v>หญิง</v>
      </c>
      <c r="F427" s="5" t="str">
        <f>IFERROR(__xludf.DUMMYFUNCTION("""COMPUTED_VALUE"""),"https://azizstan.net/student_image/26058.jpg")</f>
        <v>https://azizstan.net/student_image/26058.jpg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" t="str">
        <f>IFERROR(__xludf.DUMMYFUNCTION("""COMPUTED_VALUE"""),"26067")</f>
        <v>26067</v>
      </c>
      <c r="B428" s="3" t="str">
        <f>IFERROR(__xludf.DUMMYFUNCTION("""COMPUTED_VALUE"""),"ด.ญ.ฟะฮ์มี หนิหมาน")</f>
        <v>ด.ญ.ฟะฮ์มี หนิหมาน</v>
      </c>
      <c r="C428" s="3" t="str">
        <f>IFERROR(__xludf.DUMMYFUNCTION("""COMPUTED_VALUE"""),"ม.1/12")</f>
        <v>ม.1/12</v>
      </c>
      <c r="D428" s="3" t="str">
        <f>IFERROR(__xludf.DUMMYFUNCTION("""COMPUTED_VALUE"""),"อก.1/12")</f>
        <v>อก.1/12</v>
      </c>
      <c r="E428" s="2" t="str">
        <f>IFERROR(__xludf.DUMMYFUNCTION("""COMPUTED_VALUE"""),"หญิง")</f>
        <v>หญิง</v>
      </c>
      <c r="F428" s="5" t="str">
        <f>IFERROR(__xludf.DUMMYFUNCTION("""COMPUTED_VALUE"""),"https://azizstan.net/student_image/26067.jpg")</f>
        <v>https://azizstan.net/student_image/26067.jpg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" t="str">
        <f>IFERROR(__xludf.DUMMYFUNCTION("""COMPUTED_VALUE"""),"26068")</f>
        <v>26068</v>
      </c>
      <c r="B429" s="3" t="str">
        <f>IFERROR(__xludf.DUMMYFUNCTION("""COMPUTED_VALUE"""),"ด.ญ.นัสริน ตีมันยา")</f>
        <v>ด.ญ.นัสริน ตีมันยา</v>
      </c>
      <c r="C429" s="3" t="str">
        <f>IFERROR(__xludf.DUMMYFUNCTION("""COMPUTED_VALUE"""),"ม.1/12")</f>
        <v>ม.1/12</v>
      </c>
      <c r="D429" s="3" t="str">
        <f>IFERROR(__xludf.DUMMYFUNCTION("""COMPUTED_VALUE"""),"อก.1/12")</f>
        <v>อก.1/12</v>
      </c>
      <c r="E429" s="2" t="str">
        <f>IFERROR(__xludf.DUMMYFUNCTION("""COMPUTED_VALUE"""),"หญิง")</f>
        <v>หญิง</v>
      </c>
      <c r="F429" s="5" t="str">
        <f>IFERROR(__xludf.DUMMYFUNCTION("""COMPUTED_VALUE"""),"https://azizstan.net/student_image/26068.jpg")</f>
        <v>https://azizstan.net/student_image/26068.jpg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" t="str">
        <f>IFERROR(__xludf.DUMMYFUNCTION("""COMPUTED_VALUE"""),"26080")</f>
        <v>26080</v>
      </c>
      <c r="B430" s="3" t="str">
        <f>IFERROR(__xludf.DUMMYFUNCTION("""COMPUTED_VALUE"""),"ด.ญ.ซีมียาอ์ สาเมาะ")</f>
        <v>ด.ญ.ซีมียาอ์ สาเมาะ</v>
      </c>
      <c r="C430" s="3" t="str">
        <f>IFERROR(__xludf.DUMMYFUNCTION("""COMPUTED_VALUE"""),"ม.1/12")</f>
        <v>ม.1/12</v>
      </c>
      <c r="D430" s="3" t="str">
        <f>IFERROR(__xludf.DUMMYFUNCTION("""COMPUTED_VALUE"""),"อก.1/12")</f>
        <v>อก.1/12</v>
      </c>
      <c r="E430" s="2" t="str">
        <f>IFERROR(__xludf.DUMMYFUNCTION("""COMPUTED_VALUE"""),"หญิง")</f>
        <v>หญิง</v>
      </c>
      <c r="F430" s="5" t="str">
        <f>IFERROR(__xludf.DUMMYFUNCTION("""COMPUTED_VALUE"""),"https://azizstan.net/student_image/26080.jpg")</f>
        <v>https://azizstan.net/student_image/26080.jpg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 t="str">
        <f>IFERROR(__xludf.DUMMYFUNCTION("""COMPUTED_VALUE"""),"26084")</f>
        <v>26084</v>
      </c>
      <c r="B431" s="3" t="str">
        <f>IFERROR(__xludf.DUMMYFUNCTION("""COMPUTED_VALUE"""),"ด.ญ.นูรฟิรฎาวซ์ ประภาศิลป์")</f>
        <v>ด.ญ.นูรฟิรฎาวซ์ ประภาศิลป์</v>
      </c>
      <c r="C431" s="3" t="str">
        <f>IFERROR(__xludf.DUMMYFUNCTION("""COMPUTED_VALUE"""),"ม.1/12")</f>
        <v>ม.1/12</v>
      </c>
      <c r="D431" s="3" t="str">
        <f>IFERROR(__xludf.DUMMYFUNCTION("""COMPUTED_VALUE"""),"อก.1/12")</f>
        <v>อก.1/12</v>
      </c>
      <c r="E431" s="2" t="str">
        <f>IFERROR(__xludf.DUMMYFUNCTION("""COMPUTED_VALUE"""),"หญิง")</f>
        <v>หญิง</v>
      </c>
      <c r="F431" s="5" t="str">
        <f>IFERROR(__xludf.DUMMYFUNCTION("""COMPUTED_VALUE"""),"https://azizstan.net/student_image/26084.jpg")</f>
        <v>https://azizstan.net/student_image/26084.jpg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 t="str">
        <f>IFERROR(__xludf.DUMMYFUNCTION("""COMPUTED_VALUE"""),"26092")</f>
        <v>26092</v>
      </c>
      <c r="B432" s="3" t="str">
        <f>IFERROR(__xludf.DUMMYFUNCTION("""COMPUTED_VALUE"""),"ด.ญ.ฮามีซะฮ์ สันบากอ")</f>
        <v>ด.ญ.ฮามีซะฮ์ สันบากอ</v>
      </c>
      <c r="C432" s="3" t="str">
        <f>IFERROR(__xludf.DUMMYFUNCTION("""COMPUTED_VALUE"""),"ม.1/12")</f>
        <v>ม.1/12</v>
      </c>
      <c r="D432" s="3" t="str">
        <f>IFERROR(__xludf.DUMMYFUNCTION("""COMPUTED_VALUE"""),"อก.1/12")</f>
        <v>อก.1/12</v>
      </c>
      <c r="E432" s="2" t="str">
        <f>IFERROR(__xludf.DUMMYFUNCTION("""COMPUTED_VALUE"""),"หญิง")</f>
        <v>หญิง</v>
      </c>
      <c r="F432" s="5" t="str">
        <f>IFERROR(__xludf.DUMMYFUNCTION("""COMPUTED_VALUE"""),"https://azizstan.net/student_image/26092.jpg")</f>
        <v>https://azizstan.net/student_image/26092.jpg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 t="str">
        <f>IFERROR(__xludf.DUMMYFUNCTION("""COMPUTED_VALUE"""),"26107")</f>
        <v>26107</v>
      </c>
      <c r="B433" s="3" t="str">
        <f>IFERROR(__xludf.DUMMYFUNCTION("""COMPUTED_VALUE"""),"ด.ญ.ฟาติน ปูซู")</f>
        <v>ด.ญ.ฟาติน ปูซู</v>
      </c>
      <c r="C433" s="3" t="str">
        <f>IFERROR(__xludf.DUMMYFUNCTION("""COMPUTED_VALUE"""),"ม.1/12")</f>
        <v>ม.1/12</v>
      </c>
      <c r="D433" s="3" t="str">
        <f>IFERROR(__xludf.DUMMYFUNCTION("""COMPUTED_VALUE"""),"อก.1/12")</f>
        <v>อก.1/12</v>
      </c>
      <c r="E433" s="2" t="str">
        <f>IFERROR(__xludf.DUMMYFUNCTION("""COMPUTED_VALUE"""),"หญิง")</f>
        <v>หญิง</v>
      </c>
      <c r="F433" s="5" t="str">
        <f>IFERROR(__xludf.DUMMYFUNCTION("""COMPUTED_VALUE"""),"https://azizstan.net/student_image/26107.jpg")</f>
        <v>https://azizstan.net/student_image/26107.jpg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 t="str">
        <f>IFERROR(__xludf.DUMMYFUNCTION("""COMPUTED_VALUE"""),"26108")</f>
        <v>26108</v>
      </c>
      <c r="B434" s="3" t="str">
        <f>IFERROR(__xludf.DUMMYFUNCTION("""COMPUTED_VALUE"""),"ด.ญ.ร็อยฮาน ดอสอลี")</f>
        <v>ด.ญ.ร็อยฮาน ดอสอลี</v>
      </c>
      <c r="C434" s="3" t="str">
        <f>IFERROR(__xludf.DUMMYFUNCTION("""COMPUTED_VALUE"""),"ม.1/12")</f>
        <v>ม.1/12</v>
      </c>
      <c r="D434" s="3" t="str">
        <f>IFERROR(__xludf.DUMMYFUNCTION("""COMPUTED_VALUE"""),"อก.1/12")</f>
        <v>อก.1/12</v>
      </c>
      <c r="E434" s="2" t="str">
        <f>IFERROR(__xludf.DUMMYFUNCTION("""COMPUTED_VALUE"""),"หญิง")</f>
        <v>หญิง</v>
      </c>
      <c r="F434" s="5" t="str">
        <f>IFERROR(__xludf.DUMMYFUNCTION("""COMPUTED_VALUE"""),"https://azizstan.net/student_image/26108.jpg")</f>
        <v>https://azizstan.net/student_image/26108.jpg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 t="str">
        <f>IFERROR(__xludf.DUMMYFUNCTION("""COMPUTED_VALUE"""),"26114")</f>
        <v>26114</v>
      </c>
      <c r="B435" s="3" t="str">
        <f>IFERROR(__xludf.DUMMYFUNCTION("""COMPUTED_VALUE"""),"ด.ญ.นูรอัยนาน กาสอ")</f>
        <v>ด.ญ.นูรอัยนาน กาสอ</v>
      </c>
      <c r="C435" s="3" t="str">
        <f>IFERROR(__xludf.DUMMYFUNCTION("""COMPUTED_VALUE"""),"ม.1/12")</f>
        <v>ม.1/12</v>
      </c>
      <c r="D435" s="3" t="str">
        <f>IFERROR(__xludf.DUMMYFUNCTION("""COMPUTED_VALUE"""),"อก.1/12")</f>
        <v>อก.1/12</v>
      </c>
      <c r="E435" s="2" t="str">
        <f>IFERROR(__xludf.DUMMYFUNCTION("""COMPUTED_VALUE"""),"หญิง")</f>
        <v>หญิง</v>
      </c>
      <c r="F435" s="5" t="str">
        <f>IFERROR(__xludf.DUMMYFUNCTION("""COMPUTED_VALUE"""),"https://azizstan.net/student_image/26114.jpg")</f>
        <v>https://azizstan.net/student_image/26114.jpg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 t="str">
        <f>IFERROR(__xludf.DUMMYFUNCTION("""COMPUTED_VALUE"""),"26123")</f>
        <v>26123</v>
      </c>
      <c r="B436" s="3" t="str">
        <f>IFERROR(__xludf.DUMMYFUNCTION("""COMPUTED_VALUE"""),"ด.ญ.ซูไรยา สุหลง")</f>
        <v>ด.ญ.ซูไรยา สุหลง</v>
      </c>
      <c r="C436" s="3" t="str">
        <f>IFERROR(__xludf.DUMMYFUNCTION("""COMPUTED_VALUE"""),"ม.1/12")</f>
        <v>ม.1/12</v>
      </c>
      <c r="D436" s="3" t="str">
        <f>IFERROR(__xludf.DUMMYFUNCTION("""COMPUTED_VALUE"""),"อก.1/12")</f>
        <v>อก.1/12</v>
      </c>
      <c r="E436" s="2" t="str">
        <f>IFERROR(__xludf.DUMMYFUNCTION("""COMPUTED_VALUE"""),"หญิง")</f>
        <v>หญิง</v>
      </c>
      <c r="F436" s="5" t="str">
        <f>IFERROR(__xludf.DUMMYFUNCTION("""COMPUTED_VALUE"""),"https://azizstan.net/student_image/26123.jpg")</f>
        <v>https://azizstan.net/student_image/26123.jpg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 t="str">
        <f>IFERROR(__xludf.DUMMYFUNCTION("""COMPUTED_VALUE"""),"26139")</f>
        <v>26139</v>
      </c>
      <c r="B437" s="3" t="str">
        <f>IFERROR(__xludf.DUMMYFUNCTION("""COMPUTED_VALUE"""),"ด.ญ.นาฟีซะฮ์ มาลาศรี")</f>
        <v>ด.ญ.นาฟีซะฮ์ มาลาศรี</v>
      </c>
      <c r="C437" s="3" t="str">
        <f>IFERROR(__xludf.DUMMYFUNCTION("""COMPUTED_VALUE"""),"ม.1/12")</f>
        <v>ม.1/12</v>
      </c>
      <c r="D437" s="3" t="str">
        <f>IFERROR(__xludf.DUMMYFUNCTION("""COMPUTED_VALUE"""),"อก.1/12")</f>
        <v>อก.1/12</v>
      </c>
      <c r="E437" s="2" t="str">
        <f>IFERROR(__xludf.DUMMYFUNCTION("""COMPUTED_VALUE"""),"หญิง")</f>
        <v>หญิง</v>
      </c>
      <c r="F437" s="5" t="str">
        <f>IFERROR(__xludf.DUMMYFUNCTION("""COMPUTED_VALUE"""),"https://azizstan.net/student_image/26139.jpg")</f>
        <v>https://azizstan.net/student_image/26139.jpg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 t="str">
        <f>IFERROR(__xludf.DUMMYFUNCTION("""COMPUTED_VALUE"""),"26150")</f>
        <v>26150</v>
      </c>
      <c r="B438" s="3" t="str">
        <f>IFERROR(__xludf.DUMMYFUNCTION("""COMPUTED_VALUE"""),"ด.ญ.อาวาติฟ เจ๊ะนิ")</f>
        <v>ด.ญ.อาวาติฟ เจ๊ะนิ</v>
      </c>
      <c r="C438" s="3" t="str">
        <f>IFERROR(__xludf.DUMMYFUNCTION("""COMPUTED_VALUE"""),"ม.1/12")</f>
        <v>ม.1/12</v>
      </c>
      <c r="D438" s="3" t="str">
        <f>IFERROR(__xludf.DUMMYFUNCTION("""COMPUTED_VALUE"""),"อก.1/12")</f>
        <v>อก.1/12</v>
      </c>
      <c r="E438" s="2" t="str">
        <f>IFERROR(__xludf.DUMMYFUNCTION("""COMPUTED_VALUE"""),"หญิง")</f>
        <v>หญิง</v>
      </c>
      <c r="F438" s="5" t="str">
        <f>IFERROR(__xludf.DUMMYFUNCTION("""COMPUTED_VALUE"""),"https://azizstan.net/student_image/26150.jpg")</f>
        <v>https://azizstan.net/student_image/26150.jpg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 t="str">
        <f>IFERROR(__xludf.DUMMYFUNCTION("""COMPUTED_VALUE"""),"26151")</f>
        <v>26151</v>
      </c>
      <c r="B439" s="3" t="str">
        <f>IFERROR(__xludf.DUMMYFUNCTION("""COMPUTED_VALUE"""),"ด.ญ.ฮานีฟา สาเระ")</f>
        <v>ด.ญ.ฮานีฟา สาเระ</v>
      </c>
      <c r="C439" s="3" t="str">
        <f>IFERROR(__xludf.DUMMYFUNCTION("""COMPUTED_VALUE"""),"ม.1/12")</f>
        <v>ม.1/12</v>
      </c>
      <c r="D439" s="3" t="str">
        <f>IFERROR(__xludf.DUMMYFUNCTION("""COMPUTED_VALUE"""),"อก.1/12")</f>
        <v>อก.1/12</v>
      </c>
      <c r="E439" s="2" t="str">
        <f>IFERROR(__xludf.DUMMYFUNCTION("""COMPUTED_VALUE"""),"หญิง")</f>
        <v>หญิง</v>
      </c>
      <c r="F439" s="5" t="str">
        <f>IFERROR(__xludf.DUMMYFUNCTION("""COMPUTED_VALUE"""),"https://azizstan.net/student_image/26151.jpg")</f>
        <v>https://azizstan.net/student_image/26151.jpg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 t="str">
        <f>IFERROR(__xludf.DUMMYFUNCTION("""COMPUTED_VALUE"""),"26166")</f>
        <v>26166</v>
      </c>
      <c r="B440" s="3" t="str">
        <f>IFERROR(__xludf.DUMMYFUNCTION("""COMPUTED_VALUE"""),"ด.ญ.ฟิรดาวส์ สาและ")</f>
        <v>ด.ญ.ฟิรดาวส์ สาและ</v>
      </c>
      <c r="C440" s="3" t="str">
        <f>IFERROR(__xludf.DUMMYFUNCTION("""COMPUTED_VALUE"""),"ม.1/12")</f>
        <v>ม.1/12</v>
      </c>
      <c r="D440" s="3" t="str">
        <f>IFERROR(__xludf.DUMMYFUNCTION("""COMPUTED_VALUE"""),"อก.1/12")</f>
        <v>อก.1/12</v>
      </c>
      <c r="E440" s="2" t="str">
        <f>IFERROR(__xludf.DUMMYFUNCTION("""COMPUTED_VALUE"""),"หญิง")</f>
        <v>หญิง</v>
      </c>
      <c r="F440" s="5" t="str">
        <f>IFERROR(__xludf.DUMMYFUNCTION("""COMPUTED_VALUE"""),"https://azizstan.net/student_image/26166.jpg")</f>
        <v>https://azizstan.net/student_image/26166.jpg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 t="str">
        <f>IFERROR(__xludf.DUMMYFUNCTION("""COMPUTED_VALUE"""),"26200")</f>
        <v>26200</v>
      </c>
      <c r="B441" s="3" t="str">
        <f>IFERROR(__xludf.DUMMYFUNCTION("""COMPUTED_VALUE"""),"ด.ญ.นุรนาเดีย เสะอุเซ็ง")</f>
        <v>ด.ญ.นุรนาเดีย เสะอุเซ็ง</v>
      </c>
      <c r="C441" s="3" t="str">
        <f>IFERROR(__xludf.DUMMYFUNCTION("""COMPUTED_VALUE"""),"ม.1/12")</f>
        <v>ม.1/12</v>
      </c>
      <c r="D441" s="3" t="str">
        <f>IFERROR(__xludf.DUMMYFUNCTION("""COMPUTED_VALUE"""),"อก.1/12")</f>
        <v>อก.1/12</v>
      </c>
      <c r="E441" s="2" t="str">
        <f>IFERROR(__xludf.DUMMYFUNCTION("""COMPUTED_VALUE"""),"หญิง")</f>
        <v>หญิง</v>
      </c>
      <c r="F441" s="5" t="str">
        <f>IFERROR(__xludf.DUMMYFUNCTION("""COMPUTED_VALUE"""),"https://azizstan.net/student_image/26200.jpg")</f>
        <v>https://azizstan.net/student_image/26200.jpg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 t="str">
        <f>IFERROR(__xludf.DUMMYFUNCTION("""COMPUTED_VALUE"""),"26201")</f>
        <v>26201</v>
      </c>
      <c r="B442" s="3" t="str">
        <f>IFERROR(__xludf.DUMMYFUNCTION("""COMPUTED_VALUE"""),"ด.ญ.อาตีฟา เสะอาลี")</f>
        <v>ด.ญ.อาตีฟา เสะอาลี</v>
      </c>
      <c r="C442" s="3" t="str">
        <f>IFERROR(__xludf.DUMMYFUNCTION("""COMPUTED_VALUE"""),"ม.1/12")</f>
        <v>ม.1/12</v>
      </c>
      <c r="D442" s="3" t="str">
        <f>IFERROR(__xludf.DUMMYFUNCTION("""COMPUTED_VALUE"""),"อก.1/12")</f>
        <v>อก.1/12</v>
      </c>
      <c r="E442" s="2" t="str">
        <f>IFERROR(__xludf.DUMMYFUNCTION("""COMPUTED_VALUE"""),"หญิง")</f>
        <v>หญิง</v>
      </c>
      <c r="F442" s="5" t="str">
        <f>IFERROR(__xludf.DUMMYFUNCTION("""COMPUTED_VALUE"""),"https://azizstan.net/student_image/26201.jpg")</f>
        <v>https://azizstan.net/student_image/26201.jpg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 t="str">
        <f>IFERROR(__xludf.DUMMYFUNCTION("""COMPUTED_VALUE"""),"26204")</f>
        <v>26204</v>
      </c>
      <c r="B443" s="3" t="str">
        <f>IFERROR(__xludf.DUMMYFUNCTION("""COMPUTED_VALUE"""),"ด.ญ.นูรูลฮูดา มาหะ")</f>
        <v>ด.ญ.นูรูลฮูดา มาหะ</v>
      </c>
      <c r="C443" s="3" t="str">
        <f>IFERROR(__xludf.DUMMYFUNCTION("""COMPUTED_VALUE"""),"ม.1/12")</f>
        <v>ม.1/12</v>
      </c>
      <c r="D443" s="3" t="str">
        <f>IFERROR(__xludf.DUMMYFUNCTION("""COMPUTED_VALUE"""),"อก.1/12")</f>
        <v>อก.1/12</v>
      </c>
      <c r="E443" s="2" t="str">
        <f>IFERROR(__xludf.DUMMYFUNCTION("""COMPUTED_VALUE"""),"หญิง")</f>
        <v>หญิง</v>
      </c>
      <c r="F443" s="5" t="str">
        <f>IFERROR(__xludf.DUMMYFUNCTION("""COMPUTED_VALUE"""),"https://azizstan.net/student_image/26204.jpg")</f>
        <v>https://azizstan.net/student_image/26204.jpg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 t="str">
        <f>IFERROR(__xludf.DUMMYFUNCTION("""COMPUTED_VALUE"""),"26214")</f>
        <v>26214</v>
      </c>
      <c r="B444" s="3" t="str">
        <f>IFERROR(__xludf.DUMMYFUNCTION("""COMPUTED_VALUE"""),"ด.ญ.อุซมี สะหมันสาหรี")</f>
        <v>ด.ญ.อุซมี สะหมันสาหรี</v>
      </c>
      <c r="C444" s="3" t="str">
        <f>IFERROR(__xludf.DUMMYFUNCTION("""COMPUTED_VALUE"""),"ม.1/12")</f>
        <v>ม.1/12</v>
      </c>
      <c r="D444" s="3" t="str">
        <f>IFERROR(__xludf.DUMMYFUNCTION("""COMPUTED_VALUE"""),"อก.1/12")</f>
        <v>อก.1/12</v>
      </c>
      <c r="E444" s="2" t="str">
        <f>IFERROR(__xludf.DUMMYFUNCTION("""COMPUTED_VALUE"""),"หญิง")</f>
        <v>หญิง</v>
      </c>
      <c r="F444" s="5" t="str">
        <f>IFERROR(__xludf.DUMMYFUNCTION("""COMPUTED_VALUE"""),"https://azizstan.net/student_image/26214.jpg")</f>
        <v>https://azizstan.net/student_image/26214.jpg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 t="str">
        <f>IFERROR(__xludf.DUMMYFUNCTION("""COMPUTED_VALUE"""),"26225")</f>
        <v>26225</v>
      </c>
      <c r="B445" s="3" t="str">
        <f>IFERROR(__xludf.DUMMYFUNCTION("""COMPUTED_VALUE"""),"ด.ญ.ปพิชญา ราชเพ็ชร")</f>
        <v>ด.ญ.ปพิชญา ราชเพ็ชร</v>
      </c>
      <c r="C445" s="3" t="str">
        <f>IFERROR(__xludf.DUMMYFUNCTION("""COMPUTED_VALUE"""),"ม.1/12")</f>
        <v>ม.1/12</v>
      </c>
      <c r="D445" s="3" t="str">
        <f>IFERROR(__xludf.DUMMYFUNCTION("""COMPUTED_VALUE"""),"อก.1/12")</f>
        <v>อก.1/12</v>
      </c>
      <c r="E445" s="2" t="str">
        <f>IFERROR(__xludf.DUMMYFUNCTION("""COMPUTED_VALUE"""),"หญิง")</f>
        <v>หญิง</v>
      </c>
      <c r="F445" s="5" t="str">
        <f>IFERROR(__xludf.DUMMYFUNCTION("""COMPUTED_VALUE"""),"https://azizstan.net/student_image/26225.jpg")</f>
        <v>https://azizstan.net/student_image/26225.jpg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 t="str">
        <f>IFERROR(__xludf.DUMMYFUNCTION("""COMPUTED_VALUE"""),"26244")</f>
        <v>26244</v>
      </c>
      <c r="B446" s="3" t="str">
        <f>IFERROR(__xludf.DUMMYFUNCTION("""COMPUTED_VALUE"""),"ด.ญ.อะห์ลาม เจะหะ")</f>
        <v>ด.ญ.อะห์ลาม เจะหะ</v>
      </c>
      <c r="C446" s="3" t="str">
        <f>IFERROR(__xludf.DUMMYFUNCTION("""COMPUTED_VALUE"""),"ม.1/12")</f>
        <v>ม.1/12</v>
      </c>
      <c r="D446" s="3" t="str">
        <f>IFERROR(__xludf.DUMMYFUNCTION("""COMPUTED_VALUE"""),"อก.1/12")</f>
        <v>อก.1/12</v>
      </c>
      <c r="E446" s="2" t="str">
        <f>IFERROR(__xludf.DUMMYFUNCTION("""COMPUTED_VALUE"""),"หญิง")</f>
        <v>หญิง</v>
      </c>
      <c r="F446" s="5" t="str">
        <f>IFERROR(__xludf.DUMMYFUNCTION("""COMPUTED_VALUE"""),"https://azizstan.net/student_image/26244.jpg")</f>
        <v>https://azizstan.net/student_image/26244.jpg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 t="str">
        <f>IFERROR(__xludf.DUMMYFUNCTION("""COMPUTED_VALUE"""),"26259")</f>
        <v>26259</v>
      </c>
      <c r="B447" s="3" t="str">
        <f>IFERROR(__xludf.DUMMYFUNCTION("""COMPUTED_VALUE"""),"ด.ญ.อามาณีย์ มะสัน")</f>
        <v>ด.ญ.อามาณีย์ มะสัน</v>
      </c>
      <c r="C447" s="3" t="str">
        <f>IFERROR(__xludf.DUMMYFUNCTION("""COMPUTED_VALUE"""),"ม.1/12")</f>
        <v>ม.1/12</v>
      </c>
      <c r="D447" s="3" t="str">
        <f>IFERROR(__xludf.DUMMYFUNCTION("""COMPUTED_VALUE"""),"อก.1/12")</f>
        <v>อก.1/12</v>
      </c>
      <c r="E447" s="2" t="str">
        <f>IFERROR(__xludf.DUMMYFUNCTION("""COMPUTED_VALUE"""),"หญิง")</f>
        <v>หญิง</v>
      </c>
      <c r="F447" s="5" t="str">
        <f>IFERROR(__xludf.DUMMYFUNCTION("""COMPUTED_VALUE"""),"https://azizstan.net/student_image/26259.jpg")</f>
        <v>https://azizstan.net/student_image/26259.jpg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 t="str">
        <f>IFERROR(__xludf.DUMMYFUNCTION("""COMPUTED_VALUE"""),"26267")</f>
        <v>26267</v>
      </c>
      <c r="B448" s="3" t="str">
        <f>IFERROR(__xludf.DUMMYFUNCTION("""COMPUTED_VALUE"""),"ด.ญ.อารีฟะ บินสือนิ")</f>
        <v>ด.ญ.อารีฟะ บินสือนิ</v>
      </c>
      <c r="C448" s="3" t="str">
        <f>IFERROR(__xludf.DUMMYFUNCTION("""COMPUTED_VALUE"""),"ม.1/12")</f>
        <v>ม.1/12</v>
      </c>
      <c r="D448" s="3" t="str">
        <f>IFERROR(__xludf.DUMMYFUNCTION("""COMPUTED_VALUE"""),"อก.1/12")</f>
        <v>อก.1/12</v>
      </c>
      <c r="E448" s="2" t="str">
        <f>IFERROR(__xludf.DUMMYFUNCTION("""COMPUTED_VALUE"""),"หญิง")</f>
        <v>หญิง</v>
      </c>
      <c r="F448" s="5" t="str">
        <f>IFERROR(__xludf.DUMMYFUNCTION("""COMPUTED_VALUE"""),"https://azizstan.net/student_image/26267.jpg")</f>
        <v>https://azizstan.net/student_image/26267.jpg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" t="str">
        <f>IFERROR(__xludf.DUMMYFUNCTION("""COMPUTED_VALUE"""),"26281")</f>
        <v>26281</v>
      </c>
      <c r="B449" s="3" t="str">
        <f>IFERROR(__xludf.DUMMYFUNCTION("""COMPUTED_VALUE"""),"ด.ญ.นูรีน มาหมัด")</f>
        <v>ด.ญ.นูรีน มาหมัด</v>
      </c>
      <c r="C449" s="3" t="str">
        <f>IFERROR(__xludf.DUMMYFUNCTION("""COMPUTED_VALUE"""),"ม.1/12")</f>
        <v>ม.1/12</v>
      </c>
      <c r="D449" s="3" t="str">
        <f>IFERROR(__xludf.DUMMYFUNCTION("""COMPUTED_VALUE"""),"อก.1/12")</f>
        <v>อก.1/12</v>
      </c>
      <c r="E449" s="2" t="str">
        <f>IFERROR(__xludf.DUMMYFUNCTION("""COMPUTED_VALUE"""),"หญิง")</f>
        <v>หญิง</v>
      </c>
      <c r="F449" s="5" t="str">
        <f>IFERROR(__xludf.DUMMYFUNCTION("""COMPUTED_VALUE"""),"https://azizstan.net/student_image/26281.jpg")</f>
        <v>https://azizstan.net/student_image/26281.jpg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" t="str">
        <f>IFERROR(__xludf.DUMMYFUNCTION("""COMPUTED_VALUE"""),"26292")</f>
        <v>26292</v>
      </c>
      <c r="B450" s="3" t="str">
        <f>IFERROR(__xludf.DUMMYFUNCTION("""COMPUTED_VALUE"""),"ด.ญ.ซารวาณีย์ แลเจ๊าะ")</f>
        <v>ด.ญ.ซารวาณีย์ แลเจ๊าะ</v>
      </c>
      <c r="C450" s="3" t="str">
        <f>IFERROR(__xludf.DUMMYFUNCTION("""COMPUTED_VALUE"""),"ม.1/12")</f>
        <v>ม.1/12</v>
      </c>
      <c r="D450" s="3" t="str">
        <f>IFERROR(__xludf.DUMMYFUNCTION("""COMPUTED_VALUE"""),"อก.1/12")</f>
        <v>อก.1/12</v>
      </c>
      <c r="E450" s="2" t="str">
        <f>IFERROR(__xludf.DUMMYFUNCTION("""COMPUTED_VALUE"""),"หญิง")</f>
        <v>หญิง</v>
      </c>
      <c r="F450" s="5" t="str">
        <f>IFERROR(__xludf.DUMMYFUNCTION("""COMPUTED_VALUE"""),"https://azizstan.net/student_image/26292.jpg")</f>
        <v>https://azizstan.net/student_image/26292.jpg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 t="str">
        <f>IFERROR(__xludf.DUMMYFUNCTION("""COMPUTED_VALUE"""),"26315")</f>
        <v>26315</v>
      </c>
      <c r="B451" s="3" t="str">
        <f>IFERROR(__xludf.DUMMYFUNCTION("""COMPUTED_VALUE"""),"ด.ญ.นูรอัยนี สานิ")</f>
        <v>ด.ญ.นูรอัยนี สานิ</v>
      </c>
      <c r="C451" s="3" t="str">
        <f>IFERROR(__xludf.DUMMYFUNCTION("""COMPUTED_VALUE"""),"ม.1/12")</f>
        <v>ม.1/12</v>
      </c>
      <c r="D451" s="3" t="str">
        <f>IFERROR(__xludf.DUMMYFUNCTION("""COMPUTED_VALUE"""),"อก.1/12")</f>
        <v>อก.1/12</v>
      </c>
      <c r="E451" s="2" t="str">
        <f>IFERROR(__xludf.DUMMYFUNCTION("""COMPUTED_VALUE"""),"หญิง")</f>
        <v>หญิง</v>
      </c>
      <c r="F451" s="5" t="str">
        <f>IFERROR(__xludf.DUMMYFUNCTION("""COMPUTED_VALUE"""),"https://azizstan.net/student_image/26315.jpg")</f>
        <v>https://azizstan.net/student_image/26315.jpg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" t="str">
        <f>IFERROR(__xludf.DUMMYFUNCTION("""COMPUTED_VALUE"""),"26339")</f>
        <v>26339</v>
      </c>
      <c r="B452" s="3" t="str">
        <f>IFERROR(__xludf.DUMMYFUNCTION("""COMPUTED_VALUE"""),"ด.ญ.อัยมี่ ดอเล๊าะ")</f>
        <v>ด.ญ.อัยมี่ ดอเล๊าะ</v>
      </c>
      <c r="C452" s="3" t="str">
        <f>IFERROR(__xludf.DUMMYFUNCTION("""COMPUTED_VALUE"""),"ม.1/12")</f>
        <v>ม.1/12</v>
      </c>
      <c r="D452" s="3" t="str">
        <f>IFERROR(__xludf.DUMMYFUNCTION("""COMPUTED_VALUE"""),"อก.1/12")</f>
        <v>อก.1/12</v>
      </c>
      <c r="E452" s="2" t="str">
        <f>IFERROR(__xludf.DUMMYFUNCTION("""COMPUTED_VALUE"""),"หญิง")</f>
        <v>หญิง</v>
      </c>
      <c r="F452" s="5" t="str">
        <f>IFERROR(__xludf.DUMMYFUNCTION("""COMPUTED_VALUE"""),"https://azizstan.net/student_image/26339.jpg")</f>
        <v>https://azizstan.net/student_image/26339.jpg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" t="str">
        <f>IFERROR(__xludf.DUMMYFUNCTION("""COMPUTED_VALUE"""),"26375")</f>
        <v>26375</v>
      </c>
      <c r="B453" s="3" t="str">
        <f>IFERROR(__xludf.DUMMYFUNCTION("""COMPUTED_VALUE"""),"ด.ญ.อาฟีฟะห์ เปาะซา")</f>
        <v>ด.ญ.อาฟีฟะห์ เปาะซา</v>
      </c>
      <c r="C453" s="3" t="str">
        <f>IFERROR(__xludf.DUMMYFUNCTION("""COMPUTED_VALUE"""),"ม.1/12")</f>
        <v>ม.1/12</v>
      </c>
      <c r="D453" s="3" t="str">
        <f>IFERROR(__xludf.DUMMYFUNCTION("""COMPUTED_VALUE"""),"อก.1/12")</f>
        <v>อก.1/12</v>
      </c>
      <c r="E453" s="2" t="str">
        <f>IFERROR(__xludf.DUMMYFUNCTION("""COMPUTED_VALUE"""),"หญิง")</f>
        <v>หญิง</v>
      </c>
      <c r="F453" s="5" t="str">
        <f>IFERROR(__xludf.DUMMYFUNCTION("""COMPUTED_VALUE"""),"https://azizstan.net/student_image/26375.jpg")</f>
        <v>https://azizstan.net/student_image/26375.jpg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" t="str">
        <f>IFERROR(__xludf.DUMMYFUNCTION("""COMPUTED_VALUE"""),"26434")</f>
        <v>26434</v>
      </c>
      <c r="B454" s="3" t="str">
        <f>IFERROR(__xludf.DUMMYFUNCTION("""COMPUTED_VALUE"""),"ด.ญ.กรรณ์นารี สังวาลย์")</f>
        <v>ด.ญ.กรรณ์นารี สังวาลย์</v>
      </c>
      <c r="C454" s="3" t="str">
        <f>IFERROR(__xludf.DUMMYFUNCTION("""COMPUTED_VALUE"""),"ม.1/12")</f>
        <v>ม.1/12</v>
      </c>
      <c r="D454" s="3" t="str">
        <f>IFERROR(__xludf.DUMMYFUNCTION("""COMPUTED_VALUE"""),"อก.1/12")</f>
        <v>อก.1/12</v>
      </c>
      <c r="E454" s="2" t="str">
        <f>IFERROR(__xludf.DUMMYFUNCTION("""COMPUTED_VALUE"""),"หญิง")</f>
        <v>หญิง</v>
      </c>
      <c r="F454" s="5" t="str">
        <f>IFERROR(__xludf.DUMMYFUNCTION("""COMPUTED_VALUE"""),"https://azizstan.net/student_image/26434.jpg")</f>
        <v>https://azizstan.net/student_image/26434.jpg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" t="str">
        <f>IFERROR(__xludf.DUMMYFUNCTION("""COMPUTED_VALUE"""),"26458")</f>
        <v>26458</v>
      </c>
      <c r="B455" s="3" t="str">
        <f>IFERROR(__xludf.DUMMYFUNCTION("""COMPUTED_VALUE"""),"ด.ญ.ฟิตรี สาและ")</f>
        <v>ด.ญ.ฟิตรี สาและ</v>
      </c>
      <c r="C455" s="3" t="str">
        <f>IFERROR(__xludf.DUMMYFUNCTION("""COMPUTED_VALUE"""),"ม.1/12")</f>
        <v>ม.1/12</v>
      </c>
      <c r="D455" s="3" t="str">
        <f>IFERROR(__xludf.DUMMYFUNCTION("""COMPUTED_VALUE"""),"อก.1/12")</f>
        <v>อก.1/12</v>
      </c>
      <c r="E455" s="2" t="str">
        <f>IFERROR(__xludf.DUMMYFUNCTION("""COMPUTED_VALUE"""),"หญิง")</f>
        <v>หญิง</v>
      </c>
      <c r="F455" s="5" t="str">
        <f>IFERROR(__xludf.DUMMYFUNCTION("""COMPUTED_VALUE"""),"https://azizstan.net/student_image/26458.jpg")</f>
        <v>https://azizstan.net/student_image/26458.jpg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" t="str">
        <f>IFERROR(__xludf.DUMMYFUNCTION("""COMPUTED_VALUE"""),"26468")</f>
        <v>26468</v>
      </c>
      <c r="B456" s="3" t="str">
        <f>IFERROR(__xludf.DUMMYFUNCTION("""COMPUTED_VALUE"""),"ด.ญ.ซัลซาบีลา ละแม")</f>
        <v>ด.ญ.ซัลซาบีลา ละแม</v>
      </c>
      <c r="C456" s="3" t="str">
        <f>IFERROR(__xludf.DUMMYFUNCTION("""COMPUTED_VALUE"""),"ม.1/12")</f>
        <v>ม.1/12</v>
      </c>
      <c r="D456" s="3" t="str">
        <f>IFERROR(__xludf.DUMMYFUNCTION("""COMPUTED_VALUE"""),"อก.1/12")</f>
        <v>อก.1/12</v>
      </c>
      <c r="E456" s="2" t="str">
        <f>IFERROR(__xludf.DUMMYFUNCTION("""COMPUTED_VALUE"""),"หญิง")</f>
        <v>หญิง</v>
      </c>
      <c r="F456" s="5" t="str">
        <f>IFERROR(__xludf.DUMMYFUNCTION("""COMPUTED_VALUE"""),"https://azizstan.net/student_image/26468.jpg")</f>
        <v>https://azizstan.net/student_image/26468.jpg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" t="str">
        <f>IFERROR(__xludf.DUMMYFUNCTION("""COMPUTED_VALUE"""),"26482")</f>
        <v>26482</v>
      </c>
      <c r="B457" s="3" t="str">
        <f>IFERROR(__xludf.DUMMYFUNCTION("""COMPUTED_VALUE"""),"ด.ญ.ฟาดีลา มามะ")</f>
        <v>ด.ญ.ฟาดีลา มามะ</v>
      </c>
      <c r="C457" s="3" t="str">
        <f>IFERROR(__xludf.DUMMYFUNCTION("""COMPUTED_VALUE"""),"ม.1/12")</f>
        <v>ม.1/12</v>
      </c>
      <c r="D457" s="3" t="str">
        <f>IFERROR(__xludf.DUMMYFUNCTION("""COMPUTED_VALUE"""),"อก.1/12")</f>
        <v>อก.1/12</v>
      </c>
      <c r="E457" s="2" t="str">
        <f>IFERROR(__xludf.DUMMYFUNCTION("""COMPUTED_VALUE"""),"หญิง")</f>
        <v>หญิง</v>
      </c>
      <c r="F457" s="5" t="str">
        <f>IFERROR(__xludf.DUMMYFUNCTION("""COMPUTED_VALUE"""),"https://azizstan.net/student_image/26482.jpg")</f>
        <v>https://azizstan.net/student_image/26482.jpg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" t="str">
        <f>IFERROR(__xludf.DUMMYFUNCTION("""COMPUTED_VALUE"""),"26506")</f>
        <v>26506</v>
      </c>
      <c r="B458" s="3" t="str">
        <f>IFERROR(__xludf.DUMMYFUNCTION("""COMPUTED_VALUE"""),"ด.ญ.ฮัซวานี แมเราะ")</f>
        <v>ด.ญ.ฮัซวานี แมเราะ</v>
      </c>
      <c r="C458" s="3" t="str">
        <f>IFERROR(__xludf.DUMMYFUNCTION("""COMPUTED_VALUE"""),"ม.1/12")</f>
        <v>ม.1/12</v>
      </c>
      <c r="D458" s="3" t="str">
        <f>IFERROR(__xludf.DUMMYFUNCTION("""COMPUTED_VALUE"""),"อก.1/12")</f>
        <v>อก.1/12</v>
      </c>
      <c r="E458" s="2" t="str">
        <f>IFERROR(__xludf.DUMMYFUNCTION("""COMPUTED_VALUE"""),"หญิง")</f>
        <v>หญิง</v>
      </c>
      <c r="F458" s="5" t="str">
        <f>IFERROR(__xludf.DUMMYFUNCTION("""COMPUTED_VALUE"""),"https://azizstan.net/student_image/26506.jpg")</f>
        <v>https://azizstan.net/student_image/26506.jpg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 t="str">
        <f>IFERROR(__xludf.DUMMYFUNCTION("""COMPUTED_VALUE"""),"26509")</f>
        <v>26509</v>
      </c>
      <c r="B459" s="3" t="str">
        <f>IFERROR(__xludf.DUMMYFUNCTION("""COMPUTED_VALUE"""),"ด.ญ.อริณรดา งานแข็ง")</f>
        <v>ด.ญ.อริณรดา งานแข็ง</v>
      </c>
      <c r="C459" s="3" t="str">
        <f>IFERROR(__xludf.DUMMYFUNCTION("""COMPUTED_VALUE"""),"ม.1/12")</f>
        <v>ม.1/12</v>
      </c>
      <c r="D459" s="3" t="str">
        <f>IFERROR(__xludf.DUMMYFUNCTION("""COMPUTED_VALUE"""),"อก.1/12")</f>
        <v>อก.1/12</v>
      </c>
      <c r="E459" s="2" t="str">
        <f>IFERROR(__xludf.DUMMYFUNCTION("""COMPUTED_VALUE"""),"หญิง")</f>
        <v>หญิง</v>
      </c>
      <c r="F459" s="5" t="str">
        <f>IFERROR(__xludf.DUMMYFUNCTION("""COMPUTED_VALUE"""),"https://azizstan.net/student_image/26509.jpg")</f>
        <v>https://azizstan.net/student_image/26509.jpg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 t="str">
        <f>IFERROR(__xludf.DUMMYFUNCTION("""COMPUTED_VALUE"""),"26548")</f>
        <v>26548</v>
      </c>
      <c r="B460" s="3" t="str">
        <f>IFERROR(__xludf.DUMMYFUNCTION("""COMPUTED_VALUE"""),"ด.ญ.นัสมี ลือแบซา")</f>
        <v>ด.ญ.นัสมี ลือแบซา</v>
      </c>
      <c r="C460" s="3" t="str">
        <f>IFERROR(__xludf.DUMMYFUNCTION("""COMPUTED_VALUE"""),"ม.1/12")</f>
        <v>ม.1/12</v>
      </c>
      <c r="D460" s="3" t="str">
        <f>IFERROR(__xludf.DUMMYFUNCTION("""COMPUTED_VALUE"""),"อก.1/12")</f>
        <v>อก.1/12</v>
      </c>
      <c r="E460" s="2" t="str">
        <f>IFERROR(__xludf.DUMMYFUNCTION("""COMPUTED_VALUE"""),"หญิง")</f>
        <v>หญิง</v>
      </c>
      <c r="F460" s="5" t="str">
        <f>IFERROR(__xludf.DUMMYFUNCTION("""COMPUTED_VALUE"""),"https://azizstan.net/student_image/26548.jpg")</f>
        <v>https://azizstan.net/student_image/26548.jpg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 t="str">
        <f>IFERROR(__xludf.DUMMYFUNCTION("""COMPUTED_VALUE"""),"26596")</f>
        <v>26596</v>
      </c>
      <c r="B461" s="3" t="str">
        <f>IFERROR(__xludf.DUMMYFUNCTION("""COMPUTED_VALUE"""),"ด.ญ.นูรหายาตี สาเฮาะ")</f>
        <v>ด.ญ.นูรหายาตี สาเฮาะ</v>
      </c>
      <c r="C461" s="3" t="str">
        <f>IFERROR(__xludf.DUMMYFUNCTION("""COMPUTED_VALUE"""),"ม.1/12")</f>
        <v>ม.1/12</v>
      </c>
      <c r="D461" s="3" t="str">
        <f>IFERROR(__xludf.DUMMYFUNCTION("""COMPUTED_VALUE"""),"อก.1/12")</f>
        <v>อก.1/12</v>
      </c>
      <c r="E461" s="2" t="str">
        <f>IFERROR(__xludf.DUMMYFUNCTION("""COMPUTED_VALUE"""),"หญิง")</f>
        <v>หญิง</v>
      </c>
      <c r="F461" s="5" t="str">
        <f>IFERROR(__xludf.DUMMYFUNCTION("""COMPUTED_VALUE"""),"https://azizstan.net/student_image/26596.jpg")</f>
        <v>https://azizstan.net/student_image/26596.jpg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 t="str">
        <f>IFERROR(__xludf.DUMMYFUNCTION("""COMPUTED_VALUE"""),"26732")</f>
        <v>26732</v>
      </c>
      <c r="B462" s="3" t="str">
        <f>IFERROR(__xludf.DUMMYFUNCTION("""COMPUTED_VALUE"""),"ด.ญ.นูรุลตัสนีม กาโบะ")</f>
        <v>ด.ญ.นูรุลตัสนีม กาโบะ</v>
      </c>
      <c r="C462" s="3" t="str">
        <f>IFERROR(__xludf.DUMMYFUNCTION("""COMPUTED_VALUE"""),"ม.1/12")</f>
        <v>ม.1/12</v>
      </c>
      <c r="D462" s="3" t="str">
        <f>IFERROR(__xludf.DUMMYFUNCTION("""COMPUTED_VALUE"""),"อก.1/12")</f>
        <v>อก.1/12</v>
      </c>
      <c r="E462" s="2" t="str">
        <f>IFERROR(__xludf.DUMMYFUNCTION("""COMPUTED_VALUE"""),"หญิง")</f>
        <v>หญิง</v>
      </c>
      <c r="F462" s="5" t="str">
        <f>IFERROR(__xludf.DUMMYFUNCTION("""COMPUTED_VALUE"""),"https://azizstan.net/student_image/26732.jpg")</f>
        <v>https://azizstan.net/student_image/26732.jpg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 t="str">
        <f>IFERROR(__xludf.DUMMYFUNCTION("""COMPUTED_VALUE"""),"26064")</f>
        <v>26064</v>
      </c>
      <c r="B463" s="3" t="str">
        <f>IFERROR(__xludf.DUMMYFUNCTION("""COMPUTED_VALUE"""),"ด.ญ.อลีญา หมันหีม")</f>
        <v>ด.ญ.อลีญา หมันหีม</v>
      </c>
      <c r="C463" s="3" t="str">
        <f>IFERROR(__xludf.DUMMYFUNCTION("""COMPUTED_VALUE"""),"ม.1/13")</f>
        <v>ม.1/13</v>
      </c>
      <c r="D463" s="3" t="str">
        <f>IFERROR(__xludf.DUMMYFUNCTION("""COMPUTED_VALUE"""),"PR 1/13")</f>
        <v>PR 1/13</v>
      </c>
      <c r="E463" s="2" t="str">
        <f>IFERROR(__xludf.DUMMYFUNCTION("""COMPUTED_VALUE"""),"หญิง")</f>
        <v>หญิง</v>
      </c>
      <c r="F463" s="5" t="str">
        <f>IFERROR(__xludf.DUMMYFUNCTION("""COMPUTED_VALUE"""),"https://azizstan.net/student_image/26064.jpg")</f>
        <v>https://azizstan.net/student_image/26064.jpg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 t="str">
        <f>IFERROR(__xludf.DUMMYFUNCTION("""COMPUTED_VALUE"""),"26097")</f>
        <v>26097</v>
      </c>
      <c r="B464" s="3" t="str">
        <f>IFERROR(__xludf.DUMMYFUNCTION("""COMPUTED_VALUE"""),"ด.ญ.ไซรา บาเหม")</f>
        <v>ด.ญ.ไซรา บาเหม</v>
      </c>
      <c r="C464" s="3" t="str">
        <f>IFERROR(__xludf.DUMMYFUNCTION("""COMPUTED_VALUE"""),"ม.1/13")</f>
        <v>ม.1/13</v>
      </c>
      <c r="D464" s="3" t="str">
        <f>IFERROR(__xludf.DUMMYFUNCTION("""COMPUTED_VALUE"""),"PR 1/13")</f>
        <v>PR 1/13</v>
      </c>
      <c r="E464" s="2" t="str">
        <f>IFERROR(__xludf.DUMMYFUNCTION("""COMPUTED_VALUE"""),"หญิง")</f>
        <v>หญิง</v>
      </c>
      <c r="F464" s="5" t="str">
        <f>IFERROR(__xludf.DUMMYFUNCTION("""COMPUTED_VALUE"""),"https://azizstan.net/student_image/26097.jpg")</f>
        <v>https://azizstan.net/student_image/26097.jpg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 t="str">
        <f>IFERROR(__xludf.DUMMYFUNCTION("""COMPUTED_VALUE"""),"26104")</f>
        <v>26104</v>
      </c>
      <c r="B465" s="3" t="str">
        <f>IFERROR(__xludf.DUMMYFUNCTION("""COMPUTED_VALUE"""),"ด.ญ.นูรอาลียานัซวา บือแน")</f>
        <v>ด.ญ.นูรอาลียานัซวา บือแน</v>
      </c>
      <c r="C465" s="3" t="str">
        <f>IFERROR(__xludf.DUMMYFUNCTION("""COMPUTED_VALUE"""),"ม.1/13")</f>
        <v>ม.1/13</v>
      </c>
      <c r="D465" s="3" t="str">
        <f>IFERROR(__xludf.DUMMYFUNCTION("""COMPUTED_VALUE"""),"PR 1/13")</f>
        <v>PR 1/13</v>
      </c>
      <c r="E465" s="2" t="str">
        <f>IFERROR(__xludf.DUMMYFUNCTION("""COMPUTED_VALUE"""),"หญิง")</f>
        <v>หญิง</v>
      </c>
      <c r="F465" s="5" t="str">
        <f>IFERROR(__xludf.DUMMYFUNCTION("""COMPUTED_VALUE"""),"https://azizstan.net/student_image/26104.jpg")</f>
        <v>https://azizstan.net/student_image/26104.jpg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 t="str">
        <f>IFERROR(__xludf.DUMMYFUNCTION("""COMPUTED_VALUE"""),"26135")</f>
        <v>26135</v>
      </c>
      <c r="B466" s="3" t="str">
        <f>IFERROR(__xludf.DUMMYFUNCTION("""COMPUTED_VALUE"""),"ด.ญ.นัสรีณา ดือราแม")</f>
        <v>ด.ญ.นัสรีณา ดือราแม</v>
      </c>
      <c r="C466" s="3" t="str">
        <f>IFERROR(__xludf.DUMMYFUNCTION("""COMPUTED_VALUE"""),"ม.1/13")</f>
        <v>ม.1/13</v>
      </c>
      <c r="D466" s="3" t="str">
        <f>IFERROR(__xludf.DUMMYFUNCTION("""COMPUTED_VALUE"""),"PR 1/13")</f>
        <v>PR 1/13</v>
      </c>
      <c r="E466" s="2" t="str">
        <f>IFERROR(__xludf.DUMMYFUNCTION("""COMPUTED_VALUE"""),"หญิง")</f>
        <v>หญิง</v>
      </c>
      <c r="F466" s="5" t="str">
        <f>IFERROR(__xludf.DUMMYFUNCTION("""COMPUTED_VALUE"""),"https://azizstan.net/student_image/26135.jpg")</f>
        <v>https://azizstan.net/student_image/26135.jpg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 t="str">
        <f>IFERROR(__xludf.DUMMYFUNCTION("""COMPUTED_VALUE"""),"26152")</f>
        <v>26152</v>
      </c>
      <c r="B467" s="3" t="str">
        <f>IFERROR(__xludf.DUMMYFUNCTION("""COMPUTED_VALUE"""),"ด.ญ.อามามี สาแม")</f>
        <v>ด.ญ.อามามี สาแม</v>
      </c>
      <c r="C467" s="3" t="str">
        <f>IFERROR(__xludf.DUMMYFUNCTION("""COMPUTED_VALUE"""),"ม.1/13")</f>
        <v>ม.1/13</v>
      </c>
      <c r="D467" s="3" t="str">
        <f>IFERROR(__xludf.DUMMYFUNCTION("""COMPUTED_VALUE"""),"PR 1/13")</f>
        <v>PR 1/13</v>
      </c>
      <c r="E467" s="2" t="str">
        <f>IFERROR(__xludf.DUMMYFUNCTION("""COMPUTED_VALUE"""),"หญิง")</f>
        <v>หญิง</v>
      </c>
      <c r="F467" s="5" t="str">
        <f>IFERROR(__xludf.DUMMYFUNCTION("""COMPUTED_VALUE"""),"https://azizstan.net/student_image/26152.jpg")</f>
        <v>https://azizstan.net/student_image/26152.jpg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 t="str">
        <f>IFERROR(__xludf.DUMMYFUNCTION("""COMPUTED_VALUE"""),"26162")</f>
        <v>26162</v>
      </c>
      <c r="B468" s="3" t="str">
        <f>IFERROR(__xludf.DUMMYFUNCTION("""COMPUTED_VALUE"""),"ด.ญ.นูรีซัน ยะโกะ")</f>
        <v>ด.ญ.นูรีซัน ยะโกะ</v>
      </c>
      <c r="C468" s="3" t="str">
        <f>IFERROR(__xludf.DUMMYFUNCTION("""COMPUTED_VALUE"""),"ม.1/13")</f>
        <v>ม.1/13</v>
      </c>
      <c r="D468" s="3" t="str">
        <f>IFERROR(__xludf.DUMMYFUNCTION("""COMPUTED_VALUE"""),"PR 1/13")</f>
        <v>PR 1/13</v>
      </c>
      <c r="E468" s="2" t="str">
        <f>IFERROR(__xludf.DUMMYFUNCTION("""COMPUTED_VALUE"""),"หญิง")</f>
        <v>หญิง</v>
      </c>
      <c r="F468" s="5" t="str">
        <f>IFERROR(__xludf.DUMMYFUNCTION("""COMPUTED_VALUE"""),"https://azizstan.net/student_image/26162.jpg")</f>
        <v>https://azizstan.net/student_image/26162.jpg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 t="str">
        <f>IFERROR(__xludf.DUMMYFUNCTION("""COMPUTED_VALUE"""),"26179")</f>
        <v>26179</v>
      </c>
      <c r="B469" s="3" t="str">
        <f>IFERROR(__xludf.DUMMYFUNCTION("""COMPUTED_VALUE"""),"ด.ญ.รุสอัยนี ดอเลาะ")</f>
        <v>ด.ญ.รุสอัยนี ดอเลาะ</v>
      </c>
      <c r="C469" s="3" t="str">
        <f>IFERROR(__xludf.DUMMYFUNCTION("""COMPUTED_VALUE"""),"ม.1/13")</f>
        <v>ม.1/13</v>
      </c>
      <c r="D469" s="3" t="str">
        <f>IFERROR(__xludf.DUMMYFUNCTION("""COMPUTED_VALUE"""),"PR 1/13")</f>
        <v>PR 1/13</v>
      </c>
      <c r="E469" s="2" t="str">
        <f>IFERROR(__xludf.DUMMYFUNCTION("""COMPUTED_VALUE"""),"หญิง")</f>
        <v>หญิง</v>
      </c>
      <c r="F469" s="5" t="str">
        <f>IFERROR(__xludf.DUMMYFUNCTION("""COMPUTED_VALUE"""),"https://azizstan.net/student_image/26179.jpg")</f>
        <v>https://azizstan.net/student_image/26179.jpg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 t="str">
        <f>IFERROR(__xludf.DUMMYFUNCTION("""COMPUTED_VALUE"""),"26224")</f>
        <v>26224</v>
      </c>
      <c r="B470" s="3" t="str">
        <f>IFERROR(__xludf.DUMMYFUNCTION("""COMPUTED_VALUE"""),"ด.ญ.ตัซรีน หมัสเหล็ม")</f>
        <v>ด.ญ.ตัซรีน หมัสเหล็ม</v>
      </c>
      <c r="C470" s="3" t="str">
        <f>IFERROR(__xludf.DUMMYFUNCTION("""COMPUTED_VALUE"""),"ม.1/13")</f>
        <v>ม.1/13</v>
      </c>
      <c r="D470" s="3" t="str">
        <f>IFERROR(__xludf.DUMMYFUNCTION("""COMPUTED_VALUE"""),"PR 1/13")</f>
        <v>PR 1/13</v>
      </c>
      <c r="E470" s="2" t="str">
        <f>IFERROR(__xludf.DUMMYFUNCTION("""COMPUTED_VALUE"""),"หญิง")</f>
        <v>หญิง</v>
      </c>
      <c r="F470" s="5" t="str">
        <f>IFERROR(__xludf.DUMMYFUNCTION("""COMPUTED_VALUE"""),"https://azizstan.net/student_image/26224.jpg")</f>
        <v>https://azizstan.net/student_image/26224.jpg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 t="str">
        <f>IFERROR(__xludf.DUMMYFUNCTION("""COMPUTED_VALUE"""),"26248")</f>
        <v>26248</v>
      </c>
      <c r="B471" s="3" t="str">
        <f>IFERROR(__xludf.DUMMYFUNCTION("""COMPUTED_VALUE"""),"ด.ญ.นูรฮายาตี สามะ")</f>
        <v>ด.ญ.นูรฮายาตี สามะ</v>
      </c>
      <c r="C471" s="3" t="str">
        <f>IFERROR(__xludf.DUMMYFUNCTION("""COMPUTED_VALUE"""),"ม.1/13")</f>
        <v>ม.1/13</v>
      </c>
      <c r="D471" s="3" t="str">
        <f>IFERROR(__xludf.DUMMYFUNCTION("""COMPUTED_VALUE"""),"PR 1/13")</f>
        <v>PR 1/13</v>
      </c>
      <c r="E471" s="2" t="str">
        <f>IFERROR(__xludf.DUMMYFUNCTION("""COMPUTED_VALUE"""),"หญิง")</f>
        <v>หญิง</v>
      </c>
      <c r="F471" s="5" t="str">
        <f>IFERROR(__xludf.DUMMYFUNCTION("""COMPUTED_VALUE"""),"https://azizstan.net/student_image/26248.jpg")</f>
        <v>https://azizstan.net/student_image/26248.jpg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 t="str">
        <f>IFERROR(__xludf.DUMMYFUNCTION("""COMPUTED_VALUE"""),"26270")</f>
        <v>26270</v>
      </c>
      <c r="B472" s="3" t="str">
        <f>IFERROR(__xludf.DUMMYFUNCTION("""COMPUTED_VALUE"""),"ด.ญ.นัจญ์มี โตะโยะ")</f>
        <v>ด.ญ.นัจญ์มี โตะโยะ</v>
      </c>
      <c r="C472" s="3" t="str">
        <f>IFERROR(__xludf.DUMMYFUNCTION("""COMPUTED_VALUE"""),"ม.1/13")</f>
        <v>ม.1/13</v>
      </c>
      <c r="D472" s="3" t="str">
        <f>IFERROR(__xludf.DUMMYFUNCTION("""COMPUTED_VALUE"""),"PR 1/13")</f>
        <v>PR 1/13</v>
      </c>
      <c r="E472" s="2" t="str">
        <f>IFERROR(__xludf.DUMMYFUNCTION("""COMPUTED_VALUE"""),"หญิง")</f>
        <v>หญิง</v>
      </c>
      <c r="F472" s="5" t="str">
        <f>IFERROR(__xludf.DUMMYFUNCTION("""COMPUTED_VALUE"""),"https://azizstan.net/student_image/26270.jpg")</f>
        <v>https://azizstan.net/student_image/26270.jpg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 t="str">
        <f>IFERROR(__xludf.DUMMYFUNCTION("""COMPUTED_VALUE"""),"26288")</f>
        <v>26288</v>
      </c>
      <c r="B473" s="3" t="str">
        <f>IFERROR(__xludf.DUMMYFUNCTION("""COMPUTED_VALUE"""),"ด.ญ.กูนัสรีน เบญจมานะ")</f>
        <v>ด.ญ.กูนัสรีน เบญจมานะ</v>
      </c>
      <c r="C473" s="3" t="str">
        <f>IFERROR(__xludf.DUMMYFUNCTION("""COMPUTED_VALUE"""),"ม.1/13")</f>
        <v>ม.1/13</v>
      </c>
      <c r="D473" s="3" t="str">
        <f>IFERROR(__xludf.DUMMYFUNCTION("""COMPUTED_VALUE"""),"PR 1/13")</f>
        <v>PR 1/13</v>
      </c>
      <c r="E473" s="2" t="str">
        <f>IFERROR(__xludf.DUMMYFUNCTION("""COMPUTED_VALUE"""),"หญิง")</f>
        <v>หญิง</v>
      </c>
      <c r="F473" s="5" t="str">
        <f>IFERROR(__xludf.DUMMYFUNCTION("""COMPUTED_VALUE"""),"https://azizstan.net/student_image/26288.jpg")</f>
        <v>https://azizstan.net/student_image/26288.jpg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 t="str">
        <f>IFERROR(__xludf.DUMMYFUNCTION("""COMPUTED_VALUE"""),"26317")</f>
        <v>26317</v>
      </c>
      <c r="B474" s="3" t="str">
        <f>IFERROR(__xludf.DUMMYFUNCTION("""COMPUTED_VALUE"""),"ด.ญ.ณิสรีน ตันหยงสะมะแอ")</f>
        <v>ด.ญ.ณิสรีน ตันหยงสะมะแอ</v>
      </c>
      <c r="C474" s="3" t="str">
        <f>IFERROR(__xludf.DUMMYFUNCTION("""COMPUTED_VALUE"""),"ม.1/13")</f>
        <v>ม.1/13</v>
      </c>
      <c r="D474" s="3" t="str">
        <f>IFERROR(__xludf.DUMMYFUNCTION("""COMPUTED_VALUE"""),"PR 1/13")</f>
        <v>PR 1/13</v>
      </c>
      <c r="E474" s="2" t="str">
        <f>IFERROR(__xludf.DUMMYFUNCTION("""COMPUTED_VALUE"""),"หญิง")</f>
        <v>หญิง</v>
      </c>
      <c r="F474" s="5" t="str">
        <f>IFERROR(__xludf.DUMMYFUNCTION("""COMPUTED_VALUE"""),"https://azizstan.net/student_image/26317.jpg")</f>
        <v>https://azizstan.net/student_image/26317.jpg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 t="str">
        <f>IFERROR(__xludf.DUMMYFUNCTION("""COMPUTED_VALUE"""),"26320")</f>
        <v>26320</v>
      </c>
      <c r="B475" s="3" t="str">
        <f>IFERROR(__xludf.DUMMYFUNCTION("""COMPUTED_VALUE"""),"ด.ญ.อิมตีณาน จิตอสอ")</f>
        <v>ด.ญ.อิมตีณาน จิตอสอ</v>
      </c>
      <c r="C475" s="3" t="str">
        <f>IFERROR(__xludf.DUMMYFUNCTION("""COMPUTED_VALUE"""),"ม.1/13")</f>
        <v>ม.1/13</v>
      </c>
      <c r="D475" s="3" t="str">
        <f>IFERROR(__xludf.DUMMYFUNCTION("""COMPUTED_VALUE"""),"PR 1/13")</f>
        <v>PR 1/13</v>
      </c>
      <c r="E475" s="2" t="str">
        <f>IFERROR(__xludf.DUMMYFUNCTION("""COMPUTED_VALUE"""),"หญิง")</f>
        <v>หญิง</v>
      </c>
      <c r="F475" s="5" t="str">
        <f>IFERROR(__xludf.DUMMYFUNCTION("""COMPUTED_VALUE"""),"https://azizstan.net/student_image/26320.jpg")</f>
        <v>https://azizstan.net/student_image/26320.jpg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 t="str">
        <f>IFERROR(__xludf.DUMMYFUNCTION("""COMPUTED_VALUE"""),"26325")</f>
        <v>26325</v>
      </c>
      <c r="B476" s="3" t="str">
        <f>IFERROR(__xludf.DUMMYFUNCTION("""COMPUTED_VALUE"""),"ด.ญ.ฟิราดาวส์ สาแม")</f>
        <v>ด.ญ.ฟิราดาวส์ สาแม</v>
      </c>
      <c r="C476" s="3" t="str">
        <f>IFERROR(__xludf.DUMMYFUNCTION("""COMPUTED_VALUE"""),"ม.1/13")</f>
        <v>ม.1/13</v>
      </c>
      <c r="D476" s="3" t="str">
        <f>IFERROR(__xludf.DUMMYFUNCTION("""COMPUTED_VALUE"""),"PR 1/13")</f>
        <v>PR 1/13</v>
      </c>
      <c r="E476" s="2" t="str">
        <f>IFERROR(__xludf.DUMMYFUNCTION("""COMPUTED_VALUE"""),"หญิง")</f>
        <v>หญิง</v>
      </c>
      <c r="F476" s="5" t="str">
        <f>IFERROR(__xludf.DUMMYFUNCTION("""COMPUTED_VALUE"""),"https://azizstan.net/student_image/26325.jpg")</f>
        <v>https://azizstan.net/student_image/26325.jpg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 t="str">
        <f>IFERROR(__xludf.DUMMYFUNCTION("""COMPUTED_VALUE"""),"26333")</f>
        <v>26333</v>
      </c>
      <c r="B477" s="3" t="str">
        <f>IFERROR(__xludf.DUMMYFUNCTION("""COMPUTED_VALUE"""),"ด.ญ.กัสมีนี หะยียูโซ๊ะ")</f>
        <v>ด.ญ.กัสมีนี หะยียูโซ๊ะ</v>
      </c>
      <c r="C477" s="3" t="str">
        <f>IFERROR(__xludf.DUMMYFUNCTION("""COMPUTED_VALUE"""),"ม.1/13")</f>
        <v>ม.1/13</v>
      </c>
      <c r="D477" s="3" t="str">
        <f>IFERROR(__xludf.DUMMYFUNCTION("""COMPUTED_VALUE"""),"PR 1/13")</f>
        <v>PR 1/13</v>
      </c>
      <c r="E477" s="2" t="str">
        <f>IFERROR(__xludf.DUMMYFUNCTION("""COMPUTED_VALUE"""),"หญิง")</f>
        <v>หญิง</v>
      </c>
      <c r="F477" s="5" t="str">
        <f>IFERROR(__xludf.DUMMYFUNCTION("""COMPUTED_VALUE"""),"https://azizstan.net/student_image/26333.jpg")</f>
        <v>https://azizstan.net/student_image/26333.jpg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 t="str">
        <f>IFERROR(__xludf.DUMMYFUNCTION("""COMPUTED_VALUE"""),"26385")</f>
        <v>26385</v>
      </c>
      <c r="B478" s="3" t="str">
        <f>IFERROR(__xludf.DUMMYFUNCTION("""COMPUTED_VALUE"""),"ด.ญ.วิลาวรรณ์ ยีกะเส็ม")</f>
        <v>ด.ญ.วิลาวรรณ์ ยีกะเส็ม</v>
      </c>
      <c r="C478" s="3" t="str">
        <f>IFERROR(__xludf.DUMMYFUNCTION("""COMPUTED_VALUE"""),"ม.1/13")</f>
        <v>ม.1/13</v>
      </c>
      <c r="D478" s="3" t="str">
        <f>IFERROR(__xludf.DUMMYFUNCTION("""COMPUTED_VALUE"""),"PR 1/13")</f>
        <v>PR 1/13</v>
      </c>
      <c r="E478" s="2" t="str">
        <f>IFERROR(__xludf.DUMMYFUNCTION("""COMPUTED_VALUE"""),"หญิง")</f>
        <v>หญิง</v>
      </c>
      <c r="F478" s="5" t="str">
        <f>IFERROR(__xludf.DUMMYFUNCTION("""COMPUTED_VALUE"""),"https://azizstan.net/student_image/26385.jpg")</f>
        <v>https://azizstan.net/student_image/26385.jpg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" t="str">
        <f>IFERROR(__xludf.DUMMYFUNCTION("""COMPUTED_VALUE"""),"26387")</f>
        <v>26387</v>
      </c>
      <c r="B479" s="3" t="str">
        <f>IFERROR(__xludf.DUMMYFUNCTION("""COMPUTED_VALUE"""),"ด.ญ.ฮาซานะห์ โต๊ะหมาด")</f>
        <v>ด.ญ.ฮาซานะห์ โต๊ะหมาด</v>
      </c>
      <c r="C479" s="3" t="str">
        <f>IFERROR(__xludf.DUMMYFUNCTION("""COMPUTED_VALUE"""),"ม.1/13")</f>
        <v>ม.1/13</v>
      </c>
      <c r="D479" s="3" t="str">
        <f>IFERROR(__xludf.DUMMYFUNCTION("""COMPUTED_VALUE"""),"PR 1/13")</f>
        <v>PR 1/13</v>
      </c>
      <c r="E479" s="2" t="str">
        <f>IFERROR(__xludf.DUMMYFUNCTION("""COMPUTED_VALUE"""),"หญิง")</f>
        <v>หญิง</v>
      </c>
      <c r="F479" s="5" t="str">
        <f>IFERROR(__xludf.DUMMYFUNCTION("""COMPUTED_VALUE"""),"https://azizstan.net/student_image/26387.jpg")</f>
        <v>https://azizstan.net/student_image/26387.jpg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" t="str">
        <f>IFERROR(__xludf.DUMMYFUNCTION("""COMPUTED_VALUE"""),"26395")</f>
        <v>26395</v>
      </c>
      <c r="B480" s="3" t="str">
        <f>IFERROR(__xludf.DUMMYFUNCTION("""COMPUTED_VALUE"""),"ด.ญ.นิฟาดา วายีเกา")</f>
        <v>ด.ญ.นิฟาดา วายีเกา</v>
      </c>
      <c r="C480" s="3" t="str">
        <f>IFERROR(__xludf.DUMMYFUNCTION("""COMPUTED_VALUE"""),"ม.1/13")</f>
        <v>ม.1/13</v>
      </c>
      <c r="D480" s="3" t="str">
        <f>IFERROR(__xludf.DUMMYFUNCTION("""COMPUTED_VALUE"""),"PR 1/13")</f>
        <v>PR 1/13</v>
      </c>
      <c r="E480" s="2" t="str">
        <f>IFERROR(__xludf.DUMMYFUNCTION("""COMPUTED_VALUE"""),"หญิง")</f>
        <v>หญิง</v>
      </c>
      <c r="F480" s="5" t="str">
        <f>IFERROR(__xludf.DUMMYFUNCTION("""COMPUTED_VALUE"""),"https://azizstan.net/student_image/26395.jpg")</f>
        <v>https://azizstan.net/student_image/26395.jpg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" t="str">
        <f>IFERROR(__xludf.DUMMYFUNCTION("""COMPUTED_VALUE"""),"26403")</f>
        <v>26403</v>
      </c>
      <c r="B481" s="3" t="str">
        <f>IFERROR(__xludf.DUMMYFUNCTION("""COMPUTED_VALUE"""),"ด.ญ.นุรซรีตา หะมะ")</f>
        <v>ด.ญ.นุรซรีตา หะมะ</v>
      </c>
      <c r="C481" s="3" t="str">
        <f>IFERROR(__xludf.DUMMYFUNCTION("""COMPUTED_VALUE"""),"ม.1/13")</f>
        <v>ม.1/13</v>
      </c>
      <c r="D481" s="3" t="str">
        <f>IFERROR(__xludf.DUMMYFUNCTION("""COMPUTED_VALUE"""),"PR 1/13")</f>
        <v>PR 1/13</v>
      </c>
      <c r="E481" s="2" t="str">
        <f>IFERROR(__xludf.DUMMYFUNCTION("""COMPUTED_VALUE"""),"หญิง")</f>
        <v>หญิง</v>
      </c>
      <c r="F481" s="5" t="str">
        <f>IFERROR(__xludf.DUMMYFUNCTION("""COMPUTED_VALUE"""),"https://azizstan.net/student_image/26403.jpg")</f>
        <v>https://azizstan.net/student_image/26403.jpg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" t="str">
        <f>IFERROR(__xludf.DUMMYFUNCTION("""COMPUTED_VALUE"""),"26431")</f>
        <v>26431</v>
      </c>
      <c r="B482" s="3" t="str">
        <f>IFERROR(__xludf.DUMMYFUNCTION("""COMPUTED_VALUE"""),"ด.ญ.ซูมัยยะห์ ยูโซ๊ะ")</f>
        <v>ด.ญ.ซูมัยยะห์ ยูโซ๊ะ</v>
      </c>
      <c r="C482" s="3" t="str">
        <f>IFERROR(__xludf.DUMMYFUNCTION("""COMPUTED_VALUE"""),"ม.1/13")</f>
        <v>ม.1/13</v>
      </c>
      <c r="D482" s="3" t="str">
        <f>IFERROR(__xludf.DUMMYFUNCTION("""COMPUTED_VALUE"""),"PR 1/13")</f>
        <v>PR 1/13</v>
      </c>
      <c r="E482" s="2" t="str">
        <f>IFERROR(__xludf.DUMMYFUNCTION("""COMPUTED_VALUE"""),"หญิง")</f>
        <v>หญิง</v>
      </c>
      <c r="F482" s="5" t="str">
        <f>IFERROR(__xludf.DUMMYFUNCTION("""COMPUTED_VALUE"""),"https://azizstan.net/student_image/26431.jpg")</f>
        <v>https://azizstan.net/student_image/26431.jpg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 t="str">
        <f>IFERROR(__xludf.DUMMYFUNCTION("""COMPUTED_VALUE"""),"26455")</f>
        <v>26455</v>
      </c>
      <c r="B483" s="3" t="str">
        <f>IFERROR(__xludf.DUMMYFUNCTION("""COMPUTED_VALUE"""),"ด.ญ.อัฟเร๊าะห์ กาซา")</f>
        <v>ด.ญ.อัฟเร๊าะห์ กาซา</v>
      </c>
      <c r="C483" s="3" t="str">
        <f>IFERROR(__xludf.DUMMYFUNCTION("""COMPUTED_VALUE"""),"ม.1/13")</f>
        <v>ม.1/13</v>
      </c>
      <c r="D483" s="3" t="str">
        <f>IFERROR(__xludf.DUMMYFUNCTION("""COMPUTED_VALUE"""),"PR 1/13")</f>
        <v>PR 1/13</v>
      </c>
      <c r="E483" s="2" t="str">
        <f>IFERROR(__xludf.DUMMYFUNCTION("""COMPUTED_VALUE"""),"หญิง")</f>
        <v>หญิง</v>
      </c>
      <c r="F483" s="5" t="str">
        <f>IFERROR(__xludf.DUMMYFUNCTION("""COMPUTED_VALUE"""),"https://azizstan.net/student_image/26455.jpg")</f>
        <v>https://azizstan.net/student_image/26455.jpg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" t="str">
        <f>IFERROR(__xludf.DUMMYFUNCTION("""COMPUTED_VALUE"""),"26460")</f>
        <v>26460</v>
      </c>
      <c r="B484" s="3" t="str">
        <f>IFERROR(__xludf.DUMMYFUNCTION("""COMPUTED_VALUE"""),"ด.ญ.นุรฟัดดลีน หะยีสะแลแม")</f>
        <v>ด.ญ.นุรฟัดดลีน หะยีสะแลแม</v>
      </c>
      <c r="C484" s="3" t="str">
        <f>IFERROR(__xludf.DUMMYFUNCTION("""COMPUTED_VALUE"""),"ม.1/13")</f>
        <v>ม.1/13</v>
      </c>
      <c r="D484" s="3" t="str">
        <f>IFERROR(__xludf.DUMMYFUNCTION("""COMPUTED_VALUE"""),"PR 1/13")</f>
        <v>PR 1/13</v>
      </c>
      <c r="E484" s="2" t="str">
        <f>IFERROR(__xludf.DUMMYFUNCTION("""COMPUTED_VALUE"""),"หญิง")</f>
        <v>หญิง</v>
      </c>
      <c r="F484" s="5" t="str">
        <f>IFERROR(__xludf.DUMMYFUNCTION("""COMPUTED_VALUE"""),"https://azizstan.net/student_image/26460.jpg")</f>
        <v>https://azizstan.net/student_image/26460.jpg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" t="str">
        <f>IFERROR(__xludf.DUMMYFUNCTION("""COMPUTED_VALUE"""),"26462")</f>
        <v>26462</v>
      </c>
      <c r="B485" s="3" t="str">
        <f>IFERROR(__xludf.DUMMYFUNCTION("""COMPUTED_VALUE"""),"ด.ญ.ณัญมล มีหัด")</f>
        <v>ด.ญ.ณัญมล มีหัด</v>
      </c>
      <c r="C485" s="3" t="str">
        <f>IFERROR(__xludf.DUMMYFUNCTION("""COMPUTED_VALUE"""),"ม.1/13")</f>
        <v>ม.1/13</v>
      </c>
      <c r="D485" s="3" t="str">
        <f>IFERROR(__xludf.DUMMYFUNCTION("""COMPUTED_VALUE"""),"PR 1/13")</f>
        <v>PR 1/13</v>
      </c>
      <c r="E485" s="2" t="str">
        <f>IFERROR(__xludf.DUMMYFUNCTION("""COMPUTED_VALUE"""),"หญิง")</f>
        <v>หญิง</v>
      </c>
      <c r="F485" s="5" t="str">
        <f>IFERROR(__xludf.DUMMYFUNCTION("""COMPUTED_VALUE"""),"https://azizstan.net/student_image/26462.jpg")</f>
        <v>https://azizstan.net/student_image/26462.jpg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" t="str">
        <f>IFERROR(__xludf.DUMMYFUNCTION("""COMPUTED_VALUE"""),"26486")</f>
        <v>26486</v>
      </c>
      <c r="B486" s="3" t="str">
        <f>IFERROR(__xludf.DUMMYFUNCTION("""COMPUTED_VALUE"""),"ด.ญ.อาวาติฟ ดอเลาะแม")</f>
        <v>ด.ญ.อาวาติฟ ดอเลาะแม</v>
      </c>
      <c r="C486" s="3" t="str">
        <f>IFERROR(__xludf.DUMMYFUNCTION("""COMPUTED_VALUE"""),"ม.1/13")</f>
        <v>ม.1/13</v>
      </c>
      <c r="D486" s="3" t="str">
        <f>IFERROR(__xludf.DUMMYFUNCTION("""COMPUTED_VALUE"""),"PR 1/13")</f>
        <v>PR 1/13</v>
      </c>
      <c r="E486" s="2" t="str">
        <f>IFERROR(__xludf.DUMMYFUNCTION("""COMPUTED_VALUE"""),"หญิง")</f>
        <v>หญิง</v>
      </c>
      <c r="F486" s="5" t="str">
        <f>IFERROR(__xludf.DUMMYFUNCTION("""COMPUTED_VALUE"""),"https://azizstan.net/student_image/26486.jpg")</f>
        <v>https://azizstan.net/student_image/26486.jpg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" t="str">
        <f>IFERROR(__xludf.DUMMYFUNCTION("""COMPUTED_VALUE"""),"26507")</f>
        <v>26507</v>
      </c>
      <c r="B487" s="3" t="str">
        <f>IFERROR(__xludf.DUMMYFUNCTION("""COMPUTED_VALUE"""),"ด.ญ.นูรฟิรดาว สือนิ")</f>
        <v>ด.ญ.นูรฟิรดาว สือนิ</v>
      </c>
      <c r="C487" s="3" t="str">
        <f>IFERROR(__xludf.DUMMYFUNCTION("""COMPUTED_VALUE"""),"ม.1/13")</f>
        <v>ม.1/13</v>
      </c>
      <c r="D487" s="3" t="str">
        <f>IFERROR(__xludf.DUMMYFUNCTION("""COMPUTED_VALUE"""),"PR 1/13")</f>
        <v>PR 1/13</v>
      </c>
      <c r="E487" s="2" t="str">
        <f>IFERROR(__xludf.DUMMYFUNCTION("""COMPUTED_VALUE"""),"หญิง")</f>
        <v>หญิง</v>
      </c>
      <c r="F487" s="5" t="str">
        <f>IFERROR(__xludf.DUMMYFUNCTION("""COMPUTED_VALUE"""),"https://azizstan.net/student_image/26507.jpg")</f>
        <v>https://azizstan.net/student_image/26507.jpg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" t="str">
        <f>IFERROR(__xludf.DUMMYFUNCTION("""COMPUTED_VALUE"""),"26546")</f>
        <v>26546</v>
      </c>
      <c r="B488" s="3" t="str">
        <f>IFERROR(__xludf.DUMMYFUNCTION("""COMPUTED_VALUE"""),"ด.ญ.ซาวีตา สิริเต๊ะ")</f>
        <v>ด.ญ.ซาวีตา สิริเต๊ะ</v>
      </c>
      <c r="C488" s="3" t="str">
        <f>IFERROR(__xludf.DUMMYFUNCTION("""COMPUTED_VALUE"""),"ม.1/13")</f>
        <v>ม.1/13</v>
      </c>
      <c r="D488" s="3" t="str">
        <f>IFERROR(__xludf.DUMMYFUNCTION("""COMPUTED_VALUE"""),"PR 1/13")</f>
        <v>PR 1/13</v>
      </c>
      <c r="E488" s="2" t="str">
        <f>IFERROR(__xludf.DUMMYFUNCTION("""COMPUTED_VALUE"""),"หญิง")</f>
        <v>หญิง</v>
      </c>
      <c r="F488" s="5" t="str">
        <f>IFERROR(__xludf.DUMMYFUNCTION("""COMPUTED_VALUE"""),"https://azizstan.net/student_image/26546.jpg")</f>
        <v>https://azizstan.net/student_image/26546.jpg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 t="str">
        <f>IFERROR(__xludf.DUMMYFUNCTION("""COMPUTED_VALUE"""),"26573")</f>
        <v>26573</v>
      </c>
      <c r="B489" s="3" t="str">
        <f>IFERROR(__xludf.DUMMYFUNCTION("""COMPUTED_VALUE"""),"ด.ญ.นูรฮานันต์ กาลี")</f>
        <v>ด.ญ.นูรฮานันต์ กาลี</v>
      </c>
      <c r="C489" s="3" t="str">
        <f>IFERROR(__xludf.DUMMYFUNCTION("""COMPUTED_VALUE"""),"ม.1/13")</f>
        <v>ม.1/13</v>
      </c>
      <c r="D489" s="3" t="str">
        <f>IFERROR(__xludf.DUMMYFUNCTION("""COMPUTED_VALUE"""),"PR 1/13")</f>
        <v>PR 1/13</v>
      </c>
      <c r="E489" s="2" t="str">
        <f>IFERROR(__xludf.DUMMYFUNCTION("""COMPUTED_VALUE"""),"หญิง")</f>
        <v>หญิง</v>
      </c>
      <c r="F489" s="5" t="str">
        <f>IFERROR(__xludf.DUMMYFUNCTION("""COMPUTED_VALUE"""),"https://azizstan.net/student_image/26573.jpg")</f>
        <v>https://azizstan.net/student_image/26573.jpg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 t="str">
        <f>IFERROR(__xludf.DUMMYFUNCTION("""COMPUTED_VALUE"""),"26594")</f>
        <v>26594</v>
      </c>
      <c r="B490" s="3" t="str">
        <f>IFERROR(__xludf.DUMMYFUNCTION("""COMPUTED_VALUE"""),"ด.ญ.นูรดีนี่ย์ บาเหม")</f>
        <v>ด.ญ.นูรดีนี่ย์ บาเหม</v>
      </c>
      <c r="C490" s="3" t="str">
        <f>IFERROR(__xludf.DUMMYFUNCTION("""COMPUTED_VALUE"""),"ม.1/13")</f>
        <v>ม.1/13</v>
      </c>
      <c r="D490" s="3" t="str">
        <f>IFERROR(__xludf.DUMMYFUNCTION("""COMPUTED_VALUE"""),"PR 1/13")</f>
        <v>PR 1/13</v>
      </c>
      <c r="E490" s="2" t="str">
        <f>IFERROR(__xludf.DUMMYFUNCTION("""COMPUTED_VALUE"""),"หญิง")</f>
        <v>หญิง</v>
      </c>
      <c r="F490" s="5" t="str">
        <f>IFERROR(__xludf.DUMMYFUNCTION("""COMPUTED_VALUE"""),"https://azizstan.net/student_image/26594.jpg")</f>
        <v>https://azizstan.net/student_image/26594.jpg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 t="str">
        <f>IFERROR(__xludf.DUMMYFUNCTION("""COMPUTED_VALUE"""),"26611")</f>
        <v>26611</v>
      </c>
      <c r="B491" s="3" t="str">
        <f>IFERROR(__xludf.DUMMYFUNCTION("""COMPUTED_VALUE"""),"ด.ญ.นูรุลอาซามี หะยีเจ๊ะมะ")</f>
        <v>ด.ญ.นูรุลอาซามี หะยีเจ๊ะมะ</v>
      </c>
      <c r="C491" s="3" t="str">
        <f>IFERROR(__xludf.DUMMYFUNCTION("""COMPUTED_VALUE"""),"ม.1/13")</f>
        <v>ม.1/13</v>
      </c>
      <c r="D491" s="3" t="str">
        <f>IFERROR(__xludf.DUMMYFUNCTION("""COMPUTED_VALUE"""),"PR 1/13")</f>
        <v>PR 1/13</v>
      </c>
      <c r="E491" s="2" t="str">
        <f>IFERROR(__xludf.DUMMYFUNCTION("""COMPUTED_VALUE"""),"หญิง")</f>
        <v>หญิง</v>
      </c>
      <c r="F491" s="5" t="str">
        <f>IFERROR(__xludf.DUMMYFUNCTION("""COMPUTED_VALUE"""),"https://azizstan.net/student_image/26611.jpg")</f>
        <v>https://azizstan.net/student_image/26611.jpg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" t="str">
        <f>IFERROR(__xludf.DUMMYFUNCTION("""COMPUTED_VALUE"""),"26622")</f>
        <v>26622</v>
      </c>
      <c r="B492" s="3" t="str">
        <f>IFERROR(__xludf.DUMMYFUNCTION("""COMPUTED_VALUE"""),"ด.ญ.นัสรีน เจ๊ะฮะ")</f>
        <v>ด.ญ.นัสรีน เจ๊ะฮะ</v>
      </c>
      <c r="C492" s="3" t="str">
        <f>IFERROR(__xludf.DUMMYFUNCTION("""COMPUTED_VALUE"""),"ม.1/13")</f>
        <v>ม.1/13</v>
      </c>
      <c r="D492" s="3" t="str">
        <f>IFERROR(__xludf.DUMMYFUNCTION("""COMPUTED_VALUE"""),"PR 1/13")</f>
        <v>PR 1/13</v>
      </c>
      <c r="E492" s="2" t="str">
        <f>IFERROR(__xludf.DUMMYFUNCTION("""COMPUTED_VALUE"""),"หญิง")</f>
        <v>หญิง</v>
      </c>
      <c r="F492" s="5" t="str">
        <f>IFERROR(__xludf.DUMMYFUNCTION("""COMPUTED_VALUE"""),"https://azizstan.net/student_image/26622.jpg")</f>
        <v>https://azizstan.net/student_image/26622.jpg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" t="str">
        <f>IFERROR(__xludf.DUMMYFUNCTION("""COMPUTED_VALUE"""),"26633")</f>
        <v>26633</v>
      </c>
      <c r="B493" s="3" t="str">
        <f>IFERROR(__xludf.DUMMYFUNCTION("""COMPUTED_VALUE"""),"ด.ญ.อามีรา ปะหลง")</f>
        <v>ด.ญ.อามีรา ปะหลง</v>
      </c>
      <c r="C493" s="3" t="str">
        <f>IFERROR(__xludf.DUMMYFUNCTION("""COMPUTED_VALUE"""),"ม.1/13")</f>
        <v>ม.1/13</v>
      </c>
      <c r="D493" s="3" t="str">
        <f>IFERROR(__xludf.DUMMYFUNCTION("""COMPUTED_VALUE"""),"PR 1/13")</f>
        <v>PR 1/13</v>
      </c>
      <c r="E493" s="2" t="str">
        <f>IFERROR(__xludf.DUMMYFUNCTION("""COMPUTED_VALUE"""),"หญิง")</f>
        <v>หญิง</v>
      </c>
      <c r="F493" s="5" t="str">
        <f>IFERROR(__xludf.DUMMYFUNCTION("""COMPUTED_VALUE"""),"https://azizstan.net/student_image/26633.jpg")</f>
        <v>https://azizstan.net/student_image/26633.jpg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" t="str">
        <f>IFERROR(__xludf.DUMMYFUNCTION("""COMPUTED_VALUE"""),"26684")</f>
        <v>26684</v>
      </c>
      <c r="B494" s="3" t="str">
        <f>IFERROR(__xludf.DUMMYFUNCTION("""COMPUTED_VALUE"""),"ด.ญ.อาริสา ยุโสะ")</f>
        <v>ด.ญ.อาริสา ยุโสะ</v>
      </c>
      <c r="C494" s="3" t="str">
        <f>IFERROR(__xludf.DUMMYFUNCTION("""COMPUTED_VALUE"""),"ม.1/13")</f>
        <v>ม.1/13</v>
      </c>
      <c r="D494" s="3" t="str">
        <f>IFERROR(__xludf.DUMMYFUNCTION("""COMPUTED_VALUE"""),"PR 1/13")</f>
        <v>PR 1/13</v>
      </c>
      <c r="E494" s="2" t="str">
        <f>IFERROR(__xludf.DUMMYFUNCTION("""COMPUTED_VALUE"""),"หญิง")</f>
        <v>หญิง</v>
      </c>
      <c r="F494" s="5" t="str">
        <f>IFERROR(__xludf.DUMMYFUNCTION("""COMPUTED_VALUE"""),"https://azizstan.net/student_image/26684.jpg")</f>
        <v>https://azizstan.net/student_image/26684.jpg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" t="str">
        <f>IFERROR(__xludf.DUMMYFUNCTION("""COMPUTED_VALUE"""),"26689")</f>
        <v>26689</v>
      </c>
      <c r="B495" s="3" t="str">
        <f>IFERROR(__xludf.DUMMYFUNCTION("""COMPUTED_VALUE"""),"ด.ญ.ดาร์นัสญา เจ๊ะโหวะ")</f>
        <v>ด.ญ.ดาร์นัสญา เจ๊ะโหวะ</v>
      </c>
      <c r="C495" s="3" t="str">
        <f>IFERROR(__xludf.DUMMYFUNCTION("""COMPUTED_VALUE"""),"ม.1/13")</f>
        <v>ม.1/13</v>
      </c>
      <c r="D495" s="3" t="str">
        <f>IFERROR(__xludf.DUMMYFUNCTION("""COMPUTED_VALUE"""),"PR 1/13")</f>
        <v>PR 1/13</v>
      </c>
      <c r="E495" s="2" t="str">
        <f>IFERROR(__xludf.DUMMYFUNCTION("""COMPUTED_VALUE"""),"หญิง")</f>
        <v>หญิง</v>
      </c>
      <c r="F495" s="5" t="str">
        <f>IFERROR(__xludf.DUMMYFUNCTION("""COMPUTED_VALUE"""),"https://azizstan.net/student_image/26689.jpg")</f>
        <v>https://azizstan.net/student_image/26689.jpg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 t="str">
        <f>IFERROR(__xludf.DUMMYFUNCTION("""COMPUTED_VALUE"""),"26718")</f>
        <v>26718</v>
      </c>
      <c r="B496" s="3" t="str">
        <f>IFERROR(__xludf.DUMMYFUNCTION("""COMPUTED_VALUE"""),"ด.ญ.สาวียะห์ บือสา")</f>
        <v>ด.ญ.สาวียะห์ บือสา</v>
      </c>
      <c r="C496" s="3" t="str">
        <f>IFERROR(__xludf.DUMMYFUNCTION("""COMPUTED_VALUE"""),"ม.1/13")</f>
        <v>ม.1/13</v>
      </c>
      <c r="D496" s="3" t="str">
        <f>IFERROR(__xludf.DUMMYFUNCTION("""COMPUTED_VALUE"""),"PR 1/13")</f>
        <v>PR 1/13</v>
      </c>
      <c r="E496" s="2" t="str">
        <f>IFERROR(__xludf.DUMMYFUNCTION("""COMPUTED_VALUE"""),"หญิง")</f>
        <v>หญิง</v>
      </c>
      <c r="F496" s="5" t="str">
        <f>IFERROR(__xludf.DUMMYFUNCTION("""COMPUTED_VALUE"""),"https://azizstan.net/student_image/26718.jpg")</f>
        <v>https://azizstan.net/student_image/26718.jpg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 t="str">
        <f>IFERROR(__xludf.DUMMYFUNCTION("""COMPUTED_VALUE"""),"26731")</f>
        <v>26731</v>
      </c>
      <c r="B497" s="3" t="str">
        <f>IFERROR(__xludf.DUMMYFUNCTION("""COMPUTED_VALUE"""),"ด.ญ.ซามีมี สาแม")</f>
        <v>ด.ญ.ซามีมี สาแม</v>
      </c>
      <c r="C497" s="3" t="str">
        <f>IFERROR(__xludf.DUMMYFUNCTION("""COMPUTED_VALUE"""),"ม.1/13")</f>
        <v>ม.1/13</v>
      </c>
      <c r="D497" s="3" t="str">
        <f>IFERROR(__xludf.DUMMYFUNCTION("""COMPUTED_VALUE"""),"PR 1/13")</f>
        <v>PR 1/13</v>
      </c>
      <c r="E497" s="2" t="str">
        <f>IFERROR(__xludf.DUMMYFUNCTION("""COMPUTED_VALUE"""),"หญิง")</f>
        <v>หญิง</v>
      </c>
      <c r="F497" s="5" t="str">
        <f>IFERROR(__xludf.DUMMYFUNCTION("""COMPUTED_VALUE"""),"https://azizstan.net/student_image/26731.jpg")</f>
        <v>https://azizstan.net/student_image/26731.jpg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 t="str">
        <f>IFERROR(__xludf.DUMMYFUNCTION("""COMPUTED_VALUE"""),"26744")</f>
        <v>26744</v>
      </c>
      <c r="B498" s="3" t="str">
        <f>IFERROR(__xludf.DUMMYFUNCTION("""COMPUTED_VALUE"""),"ด.ญ.อานีเซีย กามา")</f>
        <v>ด.ญ.อานีเซีย กามา</v>
      </c>
      <c r="C498" s="3" t="str">
        <f>IFERROR(__xludf.DUMMYFUNCTION("""COMPUTED_VALUE"""),"ม.1/13")</f>
        <v>ม.1/13</v>
      </c>
      <c r="D498" s="3" t="str">
        <f>IFERROR(__xludf.DUMMYFUNCTION("""COMPUTED_VALUE"""),"PR 1/13")</f>
        <v>PR 1/13</v>
      </c>
      <c r="E498" s="2" t="str">
        <f>IFERROR(__xludf.DUMMYFUNCTION("""COMPUTED_VALUE"""),"หญิง")</f>
        <v>หญิง</v>
      </c>
      <c r="F498" s="5" t="str">
        <f>IFERROR(__xludf.DUMMYFUNCTION("""COMPUTED_VALUE"""),"https://azizstan.net/student_image/26744.jpg")</f>
        <v>https://azizstan.net/student_image/26744.jpg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" t="str">
        <f>IFERROR(__xludf.DUMMYFUNCTION("""COMPUTED_VALUE"""),"26750")</f>
        <v>26750</v>
      </c>
      <c r="B499" s="3" t="str">
        <f>IFERROR(__xludf.DUMMYFUNCTION("""COMPUTED_VALUE"""),"ด.ญ.อารียา โต๊ะเหม")</f>
        <v>ด.ญ.อารียา โต๊ะเหม</v>
      </c>
      <c r="C499" s="3" t="str">
        <f>IFERROR(__xludf.DUMMYFUNCTION("""COMPUTED_VALUE"""),"ม.1/13")</f>
        <v>ม.1/13</v>
      </c>
      <c r="D499" s="3" t="str">
        <f>IFERROR(__xludf.DUMMYFUNCTION("""COMPUTED_VALUE"""),"PR 1/13")</f>
        <v>PR 1/13</v>
      </c>
      <c r="E499" s="2" t="str">
        <f>IFERROR(__xludf.DUMMYFUNCTION("""COMPUTED_VALUE"""),"หญิง")</f>
        <v>หญิง</v>
      </c>
      <c r="F499" s="5" t="str">
        <f>IFERROR(__xludf.DUMMYFUNCTION("""COMPUTED_VALUE"""),"https://azizstan.net/student_image/26750.jpg")</f>
        <v>https://azizstan.net/student_image/26750.jpg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" t="str">
        <f>IFERROR(__xludf.DUMMYFUNCTION("""COMPUTED_VALUE"""),"26050")</f>
        <v>26050</v>
      </c>
      <c r="B500" s="3" t="str">
        <f>IFERROR(__xludf.DUMMYFUNCTION("""COMPUTED_VALUE"""),"ด.ญ.ดารียา อาสากำแหง")</f>
        <v>ด.ญ.ดารียา อาสากำแหง</v>
      </c>
      <c r="C500" s="3" t="str">
        <f>IFERROR(__xludf.DUMMYFUNCTION("""COMPUTED_VALUE"""),"ม.1/14")</f>
        <v>ม.1/14</v>
      </c>
      <c r="D500" s="3" t="str">
        <f>IFERROR(__xludf.DUMMYFUNCTION("""COMPUTED_VALUE"""),"PR 1/14")</f>
        <v>PR 1/14</v>
      </c>
      <c r="E500" s="2" t="str">
        <f>IFERROR(__xludf.DUMMYFUNCTION("""COMPUTED_VALUE"""),"หญิง")</f>
        <v>หญิง</v>
      </c>
      <c r="F500" s="5" t="str">
        <f>IFERROR(__xludf.DUMMYFUNCTION("""COMPUTED_VALUE"""),"https://azizstan.net/student_image/26050.jpg")</f>
        <v>https://azizstan.net/student_image/26050.jpg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" t="str">
        <f>IFERROR(__xludf.DUMMYFUNCTION("""COMPUTED_VALUE"""),"26052")</f>
        <v>26052</v>
      </c>
      <c r="B501" s="3" t="str">
        <f>IFERROR(__xludf.DUMMYFUNCTION("""COMPUTED_VALUE"""),"ด.ญ.นูรบัลกิส มะแซ")</f>
        <v>ด.ญ.นูรบัลกิส มะแซ</v>
      </c>
      <c r="C501" s="3" t="str">
        <f>IFERROR(__xludf.DUMMYFUNCTION("""COMPUTED_VALUE"""),"ม.1/14")</f>
        <v>ม.1/14</v>
      </c>
      <c r="D501" s="3" t="str">
        <f>IFERROR(__xludf.DUMMYFUNCTION("""COMPUTED_VALUE"""),"PR 1/14")</f>
        <v>PR 1/14</v>
      </c>
      <c r="E501" s="2" t="str">
        <f>IFERROR(__xludf.DUMMYFUNCTION("""COMPUTED_VALUE"""),"หญิง")</f>
        <v>หญิง</v>
      </c>
      <c r="F501" s="5" t="str">
        <f>IFERROR(__xludf.DUMMYFUNCTION("""COMPUTED_VALUE"""),"https://azizstan.net/student_image/26052.jpg")</f>
        <v>https://azizstan.net/student_image/26052.jpg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" t="str">
        <f>IFERROR(__xludf.DUMMYFUNCTION("""COMPUTED_VALUE"""),"26055")</f>
        <v>26055</v>
      </c>
      <c r="B502" s="3" t="str">
        <f>IFERROR(__xludf.DUMMYFUNCTION("""COMPUTED_VALUE"""),"ด.ญ.นูรอาวาตีฟ ดอเลาะ")</f>
        <v>ด.ญ.นูรอาวาตีฟ ดอเลาะ</v>
      </c>
      <c r="C502" s="3" t="str">
        <f>IFERROR(__xludf.DUMMYFUNCTION("""COMPUTED_VALUE"""),"ม.1/14")</f>
        <v>ม.1/14</v>
      </c>
      <c r="D502" s="3" t="str">
        <f>IFERROR(__xludf.DUMMYFUNCTION("""COMPUTED_VALUE"""),"PR 1/14")</f>
        <v>PR 1/14</v>
      </c>
      <c r="E502" s="2" t="str">
        <f>IFERROR(__xludf.DUMMYFUNCTION("""COMPUTED_VALUE"""),"หญิง")</f>
        <v>หญิง</v>
      </c>
      <c r="F502" s="5" t="str">
        <f>IFERROR(__xludf.DUMMYFUNCTION("""COMPUTED_VALUE"""),"https://azizstan.net/student_image/26055.jpg")</f>
        <v>https://azizstan.net/student_image/26055.jpg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 t="str">
        <f>IFERROR(__xludf.DUMMYFUNCTION("""COMPUTED_VALUE"""),"26112")</f>
        <v>26112</v>
      </c>
      <c r="B503" s="3" t="str">
        <f>IFERROR(__xludf.DUMMYFUNCTION("""COMPUTED_VALUE"""),"ด.ญ.นิซัลวา สะดียามู")</f>
        <v>ด.ญ.นิซัลวา สะดียามู</v>
      </c>
      <c r="C503" s="3" t="str">
        <f>IFERROR(__xludf.DUMMYFUNCTION("""COMPUTED_VALUE"""),"ม.1/14")</f>
        <v>ม.1/14</v>
      </c>
      <c r="D503" s="3" t="str">
        <f>IFERROR(__xludf.DUMMYFUNCTION("""COMPUTED_VALUE"""),"PR 1/14")</f>
        <v>PR 1/14</v>
      </c>
      <c r="E503" s="2" t="str">
        <f>IFERROR(__xludf.DUMMYFUNCTION("""COMPUTED_VALUE"""),"หญิง")</f>
        <v>หญิง</v>
      </c>
      <c r="F503" s="5" t="str">
        <f>IFERROR(__xludf.DUMMYFUNCTION("""COMPUTED_VALUE"""),"https://azizstan.net/student_image/26112.jpg")</f>
        <v>https://azizstan.net/student_image/26112.jpg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 t="str">
        <f>IFERROR(__xludf.DUMMYFUNCTION("""COMPUTED_VALUE"""),"26122")</f>
        <v>26122</v>
      </c>
      <c r="B504" s="3" t="str">
        <f>IFERROR(__xludf.DUMMYFUNCTION("""COMPUTED_VALUE"""),"ด.ญ.มัสลินดา ลาเต๊ะ")</f>
        <v>ด.ญ.มัสลินดา ลาเต๊ะ</v>
      </c>
      <c r="C504" s="3" t="str">
        <f>IFERROR(__xludf.DUMMYFUNCTION("""COMPUTED_VALUE"""),"ม.1/14")</f>
        <v>ม.1/14</v>
      </c>
      <c r="D504" s="3" t="str">
        <f>IFERROR(__xludf.DUMMYFUNCTION("""COMPUTED_VALUE"""),"PR 1/14")</f>
        <v>PR 1/14</v>
      </c>
      <c r="E504" s="2" t="str">
        <f>IFERROR(__xludf.DUMMYFUNCTION("""COMPUTED_VALUE"""),"หญิง")</f>
        <v>หญิง</v>
      </c>
      <c r="F504" s="5" t="str">
        <f>IFERROR(__xludf.DUMMYFUNCTION("""COMPUTED_VALUE"""),"https://azizstan.net/student_image/26122.jpg")</f>
        <v>https://azizstan.net/student_image/26122.jpg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 t="str">
        <f>IFERROR(__xludf.DUMMYFUNCTION("""COMPUTED_VALUE"""),"26210")</f>
        <v>26210</v>
      </c>
      <c r="B505" s="3" t="str">
        <f>IFERROR(__xludf.DUMMYFUNCTION("""COMPUTED_VALUE"""),"ด.ญ.อาวาตีฟ ดือราเซะ")</f>
        <v>ด.ญ.อาวาตีฟ ดือราเซะ</v>
      </c>
      <c r="C505" s="3" t="str">
        <f>IFERROR(__xludf.DUMMYFUNCTION("""COMPUTED_VALUE"""),"ม.1/14")</f>
        <v>ม.1/14</v>
      </c>
      <c r="D505" s="3" t="str">
        <f>IFERROR(__xludf.DUMMYFUNCTION("""COMPUTED_VALUE"""),"PR 1/14")</f>
        <v>PR 1/14</v>
      </c>
      <c r="E505" s="2" t="str">
        <f>IFERROR(__xludf.DUMMYFUNCTION("""COMPUTED_VALUE"""),"หญิง")</f>
        <v>หญิง</v>
      </c>
      <c r="F505" s="5" t="str">
        <f>IFERROR(__xludf.DUMMYFUNCTION("""COMPUTED_VALUE"""),"https://azizstan.net/student_image/26210.jpg")</f>
        <v>https://azizstan.net/student_image/26210.jpg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" t="str">
        <f>IFERROR(__xludf.DUMMYFUNCTION("""COMPUTED_VALUE"""),"26256")</f>
        <v>26256</v>
      </c>
      <c r="B506" s="3" t="str">
        <f>IFERROR(__xludf.DUMMYFUNCTION("""COMPUTED_VALUE"""),"ด.ญ.นูรอัยนี สะมะแอ")</f>
        <v>ด.ญ.นูรอัยนี สะมะแอ</v>
      </c>
      <c r="C506" s="3" t="str">
        <f>IFERROR(__xludf.DUMMYFUNCTION("""COMPUTED_VALUE"""),"ม.1/14")</f>
        <v>ม.1/14</v>
      </c>
      <c r="D506" s="3" t="str">
        <f>IFERROR(__xludf.DUMMYFUNCTION("""COMPUTED_VALUE"""),"PR 1/14")</f>
        <v>PR 1/14</v>
      </c>
      <c r="E506" s="2" t="str">
        <f>IFERROR(__xludf.DUMMYFUNCTION("""COMPUTED_VALUE"""),"หญิง")</f>
        <v>หญิง</v>
      </c>
      <c r="F506" s="5" t="str">
        <f>IFERROR(__xludf.DUMMYFUNCTION("""COMPUTED_VALUE"""),"https://azizstan.net/student_image/26256.jpg")</f>
        <v>https://azizstan.net/student_image/26256.jpg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" t="str">
        <f>IFERROR(__xludf.DUMMYFUNCTION("""COMPUTED_VALUE"""),"26280")</f>
        <v>26280</v>
      </c>
      <c r="B507" s="3" t="str">
        <f>IFERROR(__xludf.DUMMYFUNCTION("""COMPUTED_VALUE"""),"ด.ญ.อณิศ มูซอ")</f>
        <v>ด.ญ.อณิศ มูซอ</v>
      </c>
      <c r="C507" s="3" t="str">
        <f>IFERROR(__xludf.DUMMYFUNCTION("""COMPUTED_VALUE"""),"ม.1/14")</f>
        <v>ม.1/14</v>
      </c>
      <c r="D507" s="3" t="str">
        <f>IFERROR(__xludf.DUMMYFUNCTION("""COMPUTED_VALUE"""),"PR 1/14")</f>
        <v>PR 1/14</v>
      </c>
      <c r="E507" s="2" t="str">
        <f>IFERROR(__xludf.DUMMYFUNCTION("""COMPUTED_VALUE"""),"หญิง")</f>
        <v>หญิง</v>
      </c>
      <c r="F507" s="5" t="str">
        <f>IFERROR(__xludf.DUMMYFUNCTION("""COMPUTED_VALUE"""),"https://azizstan.net/student_image/26280.jpg")</f>
        <v>https://azizstan.net/student_image/26280.jpg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" t="str">
        <f>IFERROR(__xludf.DUMMYFUNCTION("""COMPUTED_VALUE"""),"26282")</f>
        <v>26282</v>
      </c>
      <c r="B508" s="3" t="str">
        <f>IFERROR(__xludf.DUMMYFUNCTION("""COMPUTED_VALUE"""),"ด.ญ.ตัสนีม สาแม")</f>
        <v>ด.ญ.ตัสนีม สาแม</v>
      </c>
      <c r="C508" s="3" t="str">
        <f>IFERROR(__xludf.DUMMYFUNCTION("""COMPUTED_VALUE"""),"ม.1/14")</f>
        <v>ม.1/14</v>
      </c>
      <c r="D508" s="3" t="str">
        <f>IFERROR(__xludf.DUMMYFUNCTION("""COMPUTED_VALUE"""),"PR 1/14")</f>
        <v>PR 1/14</v>
      </c>
      <c r="E508" s="2" t="str">
        <f>IFERROR(__xludf.DUMMYFUNCTION("""COMPUTED_VALUE"""),"หญิง")</f>
        <v>หญิง</v>
      </c>
      <c r="F508" s="5" t="str">
        <f>IFERROR(__xludf.DUMMYFUNCTION("""COMPUTED_VALUE"""),"https://azizstan.net/student_image/26282.jpg")</f>
        <v>https://azizstan.net/student_image/26282.jpg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" t="str">
        <f>IFERROR(__xludf.DUMMYFUNCTION("""COMPUTED_VALUE"""),"26374")</f>
        <v>26374</v>
      </c>
      <c r="B509" s="3" t="str">
        <f>IFERROR(__xludf.DUMMYFUNCTION("""COMPUTED_VALUE"""),"ด.ญ.อามาลีนา ยีเร็ง")</f>
        <v>ด.ญ.อามาลีนา ยีเร็ง</v>
      </c>
      <c r="C509" s="3" t="str">
        <f>IFERROR(__xludf.DUMMYFUNCTION("""COMPUTED_VALUE"""),"ม.1/14")</f>
        <v>ม.1/14</v>
      </c>
      <c r="D509" s="3" t="str">
        <f>IFERROR(__xludf.DUMMYFUNCTION("""COMPUTED_VALUE"""),"PR 1/14")</f>
        <v>PR 1/14</v>
      </c>
      <c r="E509" s="2" t="str">
        <f>IFERROR(__xludf.DUMMYFUNCTION("""COMPUTED_VALUE"""),"หญิง")</f>
        <v>หญิง</v>
      </c>
      <c r="F509" s="5" t="str">
        <f>IFERROR(__xludf.DUMMYFUNCTION("""COMPUTED_VALUE"""),"https://azizstan.net/student_image/26374.jpg")</f>
        <v>https://azizstan.net/student_image/26374.jpg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 t="str">
        <f>IFERROR(__xludf.DUMMYFUNCTION("""COMPUTED_VALUE"""),"26389")</f>
        <v>26389</v>
      </c>
      <c r="B510" s="3" t="str">
        <f>IFERROR(__xludf.DUMMYFUNCTION("""COMPUTED_VALUE"""),"ด.ญ.ซูฟียา บือราเฮง")</f>
        <v>ด.ญ.ซูฟียา บือราเฮง</v>
      </c>
      <c r="C510" s="3" t="str">
        <f>IFERROR(__xludf.DUMMYFUNCTION("""COMPUTED_VALUE"""),"ม.1/14")</f>
        <v>ม.1/14</v>
      </c>
      <c r="D510" s="3" t="str">
        <f>IFERROR(__xludf.DUMMYFUNCTION("""COMPUTED_VALUE"""),"PR 1/14")</f>
        <v>PR 1/14</v>
      </c>
      <c r="E510" s="2" t="str">
        <f>IFERROR(__xludf.DUMMYFUNCTION("""COMPUTED_VALUE"""),"หญิง")</f>
        <v>หญิง</v>
      </c>
      <c r="F510" s="5" t="str">
        <f>IFERROR(__xludf.DUMMYFUNCTION("""COMPUTED_VALUE"""),"https://azizstan.net/student_image/26389.jpg")</f>
        <v>https://azizstan.net/student_image/26389.jpg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 t="str">
        <f>IFERROR(__xludf.DUMMYFUNCTION("""COMPUTED_VALUE"""),"26398")</f>
        <v>26398</v>
      </c>
      <c r="B511" s="3" t="str">
        <f>IFERROR(__xludf.DUMMYFUNCTION("""COMPUTED_VALUE"""),"ด.ญ.นริศรา มิ่งแม้น")</f>
        <v>ด.ญ.นริศรา มิ่งแม้น</v>
      </c>
      <c r="C511" s="3" t="str">
        <f>IFERROR(__xludf.DUMMYFUNCTION("""COMPUTED_VALUE"""),"ม.1/14")</f>
        <v>ม.1/14</v>
      </c>
      <c r="D511" s="3" t="str">
        <f>IFERROR(__xludf.DUMMYFUNCTION("""COMPUTED_VALUE"""),"PR 1/14")</f>
        <v>PR 1/14</v>
      </c>
      <c r="E511" s="2" t="str">
        <f>IFERROR(__xludf.DUMMYFUNCTION("""COMPUTED_VALUE"""),"หญิง")</f>
        <v>หญิง</v>
      </c>
      <c r="F511" s="5" t="str">
        <f>IFERROR(__xludf.DUMMYFUNCTION("""COMPUTED_VALUE"""),"https://azizstan.net/student_image/26398.jpg")</f>
        <v>https://azizstan.net/student_image/26398.jpg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 t="str">
        <f>IFERROR(__xludf.DUMMYFUNCTION("""COMPUTED_VALUE"""),"26406")</f>
        <v>26406</v>
      </c>
      <c r="B512" s="3" t="str">
        <f>IFERROR(__xludf.DUMMYFUNCTION("""COMPUTED_VALUE"""),"ด.ญ.ซาบิตาร์ สาแล๊ะหมิน")</f>
        <v>ด.ญ.ซาบิตาร์ สาแล๊ะหมิน</v>
      </c>
      <c r="C512" s="3" t="str">
        <f>IFERROR(__xludf.DUMMYFUNCTION("""COMPUTED_VALUE"""),"ม.1/14")</f>
        <v>ม.1/14</v>
      </c>
      <c r="D512" s="3" t="str">
        <f>IFERROR(__xludf.DUMMYFUNCTION("""COMPUTED_VALUE"""),"PR 1/14")</f>
        <v>PR 1/14</v>
      </c>
      <c r="E512" s="2" t="str">
        <f>IFERROR(__xludf.DUMMYFUNCTION("""COMPUTED_VALUE"""),"หญิง")</f>
        <v>หญิง</v>
      </c>
      <c r="F512" s="5" t="str">
        <f>IFERROR(__xludf.DUMMYFUNCTION("""COMPUTED_VALUE"""),"https://azizstan.net/student_image/26406.jpg")</f>
        <v>https://azizstan.net/student_image/26406.jpg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 t="str">
        <f>IFERROR(__xludf.DUMMYFUNCTION("""COMPUTED_VALUE"""),"26411")</f>
        <v>26411</v>
      </c>
      <c r="B513" s="3" t="str">
        <f>IFERROR(__xludf.DUMMYFUNCTION("""COMPUTED_VALUE"""),"ด.ญ.นารีสรา สลำเหม")</f>
        <v>ด.ญ.นารีสรา สลำเหม</v>
      </c>
      <c r="C513" s="3" t="str">
        <f>IFERROR(__xludf.DUMMYFUNCTION("""COMPUTED_VALUE"""),"ม.1/14")</f>
        <v>ม.1/14</v>
      </c>
      <c r="D513" s="3" t="str">
        <f>IFERROR(__xludf.DUMMYFUNCTION("""COMPUTED_VALUE"""),"PR 1/14")</f>
        <v>PR 1/14</v>
      </c>
      <c r="E513" s="2" t="str">
        <f>IFERROR(__xludf.DUMMYFUNCTION("""COMPUTED_VALUE"""),"หญิง")</f>
        <v>หญิง</v>
      </c>
      <c r="F513" s="5" t="str">
        <f>IFERROR(__xludf.DUMMYFUNCTION("""COMPUTED_VALUE"""),"https://azizstan.net/student_image/26411.jpg")</f>
        <v>https://azizstan.net/student_image/26411.jpg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 t="str">
        <f>IFERROR(__xludf.DUMMYFUNCTION("""COMPUTED_VALUE"""),"26465")</f>
        <v>26465</v>
      </c>
      <c r="B514" s="3" t="str">
        <f>IFERROR(__xludf.DUMMYFUNCTION("""COMPUTED_VALUE"""),"ด.ญ.นูร์ฟิตดาวส์ ดาโอ๊ะ")</f>
        <v>ด.ญ.นูร์ฟิตดาวส์ ดาโอ๊ะ</v>
      </c>
      <c r="C514" s="3" t="str">
        <f>IFERROR(__xludf.DUMMYFUNCTION("""COMPUTED_VALUE"""),"ม.1/14")</f>
        <v>ม.1/14</v>
      </c>
      <c r="D514" s="3" t="str">
        <f>IFERROR(__xludf.DUMMYFUNCTION("""COMPUTED_VALUE"""),"PR 1/14")</f>
        <v>PR 1/14</v>
      </c>
      <c r="E514" s="2" t="str">
        <f>IFERROR(__xludf.DUMMYFUNCTION("""COMPUTED_VALUE"""),"หญิง")</f>
        <v>หญิง</v>
      </c>
      <c r="F514" s="5" t="str">
        <f>IFERROR(__xludf.DUMMYFUNCTION("""COMPUTED_VALUE"""),"https://azizstan.net/student_image/26465.jpg")</f>
        <v>https://azizstan.net/student_image/26465.jpg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" t="str">
        <f>IFERROR(__xludf.DUMMYFUNCTION("""COMPUTED_VALUE"""),"26483")</f>
        <v>26483</v>
      </c>
      <c r="B515" s="3" t="str">
        <f>IFERROR(__xludf.DUMMYFUNCTION("""COMPUTED_VALUE"""),"ด.ญ.นูรฟาติน ดอเล๊าะ")</f>
        <v>ด.ญ.นูรฟาติน ดอเล๊าะ</v>
      </c>
      <c r="C515" s="3" t="str">
        <f>IFERROR(__xludf.DUMMYFUNCTION("""COMPUTED_VALUE"""),"ม.1/14")</f>
        <v>ม.1/14</v>
      </c>
      <c r="D515" s="3" t="str">
        <f>IFERROR(__xludf.DUMMYFUNCTION("""COMPUTED_VALUE"""),"PR 1/14")</f>
        <v>PR 1/14</v>
      </c>
      <c r="E515" s="2" t="str">
        <f>IFERROR(__xludf.DUMMYFUNCTION("""COMPUTED_VALUE"""),"หญิง")</f>
        <v>หญิง</v>
      </c>
      <c r="F515" s="5" t="str">
        <f>IFERROR(__xludf.DUMMYFUNCTION("""COMPUTED_VALUE"""),"https://azizstan.net/student_image/26483.jpg")</f>
        <v>https://azizstan.net/student_image/26483.jpg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" t="str">
        <f>IFERROR(__xludf.DUMMYFUNCTION("""COMPUTED_VALUE"""),"26485")</f>
        <v>26485</v>
      </c>
      <c r="B516" s="3" t="str">
        <f>IFERROR(__xludf.DUMMYFUNCTION("""COMPUTED_VALUE"""),"ด.ญ.โซเฟียร์ เด็นเล๊าะ")</f>
        <v>ด.ญ.โซเฟียร์ เด็นเล๊าะ</v>
      </c>
      <c r="C516" s="3" t="str">
        <f>IFERROR(__xludf.DUMMYFUNCTION("""COMPUTED_VALUE"""),"ม.1/14")</f>
        <v>ม.1/14</v>
      </c>
      <c r="D516" s="3" t="str">
        <f>IFERROR(__xludf.DUMMYFUNCTION("""COMPUTED_VALUE"""),"PR 1/14")</f>
        <v>PR 1/14</v>
      </c>
      <c r="E516" s="2" t="str">
        <f>IFERROR(__xludf.DUMMYFUNCTION("""COMPUTED_VALUE"""),"หญิง")</f>
        <v>หญิง</v>
      </c>
      <c r="F516" s="5" t="str">
        <f>IFERROR(__xludf.DUMMYFUNCTION("""COMPUTED_VALUE"""),"https://azizstan.net/student_image/26485.jpg")</f>
        <v>https://azizstan.net/student_image/26485.jpg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" t="str">
        <f>IFERROR(__xludf.DUMMYFUNCTION("""COMPUTED_VALUE"""),"26501")</f>
        <v>26501</v>
      </c>
      <c r="B517" s="3" t="str">
        <f>IFERROR(__xludf.DUMMYFUNCTION("""COMPUTED_VALUE"""),"ด.ญ.กูสมี มานิ๊")</f>
        <v>ด.ญ.กูสมี มานิ๊</v>
      </c>
      <c r="C517" s="3" t="str">
        <f>IFERROR(__xludf.DUMMYFUNCTION("""COMPUTED_VALUE"""),"ม.1/14")</f>
        <v>ม.1/14</v>
      </c>
      <c r="D517" s="3" t="str">
        <f>IFERROR(__xludf.DUMMYFUNCTION("""COMPUTED_VALUE"""),"PR 1/14")</f>
        <v>PR 1/14</v>
      </c>
      <c r="E517" s="2" t="str">
        <f>IFERROR(__xludf.DUMMYFUNCTION("""COMPUTED_VALUE"""),"หญิง")</f>
        <v>หญิง</v>
      </c>
      <c r="F517" s="5" t="str">
        <f>IFERROR(__xludf.DUMMYFUNCTION("""COMPUTED_VALUE"""),"https://azizstan.net/student_image/26501.jpg")</f>
        <v>https://azizstan.net/student_image/26501.jpg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" t="str">
        <f>IFERROR(__xludf.DUMMYFUNCTION("""COMPUTED_VALUE"""),"26514")</f>
        <v>26514</v>
      </c>
      <c r="B518" s="3" t="str">
        <f>IFERROR(__xludf.DUMMYFUNCTION("""COMPUTED_VALUE"""),"ด.ญ.อลิษา เตาวาโต")</f>
        <v>ด.ญ.อลิษา เตาวาโต</v>
      </c>
      <c r="C518" s="3" t="str">
        <f>IFERROR(__xludf.DUMMYFUNCTION("""COMPUTED_VALUE"""),"ม.1/14")</f>
        <v>ม.1/14</v>
      </c>
      <c r="D518" s="3" t="str">
        <f>IFERROR(__xludf.DUMMYFUNCTION("""COMPUTED_VALUE"""),"PR 1/14")</f>
        <v>PR 1/14</v>
      </c>
      <c r="E518" s="2" t="str">
        <f>IFERROR(__xludf.DUMMYFUNCTION("""COMPUTED_VALUE"""),"หญิง")</f>
        <v>หญิง</v>
      </c>
      <c r="F518" s="5" t="str">
        <f>IFERROR(__xludf.DUMMYFUNCTION("""COMPUTED_VALUE"""),"https://azizstan.net/student_image/26514.jpg")</f>
        <v>https://azizstan.net/student_image/26514.jpg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" t="str">
        <f>IFERROR(__xludf.DUMMYFUNCTION("""COMPUTED_VALUE"""),"26568")</f>
        <v>26568</v>
      </c>
      <c r="B519" s="3" t="str">
        <f>IFERROR(__xludf.DUMMYFUNCTION("""COMPUTED_VALUE"""),"ด.ญ.รุสมีนา สีบู้")</f>
        <v>ด.ญ.รุสมีนา สีบู้</v>
      </c>
      <c r="C519" s="3" t="str">
        <f>IFERROR(__xludf.DUMMYFUNCTION("""COMPUTED_VALUE"""),"ม.1/14")</f>
        <v>ม.1/14</v>
      </c>
      <c r="D519" s="3" t="str">
        <f>IFERROR(__xludf.DUMMYFUNCTION("""COMPUTED_VALUE"""),"PR 1/14")</f>
        <v>PR 1/14</v>
      </c>
      <c r="E519" s="2" t="str">
        <f>IFERROR(__xludf.DUMMYFUNCTION("""COMPUTED_VALUE"""),"หญิง")</f>
        <v>หญิง</v>
      </c>
      <c r="F519" s="5" t="str">
        <f>IFERROR(__xludf.DUMMYFUNCTION("""COMPUTED_VALUE"""),"https://azizstan.net/student_image/26568.jpg")</f>
        <v>https://azizstan.net/student_image/26568.jpg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" t="str">
        <f>IFERROR(__xludf.DUMMYFUNCTION("""COMPUTED_VALUE"""),"26580")</f>
        <v>26580</v>
      </c>
      <c r="B520" s="3" t="str">
        <f>IFERROR(__xludf.DUMMYFUNCTION("""COMPUTED_VALUE"""),"ด.ญ.อาอีเซาะห์ ยามา")</f>
        <v>ด.ญ.อาอีเซาะห์ ยามา</v>
      </c>
      <c r="C520" s="3" t="str">
        <f>IFERROR(__xludf.DUMMYFUNCTION("""COMPUTED_VALUE"""),"ม.1/14")</f>
        <v>ม.1/14</v>
      </c>
      <c r="D520" s="3" t="str">
        <f>IFERROR(__xludf.DUMMYFUNCTION("""COMPUTED_VALUE"""),"PR 1/14")</f>
        <v>PR 1/14</v>
      </c>
      <c r="E520" s="2" t="str">
        <f>IFERROR(__xludf.DUMMYFUNCTION("""COMPUTED_VALUE"""),"หญิง")</f>
        <v>หญิง</v>
      </c>
      <c r="F520" s="5" t="str">
        <f>IFERROR(__xludf.DUMMYFUNCTION("""COMPUTED_VALUE"""),"https://azizstan.net/student_image/26580.jpg")</f>
        <v>https://azizstan.net/student_image/26580.jpg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" t="str">
        <f>IFERROR(__xludf.DUMMYFUNCTION("""COMPUTED_VALUE"""),"26605")</f>
        <v>26605</v>
      </c>
      <c r="B521" s="3" t="str">
        <f>IFERROR(__xludf.DUMMYFUNCTION("""COMPUTED_VALUE"""),"ด.ญ.นูรซาฮาร่า ปาทาน")</f>
        <v>ด.ญ.นูรซาฮาร่า ปาทาน</v>
      </c>
      <c r="C521" s="3" t="str">
        <f>IFERROR(__xludf.DUMMYFUNCTION("""COMPUTED_VALUE"""),"ม.1/14")</f>
        <v>ม.1/14</v>
      </c>
      <c r="D521" s="3" t="str">
        <f>IFERROR(__xludf.DUMMYFUNCTION("""COMPUTED_VALUE"""),"PR 1/14")</f>
        <v>PR 1/14</v>
      </c>
      <c r="E521" s="2" t="str">
        <f>IFERROR(__xludf.DUMMYFUNCTION("""COMPUTED_VALUE"""),"หญิง")</f>
        <v>หญิง</v>
      </c>
      <c r="F521" s="5" t="str">
        <f>IFERROR(__xludf.DUMMYFUNCTION("""COMPUTED_VALUE"""),"https://azizstan.net/student_image/26605.jpg")</f>
        <v>https://azizstan.net/student_image/26605.jpg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" t="str">
        <f>IFERROR(__xludf.DUMMYFUNCTION("""COMPUTED_VALUE"""),"26608")</f>
        <v>26608</v>
      </c>
      <c r="B522" s="3" t="str">
        <f>IFERROR(__xludf.DUMMYFUNCTION("""COMPUTED_VALUE"""),"ด.ญ.มัซนี แยนา")</f>
        <v>ด.ญ.มัซนี แยนา</v>
      </c>
      <c r="C522" s="3" t="str">
        <f>IFERROR(__xludf.DUMMYFUNCTION("""COMPUTED_VALUE"""),"ม.1/14")</f>
        <v>ม.1/14</v>
      </c>
      <c r="D522" s="3" t="str">
        <f>IFERROR(__xludf.DUMMYFUNCTION("""COMPUTED_VALUE"""),"PR 1/14")</f>
        <v>PR 1/14</v>
      </c>
      <c r="E522" s="2" t="str">
        <f>IFERROR(__xludf.DUMMYFUNCTION("""COMPUTED_VALUE"""),"หญิง")</f>
        <v>หญิง</v>
      </c>
      <c r="F522" s="5" t="str">
        <f>IFERROR(__xludf.DUMMYFUNCTION("""COMPUTED_VALUE"""),"https://azizstan.net/student_image/26608.jpg")</f>
        <v>https://azizstan.net/student_image/26608.jpg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" t="str">
        <f>IFERROR(__xludf.DUMMYFUNCTION("""COMPUTED_VALUE"""),"26609")</f>
        <v>26609</v>
      </c>
      <c r="B523" s="3" t="str">
        <f>IFERROR(__xludf.DUMMYFUNCTION("""COMPUTED_VALUE"""),"ด.ญ.นูสรา สะมะฮอ")</f>
        <v>ด.ญ.นูสรา สะมะฮอ</v>
      </c>
      <c r="C523" s="3" t="str">
        <f>IFERROR(__xludf.DUMMYFUNCTION("""COMPUTED_VALUE"""),"ม.1/14")</f>
        <v>ม.1/14</v>
      </c>
      <c r="D523" s="3" t="str">
        <f>IFERROR(__xludf.DUMMYFUNCTION("""COMPUTED_VALUE"""),"PR 1/14")</f>
        <v>PR 1/14</v>
      </c>
      <c r="E523" s="2" t="str">
        <f>IFERROR(__xludf.DUMMYFUNCTION("""COMPUTED_VALUE"""),"หญิง")</f>
        <v>หญิง</v>
      </c>
      <c r="F523" s="5" t="str">
        <f>IFERROR(__xludf.DUMMYFUNCTION("""COMPUTED_VALUE"""),"https://azizstan.net/student_image/26609.jpg")</f>
        <v>https://azizstan.net/student_image/26609.jpg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" t="str">
        <f>IFERROR(__xludf.DUMMYFUNCTION("""COMPUTED_VALUE"""),"26614")</f>
        <v>26614</v>
      </c>
      <c r="B524" s="3" t="str">
        <f>IFERROR(__xludf.DUMMYFUNCTION("""COMPUTED_VALUE"""),"ด.ญ.ซอลิห๊ะ โต๊ะหลาง")</f>
        <v>ด.ญ.ซอลิห๊ะ โต๊ะหลาง</v>
      </c>
      <c r="C524" s="3" t="str">
        <f>IFERROR(__xludf.DUMMYFUNCTION("""COMPUTED_VALUE"""),"ม.1/14")</f>
        <v>ม.1/14</v>
      </c>
      <c r="D524" s="3" t="str">
        <f>IFERROR(__xludf.DUMMYFUNCTION("""COMPUTED_VALUE"""),"PR 1/14")</f>
        <v>PR 1/14</v>
      </c>
      <c r="E524" s="2" t="str">
        <f>IFERROR(__xludf.DUMMYFUNCTION("""COMPUTED_VALUE"""),"หญิง")</f>
        <v>หญิง</v>
      </c>
      <c r="F524" s="5" t="str">
        <f>IFERROR(__xludf.DUMMYFUNCTION("""COMPUTED_VALUE"""),"https://azizstan.net/student_image/26614.jpg")</f>
        <v>https://azizstan.net/student_image/26614.jpg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" t="str">
        <f>IFERROR(__xludf.DUMMYFUNCTION("""COMPUTED_VALUE"""),"26619")</f>
        <v>26619</v>
      </c>
      <c r="B525" s="3" t="str">
        <f>IFERROR(__xludf.DUMMYFUNCTION("""COMPUTED_VALUE"""),"ด.ญ.นูรูลอัลฟา เจ๊ะเละ")</f>
        <v>ด.ญ.นูรูลอัลฟา เจ๊ะเละ</v>
      </c>
      <c r="C525" s="3" t="str">
        <f>IFERROR(__xludf.DUMMYFUNCTION("""COMPUTED_VALUE"""),"ม.1/14")</f>
        <v>ม.1/14</v>
      </c>
      <c r="D525" s="3" t="str">
        <f>IFERROR(__xludf.DUMMYFUNCTION("""COMPUTED_VALUE"""),"PR 1/14")</f>
        <v>PR 1/14</v>
      </c>
      <c r="E525" s="2" t="str">
        <f>IFERROR(__xludf.DUMMYFUNCTION("""COMPUTED_VALUE"""),"หญิง")</f>
        <v>หญิง</v>
      </c>
      <c r="F525" s="5" t="str">
        <f>IFERROR(__xludf.DUMMYFUNCTION("""COMPUTED_VALUE"""),"https://azizstan.net/student_image/26619.jpg")</f>
        <v>https://azizstan.net/student_image/26619.jpg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" t="str">
        <f>IFERROR(__xludf.DUMMYFUNCTION("""COMPUTED_VALUE"""),"26628")</f>
        <v>26628</v>
      </c>
      <c r="B526" s="3" t="str">
        <f>IFERROR(__xludf.DUMMYFUNCTION("""COMPUTED_VALUE"""),"ด.ญ.นูรฟิรดาวซ์ วาจิ")</f>
        <v>ด.ญ.นูรฟิรดาวซ์ วาจิ</v>
      </c>
      <c r="C526" s="3" t="str">
        <f>IFERROR(__xludf.DUMMYFUNCTION("""COMPUTED_VALUE"""),"ม.1/14")</f>
        <v>ม.1/14</v>
      </c>
      <c r="D526" s="3" t="str">
        <f>IFERROR(__xludf.DUMMYFUNCTION("""COMPUTED_VALUE"""),"PR 1/14")</f>
        <v>PR 1/14</v>
      </c>
      <c r="E526" s="2" t="str">
        <f>IFERROR(__xludf.DUMMYFUNCTION("""COMPUTED_VALUE"""),"หญิง")</f>
        <v>หญิง</v>
      </c>
      <c r="F526" s="5" t="str">
        <f>IFERROR(__xludf.DUMMYFUNCTION("""COMPUTED_VALUE"""),"https://azizstan.net/student_image/26628.jpg")</f>
        <v>https://azizstan.net/student_image/26628.jpg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 t="str">
        <f>IFERROR(__xludf.DUMMYFUNCTION("""COMPUTED_VALUE"""),"26655")</f>
        <v>26655</v>
      </c>
      <c r="B527" s="3" t="str">
        <f>IFERROR(__xludf.DUMMYFUNCTION("""COMPUTED_VALUE"""),"ด.ญ.อนุสรา เต๊ะหมะ")</f>
        <v>ด.ญ.อนุสรา เต๊ะหมะ</v>
      </c>
      <c r="C527" s="3" t="str">
        <f>IFERROR(__xludf.DUMMYFUNCTION("""COMPUTED_VALUE"""),"ม.1/14")</f>
        <v>ม.1/14</v>
      </c>
      <c r="D527" s="3" t="str">
        <f>IFERROR(__xludf.DUMMYFUNCTION("""COMPUTED_VALUE"""),"PR 1/14")</f>
        <v>PR 1/14</v>
      </c>
      <c r="E527" s="2" t="str">
        <f>IFERROR(__xludf.DUMMYFUNCTION("""COMPUTED_VALUE"""),"หญิง")</f>
        <v>หญิง</v>
      </c>
      <c r="F527" s="5" t="str">
        <f>IFERROR(__xludf.DUMMYFUNCTION("""COMPUTED_VALUE"""),"https://azizstan.net/student_image/26655.jpg")</f>
        <v>https://azizstan.net/student_image/26655.jpg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 t="str">
        <f>IFERROR(__xludf.DUMMYFUNCTION("""COMPUTED_VALUE"""),"26688")</f>
        <v>26688</v>
      </c>
      <c r="B528" s="3" t="str">
        <f>IFERROR(__xludf.DUMMYFUNCTION("""COMPUTED_VALUE"""),"ด.ญ.อาวาติฟ ทิ้งแหล๊ะ")</f>
        <v>ด.ญ.อาวาติฟ ทิ้งแหล๊ะ</v>
      </c>
      <c r="C528" s="3" t="str">
        <f>IFERROR(__xludf.DUMMYFUNCTION("""COMPUTED_VALUE"""),"ม.1/14")</f>
        <v>ม.1/14</v>
      </c>
      <c r="D528" s="3" t="str">
        <f>IFERROR(__xludf.DUMMYFUNCTION("""COMPUTED_VALUE"""),"PR 1/14")</f>
        <v>PR 1/14</v>
      </c>
      <c r="E528" s="2" t="str">
        <f>IFERROR(__xludf.DUMMYFUNCTION("""COMPUTED_VALUE"""),"หญิง")</f>
        <v>หญิง</v>
      </c>
      <c r="F528" s="5" t="str">
        <f>IFERROR(__xludf.DUMMYFUNCTION("""COMPUTED_VALUE"""),"https://azizstan.net/student_image/26688.jpg")</f>
        <v>https://azizstan.net/student_image/26688.jpg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 t="str">
        <f>IFERROR(__xludf.DUMMYFUNCTION("""COMPUTED_VALUE"""),"26715")</f>
        <v>26715</v>
      </c>
      <c r="B529" s="3" t="str">
        <f>IFERROR(__xludf.DUMMYFUNCTION("""COMPUTED_VALUE"""),"ด.ญ.กมลชนก แก้วมณี")</f>
        <v>ด.ญ.กมลชนก แก้วมณี</v>
      </c>
      <c r="C529" s="3" t="str">
        <f>IFERROR(__xludf.DUMMYFUNCTION("""COMPUTED_VALUE"""),"ม.1/14")</f>
        <v>ม.1/14</v>
      </c>
      <c r="D529" s="3" t="str">
        <f>IFERROR(__xludf.DUMMYFUNCTION("""COMPUTED_VALUE"""),"PR 1/14")</f>
        <v>PR 1/14</v>
      </c>
      <c r="E529" s="2" t="str">
        <f>IFERROR(__xludf.DUMMYFUNCTION("""COMPUTED_VALUE"""),"หญิง")</f>
        <v>หญิง</v>
      </c>
      <c r="F529" s="5" t="str">
        <f>IFERROR(__xludf.DUMMYFUNCTION("""COMPUTED_VALUE"""),"https://azizstan.net/student_image/26715.jpg")</f>
        <v>https://azizstan.net/student_image/26715.jpg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 t="str">
        <f>IFERROR(__xludf.DUMMYFUNCTION("""COMPUTED_VALUE"""),"26723")</f>
        <v>26723</v>
      </c>
      <c r="B530" s="3" t="str">
        <f>IFERROR(__xludf.DUMMYFUNCTION("""COMPUTED_VALUE"""),"ด.ญ.อามีร่า มูซอ")</f>
        <v>ด.ญ.อามีร่า มูซอ</v>
      </c>
      <c r="C530" s="3" t="str">
        <f>IFERROR(__xludf.DUMMYFUNCTION("""COMPUTED_VALUE"""),"ม.1/14")</f>
        <v>ม.1/14</v>
      </c>
      <c r="D530" s="3" t="str">
        <f>IFERROR(__xludf.DUMMYFUNCTION("""COMPUTED_VALUE"""),"PR 1/14")</f>
        <v>PR 1/14</v>
      </c>
      <c r="E530" s="2" t="str">
        <f>IFERROR(__xludf.DUMMYFUNCTION("""COMPUTED_VALUE"""),"หญิง")</f>
        <v>หญิง</v>
      </c>
      <c r="F530" s="5" t="str">
        <f>IFERROR(__xludf.DUMMYFUNCTION("""COMPUTED_VALUE"""),"https://azizstan.net/student_image/26723.jpg")</f>
        <v>https://azizstan.net/student_image/26723.jpg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 t="str">
        <f>IFERROR(__xludf.DUMMYFUNCTION("""COMPUTED_VALUE"""),"26743")</f>
        <v>26743</v>
      </c>
      <c r="B531" s="3" t="str">
        <f>IFERROR(__xludf.DUMMYFUNCTION("""COMPUTED_VALUE"""),"ด.ญ.โนรฮาซีกีนฮีดายะห์ ยายอ")</f>
        <v>ด.ญ.โนรฮาซีกีนฮีดายะห์ ยายอ</v>
      </c>
      <c r="C531" s="3" t="str">
        <f>IFERROR(__xludf.DUMMYFUNCTION("""COMPUTED_VALUE"""),"ม.1/14")</f>
        <v>ม.1/14</v>
      </c>
      <c r="D531" s="3" t="str">
        <f>IFERROR(__xludf.DUMMYFUNCTION("""COMPUTED_VALUE"""),"PR 1/14")</f>
        <v>PR 1/14</v>
      </c>
      <c r="E531" s="2" t="str">
        <f>IFERROR(__xludf.DUMMYFUNCTION("""COMPUTED_VALUE"""),"หญิง")</f>
        <v>หญิง</v>
      </c>
      <c r="F531" s="5" t="str">
        <f>IFERROR(__xludf.DUMMYFUNCTION("""COMPUTED_VALUE"""),"https://azizstan.net/student_image/26743.jpg")</f>
        <v>https://azizstan.net/student_image/26743.jpg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 t="str">
        <f>IFERROR(__xludf.DUMMYFUNCTION("""COMPUTED_VALUE"""),"25160")</f>
        <v>25160</v>
      </c>
      <c r="B532" s="3" t="str">
        <f>IFERROR(__xludf.DUMMYFUNCTION("""COMPUTED_VALUE"""),"ด.ช.อารีซัน วาโด")</f>
        <v>ด.ช.อารีซัน วาโด</v>
      </c>
      <c r="C532" s="3" t="str">
        <f>IFERROR(__xludf.DUMMYFUNCTION("""COMPUTED_VALUE"""),"ม.2/1")</f>
        <v>ม.2/1</v>
      </c>
      <c r="D532" s="3" t="str">
        <f>IFERROR(__xludf.DUMMYFUNCTION("""COMPUTED_VALUE"""),"อก.1/1")</f>
        <v>อก.1/1</v>
      </c>
      <c r="E532" s="2" t="str">
        <f>IFERROR(__xludf.DUMMYFUNCTION("""COMPUTED_VALUE"""),"ชาย")</f>
        <v>ชาย</v>
      </c>
      <c r="F532" s="5" t="str">
        <f>IFERROR(__xludf.DUMMYFUNCTION("""COMPUTED_VALUE"""),"https://azizstan.net/student_image/25160.jpg")</f>
        <v>https://azizstan.net/student_image/25160.jpg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 t="str">
        <f>IFERROR(__xludf.DUMMYFUNCTION("""COMPUTED_VALUE"""),"25370")</f>
        <v>25370</v>
      </c>
      <c r="B533" s="3" t="str">
        <f>IFERROR(__xludf.DUMMYFUNCTION("""COMPUTED_VALUE"""),"ด.ช.อับบัส ยะโยะ")</f>
        <v>ด.ช.อับบัส ยะโยะ</v>
      </c>
      <c r="C533" s="3" t="str">
        <f>IFERROR(__xludf.DUMMYFUNCTION("""COMPUTED_VALUE"""),"ม.2/1")</f>
        <v>ม.2/1</v>
      </c>
      <c r="D533" s="3" t="str">
        <f>IFERROR(__xludf.DUMMYFUNCTION("""COMPUTED_VALUE"""),"อก.1/1")</f>
        <v>อก.1/1</v>
      </c>
      <c r="E533" s="2" t="str">
        <f>IFERROR(__xludf.DUMMYFUNCTION("""COMPUTED_VALUE"""),"ชาย")</f>
        <v>ชาย</v>
      </c>
      <c r="F533" s="5" t="str">
        <f>IFERROR(__xludf.DUMMYFUNCTION("""COMPUTED_VALUE"""),"https://azizstan.net/student_image/25370.jpg")</f>
        <v>https://azizstan.net/student_image/25370.jpg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 t="str">
        <f>IFERROR(__xludf.DUMMYFUNCTION("""COMPUTED_VALUE"""),"25375")</f>
        <v>25375</v>
      </c>
      <c r="B534" s="3" t="str">
        <f>IFERROR(__xludf.DUMMYFUNCTION("""COMPUTED_VALUE"""),"ด.ช.มูฮัมหมัด บือราเฮง")</f>
        <v>ด.ช.มูฮัมหมัด บือราเฮง</v>
      </c>
      <c r="C534" s="3" t="str">
        <f>IFERROR(__xludf.DUMMYFUNCTION("""COMPUTED_VALUE"""),"ม.2/1")</f>
        <v>ม.2/1</v>
      </c>
      <c r="D534" s="3" t="str">
        <f>IFERROR(__xludf.DUMMYFUNCTION("""COMPUTED_VALUE"""),"อก.1/1")</f>
        <v>อก.1/1</v>
      </c>
      <c r="E534" s="2" t="str">
        <f>IFERROR(__xludf.DUMMYFUNCTION("""COMPUTED_VALUE"""),"ชาย")</f>
        <v>ชาย</v>
      </c>
      <c r="F534" s="5" t="str">
        <f>IFERROR(__xludf.DUMMYFUNCTION("""COMPUTED_VALUE"""),"https://azizstan.net/student_image/25375.jpg")</f>
        <v>https://azizstan.net/student_image/25375.jpg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 t="str">
        <f>IFERROR(__xludf.DUMMYFUNCTION("""COMPUTED_VALUE"""),"25411")</f>
        <v>25411</v>
      </c>
      <c r="B535" s="3" t="str">
        <f>IFERROR(__xludf.DUMMYFUNCTION("""COMPUTED_VALUE"""),"ด.ช.อาซูวัน กรูแป")</f>
        <v>ด.ช.อาซูวัน กรูแป</v>
      </c>
      <c r="C535" s="3" t="str">
        <f>IFERROR(__xludf.DUMMYFUNCTION("""COMPUTED_VALUE"""),"ม.2/1")</f>
        <v>ม.2/1</v>
      </c>
      <c r="D535" s="3" t="str">
        <f>IFERROR(__xludf.DUMMYFUNCTION("""COMPUTED_VALUE"""),"อก.1/1")</f>
        <v>อก.1/1</v>
      </c>
      <c r="E535" s="2" t="str">
        <f>IFERROR(__xludf.DUMMYFUNCTION("""COMPUTED_VALUE"""),"ชาย")</f>
        <v>ชาย</v>
      </c>
      <c r="F535" s="5" t="str">
        <f>IFERROR(__xludf.DUMMYFUNCTION("""COMPUTED_VALUE"""),"https://azizstan.net/student_image/25411.jpg")</f>
        <v>https://azizstan.net/student_image/25411.jpg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 t="str">
        <f>IFERROR(__xludf.DUMMYFUNCTION("""COMPUTED_VALUE"""),"25427")</f>
        <v>25427</v>
      </c>
      <c r="B536" s="3" t="str">
        <f>IFERROR(__xludf.DUMMYFUNCTION("""COMPUTED_VALUE"""),"ด.ช.มูฮัมหมัดฟารีส สมาน")</f>
        <v>ด.ช.มูฮัมหมัดฟารีส สมาน</v>
      </c>
      <c r="C536" s="3" t="str">
        <f>IFERROR(__xludf.DUMMYFUNCTION("""COMPUTED_VALUE"""),"ม.2/1")</f>
        <v>ม.2/1</v>
      </c>
      <c r="D536" s="3" t="str">
        <f>IFERROR(__xludf.DUMMYFUNCTION("""COMPUTED_VALUE"""),"อก.1/1")</f>
        <v>อก.1/1</v>
      </c>
      <c r="E536" s="2" t="str">
        <f>IFERROR(__xludf.DUMMYFUNCTION("""COMPUTED_VALUE"""),"ชาย")</f>
        <v>ชาย</v>
      </c>
      <c r="F536" s="5" t="str">
        <f>IFERROR(__xludf.DUMMYFUNCTION("""COMPUTED_VALUE"""),"https://azizstan.net/student_image/25427.jpg")</f>
        <v>https://azizstan.net/student_image/25427.jpg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" t="str">
        <f>IFERROR(__xludf.DUMMYFUNCTION("""COMPUTED_VALUE"""),"25430")</f>
        <v>25430</v>
      </c>
      <c r="B537" s="3" t="str">
        <f>IFERROR(__xludf.DUMMYFUNCTION("""COMPUTED_VALUE"""),"ด.ช.ฟิกรี อาแด")</f>
        <v>ด.ช.ฟิกรี อาแด</v>
      </c>
      <c r="C537" s="3" t="str">
        <f>IFERROR(__xludf.DUMMYFUNCTION("""COMPUTED_VALUE"""),"ม.2/1")</f>
        <v>ม.2/1</v>
      </c>
      <c r="D537" s="3" t="str">
        <f>IFERROR(__xludf.DUMMYFUNCTION("""COMPUTED_VALUE"""),"อก.1/1")</f>
        <v>อก.1/1</v>
      </c>
      <c r="E537" s="2" t="str">
        <f>IFERROR(__xludf.DUMMYFUNCTION("""COMPUTED_VALUE"""),"ชาย")</f>
        <v>ชาย</v>
      </c>
      <c r="F537" s="5" t="str">
        <f>IFERROR(__xludf.DUMMYFUNCTION("""COMPUTED_VALUE"""),"https://azizstan.net/student_image/25430.jpg")</f>
        <v>https://azizstan.net/student_image/25430.jpg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" t="str">
        <f>IFERROR(__xludf.DUMMYFUNCTION("""COMPUTED_VALUE"""),"25438")</f>
        <v>25438</v>
      </c>
      <c r="B538" s="3" t="str">
        <f>IFERROR(__xludf.DUMMYFUNCTION("""COMPUTED_VALUE"""),"ด.ช.มูฮัมหมัดฮากีมี มัดเลาะ")</f>
        <v>ด.ช.มูฮัมหมัดฮากีมี มัดเลาะ</v>
      </c>
      <c r="C538" s="3" t="str">
        <f>IFERROR(__xludf.DUMMYFUNCTION("""COMPUTED_VALUE"""),"ม.2/1")</f>
        <v>ม.2/1</v>
      </c>
      <c r="D538" s="3" t="str">
        <f>IFERROR(__xludf.DUMMYFUNCTION("""COMPUTED_VALUE"""),"อก.1/1")</f>
        <v>อก.1/1</v>
      </c>
      <c r="E538" s="2" t="str">
        <f>IFERROR(__xludf.DUMMYFUNCTION("""COMPUTED_VALUE"""),"ชาย")</f>
        <v>ชาย</v>
      </c>
      <c r="F538" s="5" t="str">
        <f>IFERROR(__xludf.DUMMYFUNCTION("""COMPUTED_VALUE"""),"https://azizstan.net/student_image/25438.jpg")</f>
        <v>https://azizstan.net/student_image/25438.jpg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" t="str">
        <f>IFERROR(__xludf.DUMMYFUNCTION("""COMPUTED_VALUE"""),"25503")</f>
        <v>25503</v>
      </c>
      <c r="B539" s="3" t="str">
        <f>IFERROR(__xludf.DUMMYFUNCTION("""COMPUTED_VALUE"""),"ด.ช.ฮากามารุ แวสุหลง")</f>
        <v>ด.ช.ฮากามารุ แวสุหลง</v>
      </c>
      <c r="C539" s="3" t="str">
        <f>IFERROR(__xludf.DUMMYFUNCTION("""COMPUTED_VALUE"""),"ม.2/1")</f>
        <v>ม.2/1</v>
      </c>
      <c r="D539" s="3" t="str">
        <f>IFERROR(__xludf.DUMMYFUNCTION("""COMPUTED_VALUE"""),"อก.1/1")</f>
        <v>อก.1/1</v>
      </c>
      <c r="E539" s="2" t="str">
        <f>IFERROR(__xludf.DUMMYFUNCTION("""COMPUTED_VALUE"""),"ชาย")</f>
        <v>ชาย</v>
      </c>
      <c r="F539" s="5" t="str">
        <f>IFERROR(__xludf.DUMMYFUNCTION("""COMPUTED_VALUE"""),"https://azizstan.net/student_image/25503.jpg")</f>
        <v>https://azizstan.net/student_image/25503.jpg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" t="str">
        <f>IFERROR(__xludf.DUMMYFUNCTION("""COMPUTED_VALUE"""),"25516")</f>
        <v>25516</v>
      </c>
      <c r="B540" s="3" t="str">
        <f>IFERROR(__xludf.DUMMYFUNCTION("""COMPUTED_VALUE"""),"ด.ช.มูฮัมหมัดชารีฟ โผะตือระ")</f>
        <v>ด.ช.มูฮัมหมัดชารีฟ โผะตือระ</v>
      </c>
      <c r="C540" s="3" t="str">
        <f>IFERROR(__xludf.DUMMYFUNCTION("""COMPUTED_VALUE"""),"ม.2/1")</f>
        <v>ม.2/1</v>
      </c>
      <c r="D540" s="3" t="str">
        <f>IFERROR(__xludf.DUMMYFUNCTION("""COMPUTED_VALUE"""),"อก.1/1")</f>
        <v>อก.1/1</v>
      </c>
      <c r="E540" s="2" t="str">
        <f>IFERROR(__xludf.DUMMYFUNCTION("""COMPUTED_VALUE"""),"ชาย")</f>
        <v>ชาย</v>
      </c>
      <c r="F540" s="5" t="str">
        <f>IFERROR(__xludf.DUMMYFUNCTION("""COMPUTED_VALUE"""),"https://azizstan.net/student_image/25516.jpg")</f>
        <v>https://azizstan.net/student_image/25516.jpg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 t="str">
        <f>IFERROR(__xludf.DUMMYFUNCTION("""COMPUTED_VALUE"""),"25545")</f>
        <v>25545</v>
      </c>
      <c r="B541" s="3" t="str">
        <f>IFERROR(__xludf.DUMMYFUNCTION("""COMPUTED_VALUE"""),"ด.ช.อาร์ฟี ดาโอะ")</f>
        <v>ด.ช.อาร์ฟี ดาโอะ</v>
      </c>
      <c r="C541" s="3" t="str">
        <f>IFERROR(__xludf.DUMMYFUNCTION("""COMPUTED_VALUE"""),"ม.2/1")</f>
        <v>ม.2/1</v>
      </c>
      <c r="D541" s="3" t="str">
        <f>IFERROR(__xludf.DUMMYFUNCTION("""COMPUTED_VALUE"""),"อก.1/1")</f>
        <v>อก.1/1</v>
      </c>
      <c r="E541" s="2" t="str">
        <f>IFERROR(__xludf.DUMMYFUNCTION("""COMPUTED_VALUE"""),"ชาย")</f>
        <v>ชาย</v>
      </c>
      <c r="F541" s="5" t="str">
        <f>IFERROR(__xludf.DUMMYFUNCTION("""COMPUTED_VALUE"""),"https://azizstan.net/student_image/25545.jpg")</f>
        <v>https://azizstan.net/student_image/25545.jpg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 t="str">
        <f>IFERROR(__xludf.DUMMYFUNCTION("""COMPUTED_VALUE"""),"25548")</f>
        <v>25548</v>
      </c>
      <c r="B542" s="3" t="str">
        <f>IFERROR(__xludf.DUMMYFUNCTION("""COMPUTED_VALUE"""),"ด.ช.มูฮัมหมัดฟารูจ ขามิจะ")</f>
        <v>ด.ช.มูฮัมหมัดฟารูจ ขามิจะ</v>
      </c>
      <c r="C542" s="3" t="str">
        <f>IFERROR(__xludf.DUMMYFUNCTION("""COMPUTED_VALUE"""),"ม.2/1")</f>
        <v>ม.2/1</v>
      </c>
      <c r="D542" s="3" t="str">
        <f>IFERROR(__xludf.DUMMYFUNCTION("""COMPUTED_VALUE"""),"อก.1/1")</f>
        <v>อก.1/1</v>
      </c>
      <c r="E542" s="2" t="str">
        <f>IFERROR(__xludf.DUMMYFUNCTION("""COMPUTED_VALUE"""),"ชาย")</f>
        <v>ชาย</v>
      </c>
      <c r="F542" s="5" t="str">
        <f>IFERROR(__xludf.DUMMYFUNCTION("""COMPUTED_VALUE"""),"https://azizstan.net/student_image/25548.jpg")</f>
        <v>https://azizstan.net/student_image/25548.jpg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 t="str">
        <f>IFERROR(__xludf.DUMMYFUNCTION("""COMPUTED_VALUE"""),"25558")</f>
        <v>25558</v>
      </c>
      <c r="B543" s="3" t="str">
        <f>IFERROR(__xludf.DUMMYFUNCTION("""COMPUTED_VALUE"""),"ด.ช.มูฮัมหมัดรุสลัน อาแว")</f>
        <v>ด.ช.มูฮัมหมัดรุสลัน อาแว</v>
      </c>
      <c r="C543" s="3" t="str">
        <f>IFERROR(__xludf.DUMMYFUNCTION("""COMPUTED_VALUE"""),"ม.2/1")</f>
        <v>ม.2/1</v>
      </c>
      <c r="D543" s="3" t="str">
        <f>IFERROR(__xludf.DUMMYFUNCTION("""COMPUTED_VALUE"""),"อก.1/1")</f>
        <v>อก.1/1</v>
      </c>
      <c r="E543" s="2" t="str">
        <f>IFERROR(__xludf.DUMMYFUNCTION("""COMPUTED_VALUE"""),"ชาย")</f>
        <v>ชาย</v>
      </c>
      <c r="F543" s="5" t="str">
        <f>IFERROR(__xludf.DUMMYFUNCTION("""COMPUTED_VALUE"""),"https://azizstan.net/student_image/25558.jpg")</f>
        <v>https://azizstan.net/student_image/25558.jpg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 t="str">
        <f>IFERROR(__xludf.DUMMYFUNCTION("""COMPUTED_VALUE"""),"25562")</f>
        <v>25562</v>
      </c>
      <c r="B544" s="3" t="str">
        <f>IFERROR(__xludf.DUMMYFUNCTION("""COMPUTED_VALUE"""),"ด.ช.มูฮัมหมัดค็อยรุดดีน แปะแนะ")</f>
        <v>ด.ช.มูฮัมหมัดค็อยรุดดีน แปะแนะ</v>
      </c>
      <c r="C544" s="3" t="str">
        <f>IFERROR(__xludf.DUMMYFUNCTION("""COMPUTED_VALUE"""),"ม.2/1")</f>
        <v>ม.2/1</v>
      </c>
      <c r="D544" s="3" t="str">
        <f>IFERROR(__xludf.DUMMYFUNCTION("""COMPUTED_VALUE"""),"อก.1/1")</f>
        <v>อก.1/1</v>
      </c>
      <c r="E544" s="2" t="str">
        <f>IFERROR(__xludf.DUMMYFUNCTION("""COMPUTED_VALUE"""),"ชาย")</f>
        <v>ชาย</v>
      </c>
      <c r="F544" s="5" t="str">
        <f>IFERROR(__xludf.DUMMYFUNCTION("""COMPUTED_VALUE"""),"https://azizstan.net/student_image/25562.jpg")</f>
        <v>https://azizstan.net/student_image/25562.jpg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 t="str">
        <f>IFERROR(__xludf.DUMMYFUNCTION("""COMPUTED_VALUE"""),"25588")</f>
        <v>25588</v>
      </c>
      <c r="B545" s="3" t="str">
        <f>IFERROR(__xludf.DUMMYFUNCTION("""COMPUTED_VALUE"""),"ด.ช.ฟัครี มูซอ")</f>
        <v>ด.ช.ฟัครี มูซอ</v>
      </c>
      <c r="C545" s="3" t="str">
        <f>IFERROR(__xludf.DUMMYFUNCTION("""COMPUTED_VALUE"""),"ม.2/1")</f>
        <v>ม.2/1</v>
      </c>
      <c r="D545" s="3" t="str">
        <f>IFERROR(__xludf.DUMMYFUNCTION("""COMPUTED_VALUE"""),"อก.1/1")</f>
        <v>อก.1/1</v>
      </c>
      <c r="E545" s="2" t="str">
        <f>IFERROR(__xludf.DUMMYFUNCTION("""COMPUTED_VALUE"""),"ชาย")</f>
        <v>ชาย</v>
      </c>
      <c r="F545" s="5" t="str">
        <f>IFERROR(__xludf.DUMMYFUNCTION("""COMPUTED_VALUE"""),"https://azizstan.net/student_image/25588.jpg")</f>
        <v>https://azizstan.net/student_image/25588.jpg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 t="str">
        <f>IFERROR(__xludf.DUMMYFUNCTION("""COMPUTED_VALUE"""),"25638")</f>
        <v>25638</v>
      </c>
      <c r="B546" s="3" t="str">
        <f>IFERROR(__xludf.DUMMYFUNCTION("""COMPUTED_VALUE"""),"ด.ช.ซูฮัยมี มะมิง")</f>
        <v>ด.ช.ซูฮัยมี มะมิง</v>
      </c>
      <c r="C546" s="3" t="str">
        <f>IFERROR(__xludf.DUMMYFUNCTION("""COMPUTED_VALUE"""),"ม.2/1")</f>
        <v>ม.2/1</v>
      </c>
      <c r="D546" s="3" t="str">
        <f>IFERROR(__xludf.DUMMYFUNCTION("""COMPUTED_VALUE"""),"อก.1/1")</f>
        <v>อก.1/1</v>
      </c>
      <c r="E546" s="2" t="str">
        <f>IFERROR(__xludf.DUMMYFUNCTION("""COMPUTED_VALUE"""),"ชาย")</f>
        <v>ชาย</v>
      </c>
      <c r="F546" s="5" t="str">
        <f>IFERROR(__xludf.DUMMYFUNCTION("""COMPUTED_VALUE"""),"https://azizstan.net/student_image/25638.jpg")</f>
        <v>https://azizstan.net/student_image/25638.jpg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 t="str">
        <f>IFERROR(__xludf.DUMMYFUNCTION("""COMPUTED_VALUE"""),"25651")</f>
        <v>25651</v>
      </c>
      <c r="B547" s="3" t="str">
        <f>IFERROR(__xludf.DUMMYFUNCTION("""COMPUTED_VALUE"""),"ด.ช.อานีห ปูเต๊ะ")</f>
        <v>ด.ช.อานีห ปูเต๊ะ</v>
      </c>
      <c r="C547" s="3" t="str">
        <f>IFERROR(__xludf.DUMMYFUNCTION("""COMPUTED_VALUE"""),"ม.2/1")</f>
        <v>ม.2/1</v>
      </c>
      <c r="D547" s="3" t="str">
        <f>IFERROR(__xludf.DUMMYFUNCTION("""COMPUTED_VALUE"""),"อก.1/1")</f>
        <v>อก.1/1</v>
      </c>
      <c r="E547" s="2" t="str">
        <f>IFERROR(__xludf.DUMMYFUNCTION("""COMPUTED_VALUE"""),"ชาย")</f>
        <v>ชาย</v>
      </c>
      <c r="F547" s="5" t="str">
        <f>IFERROR(__xludf.DUMMYFUNCTION("""COMPUTED_VALUE"""),"https://azizstan.net/student_image/25651.jpg")</f>
        <v>https://azizstan.net/student_image/25651.jpg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 t="str">
        <f>IFERROR(__xludf.DUMMYFUNCTION("""COMPUTED_VALUE"""),"25661")</f>
        <v>25661</v>
      </c>
      <c r="B548" s="3" t="str">
        <f>IFERROR(__xludf.DUMMYFUNCTION("""COMPUTED_VALUE"""),"ด.ช.มูฮำหมัดนัดวี บาเหะ")</f>
        <v>ด.ช.มูฮำหมัดนัดวี บาเหะ</v>
      </c>
      <c r="C548" s="3" t="str">
        <f>IFERROR(__xludf.DUMMYFUNCTION("""COMPUTED_VALUE"""),"ม.2/1")</f>
        <v>ม.2/1</v>
      </c>
      <c r="D548" s="3" t="str">
        <f>IFERROR(__xludf.DUMMYFUNCTION("""COMPUTED_VALUE"""),"อก.1/1")</f>
        <v>อก.1/1</v>
      </c>
      <c r="E548" s="2" t="str">
        <f>IFERROR(__xludf.DUMMYFUNCTION("""COMPUTED_VALUE"""),"ชาย")</f>
        <v>ชาย</v>
      </c>
      <c r="F548" s="5" t="str">
        <f>IFERROR(__xludf.DUMMYFUNCTION("""COMPUTED_VALUE"""),"https://azizstan.net/student_image/25661.jpg")</f>
        <v>https://azizstan.net/student_image/25661.jpg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 t="str">
        <f>IFERROR(__xludf.DUMMYFUNCTION("""COMPUTED_VALUE"""),"25693")</f>
        <v>25693</v>
      </c>
      <c r="B549" s="3" t="str">
        <f>IFERROR(__xludf.DUMMYFUNCTION("""COMPUTED_VALUE"""),"ด.ช.อัฟฟานดี ยามูยีมะ")</f>
        <v>ด.ช.อัฟฟานดี ยามูยีมะ</v>
      </c>
      <c r="C549" s="3" t="str">
        <f>IFERROR(__xludf.DUMMYFUNCTION("""COMPUTED_VALUE"""),"ม.2/1")</f>
        <v>ม.2/1</v>
      </c>
      <c r="D549" s="3" t="str">
        <f>IFERROR(__xludf.DUMMYFUNCTION("""COMPUTED_VALUE"""),"อก.1/1")</f>
        <v>อก.1/1</v>
      </c>
      <c r="E549" s="2" t="str">
        <f>IFERROR(__xludf.DUMMYFUNCTION("""COMPUTED_VALUE"""),"ชาย")</f>
        <v>ชาย</v>
      </c>
      <c r="F549" s="5" t="str">
        <f>IFERROR(__xludf.DUMMYFUNCTION("""COMPUTED_VALUE"""),"https://azizstan.net/student_image/25693.jpg")</f>
        <v>https://azizstan.net/student_image/25693.jpg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 t="str">
        <f>IFERROR(__xludf.DUMMYFUNCTION("""COMPUTED_VALUE"""),"25696")</f>
        <v>25696</v>
      </c>
      <c r="B550" s="3" t="str">
        <f>IFERROR(__xludf.DUMMYFUNCTION("""COMPUTED_VALUE"""),"ด.ช.มุสตอฟา ปอสู")</f>
        <v>ด.ช.มุสตอฟา ปอสู</v>
      </c>
      <c r="C550" s="3" t="str">
        <f>IFERROR(__xludf.DUMMYFUNCTION("""COMPUTED_VALUE"""),"ม.2/1")</f>
        <v>ม.2/1</v>
      </c>
      <c r="D550" s="3" t="str">
        <f>IFERROR(__xludf.DUMMYFUNCTION("""COMPUTED_VALUE"""),"อก.1/1")</f>
        <v>อก.1/1</v>
      </c>
      <c r="E550" s="2" t="str">
        <f>IFERROR(__xludf.DUMMYFUNCTION("""COMPUTED_VALUE"""),"ชาย")</f>
        <v>ชาย</v>
      </c>
      <c r="F550" s="5" t="str">
        <f>IFERROR(__xludf.DUMMYFUNCTION("""COMPUTED_VALUE"""),"https://azizstan.net/student_image/25696.jpg")</f>
        <v>https://azizstan.net/student_image/25696.jpg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 t="str">
        <f>IFERROR(__xludf.DUMMYFUNCTION("""COMPUTED_VALUE"""),"25711")</f>
        <v>25711</v>
      </c>
      <c r="B551" s="3" t="str">
        <f>IFERROR(__xludf.DUMMYFUNCTION("""COMPUTED_VALUE"""),"ด.ช.อารีฟีน ลาเต๊ะ")</f>
        <v>ด.ช.อารีฟีน ลาเต๊ะ</v>
      </c>
      <c r="C551" s="3" t="str">
        <f>IFERROR(__xludf.DUMMYFUNCTION("""COMPUTED_VALUE"""),"ม.2/1")</f>
        <v>ม.2/1</v>
      </c>
      <c r="D551" s="3" t="str">
        <f>IFERROR(__xludf.DUMMYFUNCTION("""COMPUTED_VALUE"""),"อก.1/1")</f>
        <v>อก.1/1</v>
      </c>
      <c r="E551" s="2" t="str">
        <f>IFERROR(__xludf.DUMMYFUNCTION("""COMPUTED_VALUE"""),"ชาย")</f>
        <v>ชาย</v>
      </c>
      <c r="F551" s="5" t="str">
        <f>IFERROR(__xludf.DUMMYFUNCTION("""COMPUTED_VALUE"""),"https://azizstan.net/student_image/25711.jpg")</f>
        <v>https://azizstan.net/student_image/25711.jpg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 t="str">
        <f>IFERROR(__xludf.DUMMYFUNCTION("""COMPUTED_VALUE"""),"25715")</f>
        <v>25715</v>
      </c>
      <c r="B552" s="3" t="str">
        <f>IFERROR(__xludf.DUMMYFUNCTION("""COMPUTED_VALUE"""),"ด.ช.อิดิ้ลอามีน อีซอ")</f>
        <v>ด.ช.อิดิ้ลอามีน อีซอ</v>
      </c>
      <c r="C552" s="3" t="str">
        <f>IFERROR(__xludf.DUMMYFUNCTION("""COMPUTED_VALUE"""),"ม.2/1")</f>
        <v>ม.2/1</v>
      </c>
      <c r="D552" s="3" t="str">
        <f>IFERROR(__xludf.DUMMYFUNCTION("""COMPUTED_VALUE"""),"อก.1/1")</f>
        <v>อก.1/1</v>
      </c>
      <c r="E552" s="2" t="str">
        <f>IFERROR(__xludf.DUMMYFUNCTION("""COMPUTED_VALUE"""),"ชาย")</f>
        <v>ชาย</v>
      </c>
      <c r="F552" s="5" t="str">
        <f>IFERROR(__xludf.DUMMYFUNCTION("""COMPUTED_VALUE"""),"https://azizstan.net/student_image/25715.jpg")</f>
        <v>https://azizstan.net/student_image/25715.jpg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 t="str">
        <f>IFERROR(__xludf.DUMMYFUNCTION("""COMPUTED_VALUE"""),"25716")</f>
        <v>25716</v>
      </c>
      <c r="B553" s="3" t="str">
        <f>IFERROR(__xludf.DUMMYFUNCTION("""COMPUTED_VALUE"""),"ด.ช.มูฮัมหมัดคอยรูล จูแม")</f>
        <v>ด.ช.มูฮัมหมัดคอยรูล จูแม</v>
      </c>
      <c r="C553" s="3" t="str">
        <f>IFERROR(__xludf.DUMMYFUNCTION("""COMPUTED_VALUE"""),"ม.2/1")</f>
        <v>ม.2/1</v>
      </c>
      <c r="D553" s="3" t="str">
        <f>IFERROR(__xludf.DUMMYFUNCTION("""COMPUTED_VALUE"""),"อก.1/1")</f>
        <v>อก.1/1</v>
      </c>
      <c r="E553" s="2" t="str">
        <f>IFERROR(__xludf.DUMMYFUNCTION("""COMPUTED_VALUE"""),"ชาย")</f>
        <v>ชาย</v>
      </c>
      <c r="F553" s="5" t="str">
        <f>IFERROR(__xludf.DUMMYFUNCTION("""COMPUTED_VALUE"""),"https://azizstan.net/student_image/25716.jpg")</f>
        <v>https://azizstan.net/student_image/25716.jpg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" t="str">
        <f>IFERROR(__xludf.DUMMYFUNCTION("""COMPUTED_VALUE"""),"25721")</f>
        <v>25721</v>
      </c>
      <c r="B554" s="3" t="str">
        <f>IFERROR(__xludf.DUMMYFUNCTION("""COMPUTED_VALUE"""),"ด.ช.มูฮัมหมัดชารีฟ มะเด็ง")</f>
        <v>ด.ช.มูฮัมหมัดชารีฟ มะเด็ง</v>
      </c>
      <c r="C554" s="3" t="str">
        <f>IFERROR(__xludf.DUMMYFUNCTION("""COMPUTED_VALUE"""),"ม.2/1")</f>
        <v>ม.2/1</v>
      </c>
      <c r="D554" s="3" t="str">
        <f>IFERROR(__xludf.DUMMYFUNCTION("""COMPUTED_VALUE"""),"อก.1/1")</f>
        <v>อก.1/1</v>
      </c>
      <c r="E554" s="2" t="str">
        <f>IFERROR(__xludf.DUMMYFUNCTION("""COMPUTED_VALUE"""),"ชาย")</f>
        <v>ชาย</v>
      </c>
      <c r="F554" s="5" t="str">
        <f>IFERROR(__xludf.DUMMYFUNCTION("""COMPUTED_VALUE"""),"https://azizstan.net/student_image/25721.jpg")</f>
        <v>https://azizstan.net/student_image/25721.jpg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" t="str">
        <f>IFERROR(__xludf.DUMMYFUNCTION("""COMPUTED_VALUE"""),"25743")</f>
        <v>25743</v>
      </c>
      <c r="B555" s="3" t="str">
        <f>IFERROR(__xludf.DUMMYFUNCTION("""COMPUTED_VALUE"""),"ด.ช.นิเศรษฐ์ วันอารีย์สกุล")</f>
        <v>ด.ช.นิเศรษฐ์ วันอารีย์สกุล</v>
      </c>
      <c r="C555" s="3" t="str">
        <f>IFERROR(__xludf.DUMMYFUNCTION("""COMPUTED_VALUE"""),"ม.2/1")</f>
        <v>ม.2/1</v>
      </c>
      <c r="D555" s="3" t="str">
        <f>IFERROR(__xludf.DUMMYFUNCTION("""COMPUTED_VALUE"""),"อก.1/1")</f>
        <v>อก.1/1</v>
      </c>
      <c r="E555" s="2" t="str">
        <f>IFERROR(__xludf.DUMMYFUNCTION("""COMPUTED_VALUE"""),"ชาย")</f>
        <v>ชาย</v>
      </c>
      <c r="F555" s="5" t="str">
        <f>IFERROR(__xludf.DUMMYFUNCTION("""COMPUTED_VALUE"""),"https://azizstan.net/student_image/25743.jpg")</f>
        <v>https://azizstan.net/student_image/25743.jpg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" t="str">
        <f>IFERROR(__xludf.DUMMYFUNCTION("""COMPUTED_VALUE"""),"25744")</f>
        <v>25744</v>
      </c>
      <c r="B556" s="3" t="str">
        <f>IFERROR(__xludf.DUMMYFUNCTION("""COMPUTED_VALUE"""),"ด.ช.อามีรูล หัดกาเจ")</f>
        <v>ด.ช.อามีรูล หัดกาเจ</v>
      </c>
      <c r="C556" s="3" t="str">
        <f>IFERROR(__xludf.DUMMYFUNCTION("""COMPUTED_VALUE"""),"ม.2/1")</f>
        <v>ม.2/1</v>
      </c>
      <c r="D556" s="3" t="str">
        <f>IFERROR(__xludf.DUMMYFUNCTION("""COMPUTED_VALUE"""),"อก.1/1")</f>
        <v>อก.1/1</v>
      </c>
      <c r="E556" s="2" t="str">
        <f>IFERROR(__xludf.DUMMYFUNCTION("""COMPUTED_VALUE"""),"ชาย")</f>
        <v>ชาย</v>
      </c>
      <c r="F556" s="5" t="str">
        <f>IFERROR(__xludf.DUMMYFUNCTION("""COMPUTED_VALUE"""),"https://azizstan.net/student_image/25744.jpg")</f>
        <v>https://azizstan.net/student_image/25744.jpg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" t="str">
        <f>IFERROR(__xludf.DUMMYFUNCTION("""COMPUTED_VALUE"""),"25750")</f>
        <v>25750</v>
      </c>
      <c r="B557" s="3" t="str">
        <f>IFERROR(__xludf.DUMMYFUNCTION("""COMPUTED_VALUE"""),"ด.ช.มุสลีมีน เปาะสู")</f>
        <v>ด.ช.มุสลีมีน เปาะสู</v>
      </c>
      <c r="C557" s="3" t="str">
        <f>IFERROR(__xludf.DUMMYFUNCTION("""COMPUTED_VALUE"""),"ม.2/1")</f>
        <v>ม.2/1</v>
      </c>
      <c r="D557" s="3" t="str">
        <f>IFERROR(__xludf.DUMMYFUNCTION("""COMPUTED_VALUE"""),"อก.1/1")</f>
        <v>อก.1/1</v>
      </c>
      <c r="E557" s="2" t="str">
        <f>IFERROR(__xludf.DUMMYFUNCTION("""COMPUTED_VALUE"""),"ชาย")</f>
        <v>ชาย</v>
      </c>
      <c r="F557" s="5" t="str">
        <f>IFERROR(__xludf.DUMMYFUNCTION("""COMPUTED_VALUE"""),"https://azizstan.net/student_image/25750.jpg")</f>
        <v>https://azizstan.net/student_image/25750.jpg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 t="str">
        <f>IFERROR(__xludf.DUMMYFUNCTION("""COMPUTED_VALUE"""),"25766")</f>
        <v>25766</v>
      </c>
      <c r="B558" s="3" t="str">
        <f>IFERROR(__xludf.DUMMYFUNCTION("""COMPUTED_VALUE"""),"ด.ช.ซุกรอน บือราเฮง")</f>
        <v>ด.ช.ซุกรอน บือราเฮง</v>
      </c>
      <c r="C558" s="3" t="str">
        <f>IFERROR(__xludf.DUMMYFUNCTION("""COMPUTED_VALUE"""),"ม.2/1")</f>
        <v>ม.2/1</v>
      </c>
      <c r="D558" s="3" t="str">
        <f>IFERROR(__xludf.DUMMYFUNCTION("""COMPUTED_VALUE"""),"อก.1/1")</f>
        <v>อก.1/1</v>
      </c>
      <c r="E558" s="2" t="str">
        <f>IFERROR(__xludf.DUMMYFUNCTION("""COMPUTED_VALUE"""),"ชาย")</f>
        <v>ชาย</v>
      </c>
      <c r="F558" s="5" t="str">
        <f>IFERROR(__xludf.DUMMYFUNCTION("""COMPUTED_VALUE"""),"https://azizstan.net/student_image/25766.jpg")</f>
        <v>https://azizstan.net/student_image/25766.jpg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 t="str">
        <f>IFERROR(__xludf.DUMMYFUNCTION("""COMPUTED_VALUE"""),"25776")</f>
        <v>25776</v>
      </c>
      <c r="B559" s="3" t="str">
        <f>IFERROR(__xludf.DUMMYFUNCTION("""COMPUTED_VALUE"""),"ด.ช.เด่นคอสวาร์น มูดานอ")</f>
        <v>ด.ช.เด่นคอสวาร์น มูดานอ</v>
      </c>
      <c r="C559" s="3" t="str">
        <f>IFERROR(__xludf.DUMMYFUNCTION("""COMPUTED_VALUE"""),"ม.2/1")</f>
        <v>ม.2/1</v>
      </c>
      <c r="D559" s="3" t="str">
        <f>IFERROR(__xludf.DUMMYFUNCTION("""COMPUTED_VALUE"""),"อก.1/1")</f>
        <v>อก.1/1</v>
      </c>
      <c r="E559" s="2" t="str">
        <f>IFERROR(__xludf.DUMMYFUNCTION("""COMPUTED_VALUE"""),"ชาย")</f>
        <v>ชาย</v>
      </c>
      <c r="F559" s="5" t="str">
        <f>IFERROR(__xludf.DUMMYFUNCTION("""COMPUTED_VALUE"""),"https://azizstan.net/student_image/25776.jpg")</f>
        <v>https://azizstan.net/student_image/25776.jpg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 t="str">
        <f>IFERROR(__xludf.DUMMYFUNCTION("""COMPUTED_VALUE"""),"25782")</f>
        <v>25782</v>
      </c>
      <c r="B560" s="3" t="str">
        <f>IFERROR(__xludf.DUMMYFUNCTION("""COMPUTED_VALUE"""),"ด.ช.มูฮำหมัดอัฟวาน มารีเยาะ")</f>
        <v>ด.ช.มูฮำหมัดอัฟวาน มารีเยาะ</v>
      </c>
      <c r="C560" s="3" t="str">
        <f>IFERROR(__xludf.DUMMYFUNCTION("""COMPUTED_VALUE"""),"ม.2/1")</f>
        <v>ม.2/1</v>
      </c>
      <c r="D560" s="3" t="str">
        <f>IFERROR(__xludf.DUMMYFUNCTION("""COMPUTED_VALUE"""),"อก.1/1")</f>
        <v>อก.1/1</v>
      </c>
      <c r="E560" s="2" t="str">
        <f>IFERROR(__xludf.DUMMYFUNCTION("""COMPUTED_VALUE"""),"ชาย")</f>
        <v>ชาย</v>
      </c>
      <c r="F560" s="5" t="str">
        <f>IFERROR(__xludf.DUMMYFUNCTION("""COMPUTED_VALUE"""),"https://azizstan.net/student_image/25782.jpg")</f>
        <v>https://azizstan.net/student_image/25782.jpg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" t="str">
        <f>IFERROR(__xludf.DUMMYFUNCTION("""COMPUTED_VALUE"""),"25803")</f>
        <v>25803</v>
      </c>
      <c r="B561" s="3" t="str">
        <f>IFERROR(__xludf.DUMMYFUNCTION("""COMPUTED_VALUE"""),"ด.ช.อัฟฟาน จินตรา")</f>
        <v>ด.ช.อัฟฟาน จินตรา</v>
      </c>
      <c r="C561" s="3" t="str">
        <f>IFERROR(__xludf.DUMMYFUNCTION("""COMPUTED_VALUE"""),"ม.2/1")</f>
        <v>ม.2/1</v>
      </c>
      <c r="D561" s="3" t="str">
        <f>IFERROR(__xludf.DUMMYFUNCTION("""COMPUTED_VALUE"""),"อก.1/1")</f>
        <v>อก.1/1</v>
      </c>
      <c r="E561" s="2" t="str">
        <f>IFERROR(__xludf.DUMMYFUNCTION("""COMPUTED_VALUE"""),"ชาย")</f>
        <v>ชาย</v>
      </c>
      <c r="F561" s="5" t="str">
        <f>IFERROR(__xludf.DUMMYFUNCTION("""COMPUTED_VALUE"""),"https://azizstan.net/student_image/25803.jpg")</f>
        <v>https://azizstan.net/student_image/25803.jpg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" t="str">
        <f>IFERROR(__xludf.DUMMYFUNCTION("""COMPUTED_VALUE"""),"25839")</f>
        <v>25839</v>
      </c>
      <c r="B562" s="3" t="str">
        <f>IFERROR(__xludf.DUMMYFUNCTION("""COMPUTED_VALUE"""),"ด.ช.อามีน อูมา")</f>
        <v>ด.ช.อามีน อูมา</v>
      </c>
      <c r="C562" s="3" t="str">
        <f>IFERROR(__xludf.DUMMYFUNCTION("""COMPUTED_VALUE"""),"ม.2/1")</f>
        <v>ม.2/1</v>
      </c>
      <c r="D562" s="3" t="str">
        <f>IFERROR(__xludf.DUMMYFUNCTION("""COMPUTED_VALUE"""),"อก.1/1")</f>
        <v>อก.1/1</v>
      </c>
      <c r="E562" s="2" t="str">
        <f>IFERROR(__xludf.DUMMYFUNCTION("""COMPUTED_VALUE"""),"ชาย")</f>
        <v>ชาย</v>
      </c>
      <c r="F562" s="5" t="str">
        <f>IFERROR(__xludf.DUMMYFUNCTION("""COMPUTED_VALUE"""),"https://azizstan.net/student_image/25839.jpg")</f>
        <v>https://azizstan.net/student_image/25839.jpg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" t="str">
        <f>IFERROR(__xludf.DUMMYFUNCTION("""COMPUTED_VALUE"""),"25848")</f>
        <v>25848</v>
      </c>
      <c r="B563" s="3" t="str">
        <f>IFERROR(__xludf.DUMMYFUNCTION("""COMPUTED_VALUE"""),"ด.ช.อารีฟีน กียะ")</f>
        <v>ด.ช.อารีฟีน กียะ</v>
      </c>
      <c r="C563" s="3" t="str">
        <f>IFERROR(__xludf.DUMMYFUNCTION("""COMPUTED_VALUE"""),"ม.2/1")</f>
        <v>ม.2/1</v>
      </c>
      <c r="D563" s="3" t="str">
        <f>IFERROR(__xludf.DUMMYFUNCTION("""COMPUTED_VALUE"""),"อก.1/1")</f>
        <v>อก.1/1</v>
      </c>
      <c r="E563" s="2" t="str">
        <f>IFERROR(__xludf.DUMMYFUNCTION("""COMPUTED_VALUE"""),"ชาย")</f>
        <v>ชาย</v>
      </c>
      <c r="F563" s="5" t="str">
        <f>IFERROR(__xludf.DUMMYFUNCTION("""COMPUTED_VALUE"""),"https://azizstan.net/student_image/25848.jpg")</f>
        <v>https://azizstan.net/student_image/25848.jpg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" t="str">
        <f>IFERROR(__xludf.DUMMYFUNCTION("""COMPUTED_VALUE"""),"25864")</f>
        <v>25864</v>
      </c>
      <c r="B564" s="3" t="str">
        <f>IFERROR(__xludf.DUMMYFUNCTION("""COMPUTED_VALUE"""),"ด.ช.ฟะห์มาน มูเหล็ม")</f>
        <v>ด.ช.ฟะห์มาน มูเหล็ม</v>
      </c>
      <c r="C564" s="3" t="str">
        <f>IFERROR(__xludf.DUMMYFUNCTION("""COMPUTED_VALUE"""),"ม.2/1")</f>
        <v>ม.2/1</v>
      </c>
      <c r="D564" s="3" t="str">
        <f>IFERROR(__xludf.DUMMYFUNCTION("""COMPUTED_VALUE"""),"อก.1/1")</f>
        <v>อก.1/1</v>
      </c>
      <c r="E564" s="2" t="str">
        <f>IFERROR(__xludf.DUMMYFUNCTION("""COMPUTED_VALUE"""),"ชาย")</f>
        <v>ชาย</v>
      </c>
      <c r="F564" s="5" t="str">
        <f>IFERROR(__xludf.DUMMYFUNCTION("""COMPUTED_VALUE"""),"https://azizstan.net/student_image/25864.jpg")</f>
        <v>https://azizstan.net/student_image/25864.jpg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 t="str">
        <f>IFERROR(__xludf.DUMMYFUNCTION("""COMPUTED_VALUE"""),"25888")</f>
        <v>25888</v>
      </c>
      <c r="B565" s="3" t="str">
        <f>IFERROR(__xludf.DUMMYFUNCTION("""COMPUTED_VALUE"""),"ด.ช.รอยยาน สามีแล")</f>
        <v>ด.ช.รอยยาน สามีแล</v>
      </c>
      <c r="C565" s="3" t="str">
        <f>IFERROR(__xludf.DUMMYFUNCTION("""COMPUTED_VALUE"""),"ม.2/1")</f>
        <v>ม.2/1</v>
      </c>
      <c r="D565" s="3" t="str">
        <f>IFERROR(__xludf.DUMMYFUNCTION("""COMPUTED_VALUE"""),"อก.1/1")</f>
        <v>อก.1/1</v>
      </c>
      <c r="E565" s="2" t="str">
        <f>IFERROR(__xludf.DUMMYFUNCTION("""COMPUTED_VALUE"""),"ชาย")</f>
        <v>ชาย</v>
      </c>
      <c r="F565" s="5" t="str">
        <f>IFERROR(__xludf.DUMMYFUNCTION("""COMPUTED_VALUE"""),"https://azizstan.net/student_image/25888.jpg")</f>
        <v>https://azizstan.net/student_image/25888.jpg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 t="str">
        <f>IFERROR(__xludf.DUMMYFUNCTION("""COMPUTED_VALUE"""),"25893")</f>
        <v>25893</v>
      </c>
      <c r="B566" s="3" t="str">
        <f>IFERROR(__xludf.DUMMYFUNCTION("""COMPUTED_VALUE"""),"ด.ช.มะห์มุดดีน อาแด")</f>
        <v>ด.ช.มะห์มุดดีน อาแด</v>
      </c>
      <c r="C566" s="3" t="str">
        <f>IFERROR(__xludf.DUMMYFUNCTION("""COMPUTED_VALUE"""),"ม.2/1")</f>
        <v>ม.2/1</v>
      </c>
      <c r="D566" s="3" t="str">
        <f>IFERROR(__xludf.DUMMYFUNCTION("""COMPUTED_VALUE"""),"อก.1/1")</f>
        <v>อก.1/1</v>
      </c>
      <c r="E566" s="2" t="str">
        <f>IFERROR(__xludf.DUMMYFUNCTION("""COMPUTED_VALUE"""),"ชาย")</f>
        <v>ชาย</v>
      </c>
      <c r="F566" s="5" t="str">
        <f>IFERROR(__xludf.DUMMYFUNCTION("""COMPUTED_VALUE"""),"https://azizstan.net/student_image/25893.jpg")</f>
        <v>https://azizstan.net/student_image/25893.jpg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 t="str">
        <f>IFERROR(__xludf.DUMMYFUNCTION("""COMPUTED_VALUE"""),"25904")</f>
        <v>25904</v>
      </c>
      <c r="B567" s="3" t="str">
        <f>IFERROR(__xludf.DUMMYFUNCTION("""COMPUTED_VALUE"""),"ด.ช.เอกาสาปุตรา หะมะ")</f>
        <v>ด.ช.เอกาสาปุตรา หะมะ</v>
      </c>
      <c r="C567" s="3" t="str">
        <f>IFERROR(__xludf.DUMMYFUNCTION("""COMPUTED_VALUE"""),"ม.2/1")</f>
        <v>ม.2/1</v>
      </c>
      <c r="D567" s="3" t="str">
        <f>IFERROR(__xludf.DUMMYFUNCTION("""COMPUTED_VALUE"""),"อก.1/1")</f>
        <v>อก.1/1</v>
      </c>
      <c r="E567" s="2" t="str">
        <f>IFERROR(__xludf.DUMMYFUNCTION("""COMPUTED_VALUE"""),"ชาย")</f>
        <v>ชาย</v>
      </c>
      <c r="F567" s="5" t="str">
        <f>IFERROR(__xludf.DUMMYFUNCTION("""COMPUTED_VALUE"""),"https://azizstan.net/student_image/25904.jpg")</f>
        <v>https://azizstan.net/student_image/25904.jpg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" t="str">
        <f>IFERROR(__xludf.DUMMYFUNCTION("""COMPUTED_VALUE"""),"25979")</f>
        <v>25979</v>
      </c>
      <c r="B568" s="3" t="str">
        <f>IFERROR(__xludf.DUMMYFUNCTION("""COMPUTED_VALUE"""),"ด.ช.มูฮำหมัดอิลฮำ พิศแลงาม")</f>
        <v>ด.ช.มูฮำหมัดอิลฮำ พิศแลงาม</v>
      </c>
      <c r="C568" s="3" t="str">
        <f>IFERROR(__xludf.DUMMYFUNCTION("""COMPUTED_VALUE"""),"ม.2/1")</f>
        <v>ม.2/1</v>
      </c>
      <c r="D568" s="3" t="str">
        <f>IFERROR(__xludf.DUMMYFUNCTION("""COMPUTED_VALUE"""),"อก.1/1")</f>
        <v>อก.1/1</v>
      </c>
      <c r="E568" s="2" t="str">
        <f>IFERROR(__xludf.DUMMYFUNCTION("""COMPUTED_VALUE"""),"ชาย")</f>
        <v>ชาย</v>
      </c>
      <c r="F568" s="5" t="str">
        <f>IFERROR(__xludf.DUMMYFUNCTION("""COMPUTED_VALUE"""),"https://azizstan.net/student_image/25979.jpg")</f>
        <v>https://azizstan.net/student_image/25979.jpg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" t="str">
        <f>IFERROR(__xludf.DUMMYFUNCTION("""COMPUTED_VALUE"""),"26348")</f>
        <v>26348</v>
      </c>
      <c r="B569" s="3" t="str">
        <f>IFERROR(__xludf.DUMMYFUNCTION("""COMPUTED_VALUE"""),"ด.ช.อานัส สาลีเนาะ")</f>
        <v>ด.ช.อานัส สาลีเนาะ</v>
      </c>
      <c r="C569" s="3" t="str">
        <f>IFERROR(__xludf.DUMMYFUNCTION("""COMPUTED_VALUE"""),"ม.2/1")</f>
        <v>ม.2/1</v>
      </c>
      <c r="D569" s="3" t="str">
        <f>IFERROR(__xludf.DUMMYFUNCTION("""COMPUTED_VALUE"""),"อก.1/1")</f>
        <v>อก.1/1</v>
      </c>
      <c r="E569" s="2" t="str">
        <f>IFERROR(__xludf.DUMMYFUNCTION("""COMPUTED_VALUE"""),"ชาย")</f>
        <v>ชาย</v>
      </c>
      <c r="F569" s="5" t="str">
        <f>IFERROR(__xludf.DUMMYFUNCTION("""COMPUTED_VALUE"""),"https://azizstan.net/student_image/26348.jpg")</f>
        <v>https://azizstan.net/student_image/26348.jpg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" t="str">
        <f>IFERROR(__xludf.DUMMYFUNCTION("""COMPUTED_VALUE"""),"26473")</f>
        <v>26473</v>
      </c>
      <c r="B570" s="3" t="str">
        <f>IFERROR(__xludf.DUMMYFUNCTION("""COMPUTED_VALUE"""),"ด.ช.ซากีลีน เจะเด็ง")</f>
        <v>ด.ช.ซากีลีน เจะเด็ง</v>
      </c>
      <c r="C570" s="3" t="str">
        <f>IFERROR(__xludf.DUMMYFUNCTION("""COMPUTED_VALUE"""),"ม.2/1")</f>
        <v>ม.2/1</v>
      </c>
      <c r="D570" s="3" t="str">
        <f>IFERROR(__xludf.DUMMYFUNCTION("""COMPUTED_VALUE"""),"อก.1/1")</f>
        <v>อก.1/1</v>
      </c>
      <c r="E570" s="2" t="str">
        <f>IFERROR(__xludf.DUMMYFUNCTION("""COMPUTED_VALUE"""),"ชาย")</f>
        <v>ชาย</v>
      </c>
      <c r="F570" s="5" t="str">
        <f>IFERROR(__xludf.DUMMYFUNCTION("""COMPUTED_VALUE"""),"https://azizstan.net/student_image/26473.jpg")</f>
        <v>https://azizstan.net/student_image/26473.jpg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" t="str">
        <f>IFERROR(__xludf.DUMMYFUNCTION("""COMPUTED_VALUE"""),"26474")</f>
        <v>26474</v>
      </c>
      <c r="B571" s="3" t="str">
        <f>IFERROR(__xludf.DUMMYFUNCTION("""COMPUTED_VALUE"""),"ด.ช.มูฮำหมัดซอฟรี ดูมิแด")</f>
        <v>ด.ช.มูฮำหมัดซอฟรี ดูมิแด</v>
      </c>
      <c r="C571" s="3" t="str">
        <f>IFERROR(__xludf.DUMMYFUNCTION("""COMPUTED_VALUE"""),"ม.2/1")</f>
        <v>ม.2/1</v>
      </c>
      <c r="D571" s="3" t="str">
        <f>IFERROR(__xludf.DUMMYFUNCTION("""COMPUTED_VALUE"""),"อก.1/1")</f>
        <v>อก.1/1</v>
      </c>
      <c r="E571" s="2" t="str">
        <f>IFERROR(__xludf.DUMMYFUNCTION("""COMPUTED_VALUE"""),"ชาย")</f>
        <v>ชาย</v>
      </c>
      <c r="F571" s="5" t="str">
        <f>IFERROR(__xludf.DUMMYFUNCTION("""COMPUTED_VALUE"""),"https://azizstan.net/student_image/26474.jpg")</f>
        <v>https://azizstan.net/student_image/26474.jpg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" t="str">
        <f>IFERROR(__xludf.DUMMYFUNCTION("""COMPUTED_VALUE"""),"26741")</f>
        <v>26741</v>
      </c>
      <c r="B572" s="3" t="str">
        <f>IFERROR(__xludf.DUMMYFUNCTION("""COMPUTED_VALUE"""),"ด.ช.อัรฮัม อาแว")</f>
        <v>ด.ช.อัรฮัม อาแว</v>
      </c>
      <c r="C572" s="3" t="str">
        <f>IFERROR(__xludf.DUMMYFUNCTION("""COMPUTED_VALUE"""),"ม.2/1")</f>
        <v>ม.2/1</v>
      </c>
      <c r="D572" s="3" t="str">
        <f>IFERROR(__xludf.DUMMYFUNCTION("""COMPUTED_VALUE"""),"อก.1/1")</f>
        <v>อก.1/1</v>
      </c>
      <c r="E572" s="2" t="str">
        <f>IFERROR(__xludf.DUMMYFUNCTION("""COMPUTED_VALUE"""),"ชาย")</f>
        <v>ชาย</v>
      </c>
      <c r="F572" s="5" t="str">
        <f>IFERROR(__xludf.DUMMYFUNCTION("""COMPUTED_VALUE"""),"https://azizstan.net/student_image/26741.jpg")</f>
        <v>https://azizstan.net/student_image/26741.jpg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" t="str">
        <f>IFERROR(__xludf.DUMMYFUNCTION("""COMPUTED_VALUE"""),"25361")</f>
        <v>25361</v>
      </c>
      <c r="B573" s="3" t="str">
        <f>IFERROR(__xludf.DUMMYFUNCTION("""COMPUTED_VALUE"""),"ด.ช.มูฮัมหมัดฮัยกา สะนิดอเลาะ")</f>
        <v>ด.ช.มูฮัมหมัดฮัยกา สะนิดอเลาะ</v>
      </c>
      <c r="C573" s="3" t="str">
        <f>IFERROR(__xludf.DUMMYFUNCTION("""COMPUTED_VALUE"""),"ม.2/2")</f>
        <v>ม.2/2</v>
      </c>
      <c r="D573" s="3" t="str">
        <f>IFERROR(__xludf.DUMMYFUNCTION("""COMPUTED_VALUE"""),"อก.1/2")</f>
        <v>อก.1/2</v>
      </c>
      <c r="E573" s="2" t="str">
        <f>IFERROR(__xludf.DUMMYFUNCTION("""COMPUTED_VALUE"""),"ชาย")</f>
        <v>ชาย</v>
      </c>
      <c r="F573" s="5" t="str">
        <f>IFERROR(__xludf.DUMMYFUNCTION("""COMPUTED_VALUE"""),"https://azizstan.net/student_image/25361.jpg")</f>
        <v>https://azizstan.net/student_image/25361.jpg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 t="str">
        <f>IFERROR(__xludf.DUMMYFUNCTION("""COMPUTED_VALUE"""),"25365")</f>
        <v>25365</v>
      </c>
      <c r="B574" s="3" t="str">
        <f>IFERROR(__xludf.DUMMYFUNCTION("""COMPUTED_VALUE"""),"ด.ช.นาฟีส บูละ")</f>
        <v>ด.ช.นาฟีส บูละ</v>
      </c>
      <c r="C574" s="3" t="str">
        <f>IFERROR(__xludf.DUMMYFUNCTION("""COMPUTED_VALUE"""),"ม.2/2")</f>
        <v>ม.2/2</v>
      </c>
      <c r="D574" s="3" t="str">
        <f>IFERROR(__xludf.DUMMYFUNCTION("""COMPUTED_VALUE"""),"อก.1/2")</f>
        <v>อก.1/2</v>
      </c>
      <c r="E574" s="2" t="str">
        <f>IFERROR(__xludf.DUMMYFUNCTION("""COMPUTED_VALUE"""),"ชาย")</f>
        <v>ชาย</v>
      </c>
      <c r="F574" s="5" t="str">
        <f>IFERROR(__xludf.DUMMYFUNCTION("""COMPUTED_VALUE"""),"https://azizstan.net/student_image/25365.jpg")</f>
        <v>https://azizstan.net/student_image/25365.jpg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 t="str">
        <f>IFERROR(__xludf.DUMMYFUNCTION("""COMPUTED_VALUE"""),"25388")</f>
        <v>25388</v>
      </c>
      <c r="B575" s="3" t="str">
        <f>IFERROR(__xludf.DUMMYFUNCTION("""COMPUTED_VALUE"""),"ด.ช.นิอากิฟ หนิจิบุลัด")</f>
        <v>ด.ช.นิอากิฟ หนิจิบุลัด</v>
      </c>
      <c r="C575" s="3" t="str">
        <f>IFERROR(__xludf.DUMMYFUNCTION("""COMPUTED_VALUE"""),"ม.2/2")</f>
        <v>ม.2/2</v>
      </c>
      <c r="D575" s="3" t="str">
        <f>IFERROR(__xludf.DUMMYFUNCTION("""COMPUTED_VALUE"""),"อก.1/2")</f>
        <v>อก.1/2</v>
      </c>
      <c r="E575" s="2" t="str">
        <f>IFERROR(__xludf.DUMMYFUNCTION("""COMPUTED_VALUE"""),"ชาย")</f>
        <v>ชาย</v>
      </c>
      <c r="F575" s="5" t="str">
        <f>IFERROR(__xludf.DUMMYFUNCTION("""COMPUTED_VALUE"""),"https://azizstan.net/student_image/25388.jpg")</f>
        <v>https://azizstan.net/student_image/25388.jpg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 t="str">
        <f>IFERROR(__xludf.DUMMYFUNCTION("""COMPUTED_VALUE"""),"25451")</f>
        <v>25451</v>
      </c>
      <c r="B576" s="3" t="str">
        <f>IFERROR(__xludf.DUMMYFUNCTION("""COMPUTED_VALUE"""),"ด.ช.อดิศร ยีมายอ")</f>
        <v>ด.ช.อดิศร ยีมายอ</v>
      </c>
      <c r="C576" s="3" t="str">
        <f>IFERROR(__xludf.DUMMYFUNCTION("""COMPUTED_VALUE"""),"ม.2/2")</f>
        <v>ม.2/2</v>
      </c>
      <c r="D576" s="3" t="str">
        <f>IFERROR(__xludf.DUMMYFUNCTION("""COMPUTED_VALUE"""),"อก.1/2")</f>
        <v>อก.1/2</v>
      </c>
      <c r="E576" s="2" t="str">
        <f>IFERROR(__xludf.DUMMYFUNCTION("""COMPUTED_VALUE"""),"ชาย")</f>
        <v>ชาย</v>
      </c>
      <c r="F576" s="5" t="str">
        <f>IFERROR(__xludf.DUMMYFUNCTION("""COMPUTED_VALUE"""),"https://azizstan.net/student_image/25451.jpg")</f>
        <v>https://azizstan.net/student_image/25451.jpg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 t="str">
        <f>IFERROR(__xludf.DUMMYFUNCTION("""COMPUTED_VALUE"""),"25453")</f>
        <v>25453</v>
      </c>
      <c r="B577" s="3" t="str">
        <f>IFERROR(__xludf.DUMMYFUNCTION("""COMPUTED_VALUE"""),"ด.ช.อาลีฟย์ สะนิ")</f>
        <v>ด.ช.อาลีฟย์ สะนิ</v>
      </c>
      <c r="C577" s="3" t="str">
        <f>IFERROR(__xludf.DUMMYFUNCTION("""COMPUTED_VALUE"""),"ม.2/2")</f>
        <v>ม.2/2</v>
      </c>
      <c r="D577" s="3" t="str">
        <f>IFERROR(__xludf.DUMMYFUNCTION("""COMPUTED_VALUE"""),"อก.1/2")</f>
        <v>อก.1/2</v>
      </c>
      <c r="E577" s="2" t="str">
        <f>IFERROR(__xludf.DUMMYFUNCTION("""COMPUTED_VALUE"""),"ชาย")</f>
        <v>ชาย</v>
      </c>
      <c r="F577" s="5" t="str">
        <f>IFERROR(__xludf.DUMMYFUNCTION("""COMPUTED_VALUE"""),"https://azizstan.net/student_image/25453.jpg")</f>
        <v>https://azizstan.net/student_image/25453.jpg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 t="str">
        <f>IFERROR(__xludf.DUMMYFUNCTION("""COMPUTED_VALUE"""),"25488")</f>
        <v>25488</v>
      </c>
      <c r="B578" s="3" t="str">
        <f>IFERROR(__xludf.DUMMYFUNCTION("""COMPUTED_VALUE"""),"ด.ช.ซูฮัยดี อุเซ็ง")</f>
        <v>ด.ช.ซูฮัยดี อุเซ็ง</v>
      </c>
      <c r="C578" s="3" t="str">
        <f>IFERROR(__xludf.DUMMYFUNCTION("""COMPUTED_VALUE"""),"ม.2/2")</f>
        <v>ม.2/2</v>
      </c>
      <c r="D578" s="3" t="str">
        <f>IFERROR(__xludf.DUMMYFUNCTION("""COMPUTED_VALUE"""),"อก.1/2")</f>
        <v>อก.1/2</v>
      </c>
      <c r="E578" s="2" t="str">
        <f>IFERROR(__xludf.DUMMYFUNCTION("""COMPUTED_VALUE"""),"ชาย")</f>
        <v>ชาย</v>
      </c>
      <c r="F578" s="5" t="str">
        <f>IFERROR(__xludf.DUMMYFUNCTION("""COMPUTED_VALUE"""),"https://azizstan.net/student_image/25488.jpg")</f>
        <v>https://azizstan.net/student_image/25488.jpg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 t="str">
        <f>IFERROR(__xludf.DUMMYFUNCTION("""COMPUTED_VALUE"""),"25506")</f>
        <v>25506</v>
      </c>
      <c r="B579" s="3" t="str">
        <f>IFERROR(__xludf.DUMMYFUNCTION("""COMPUTED_VALUE"""),"ด.ช.อิลมี มาหิเละ")</f>
        <v>ด.ช.อิลมี มาหิเละ</v>
      </c>
      <c r="C579" s="3" t="str">
        <f>IFERROR(__xludf.DUMMYFUNCTION("""COMPUTED_VALUE"""),"ม.2/2")</f>
        <v>ม.2/2</v>
      </c>
      <c r="D579" s="3" t="str">
        <f>IFERROR(__xludf.DUMMYFUNCTION("""COMPUTED_VALUE"""),"อก.1/2")</f>
        <v>อก.1/2</v>
      </c>
      <c r="E579" s="2" t="str">
        <f>IFERROR(__xludf.DUMMYFUNCTION("""COMPUTED_VALUE"""),"ชาย")</f>
        <v>ชาย</v>
      </c>
      <c r="F579" s="5" t="str">
        <f>IFERROR(__xludf.DUMMYFUNCTION("""COMPUTED_VALUE"""),"https://azizstan.net/student_image/25506.jpg")</f>
        <v>https://azizstan.net/student_image/25506.jpg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" t="str">
        <f>IFERROR(__xludf.DUMMYFUNCTION("""COMPUTED_VALUE"""),"25521")</f>
        <v>25521</v>
      </c>
      <c r="B580" s="3" t="str">
        <f>IFERROR(__xludf.DUMMYFUNCTION("""COMPUTED_VALUE"""),"ด.ช.แวมูฮัมหมัดอาบัส บินพิทักษ์ราษฏร์")</f>
        <v>ด.ช.แวมูฮัมหมัดอาบัส บินพิทักษ์ราษฏร์</v>
      </c>
      <c r="C580" s="3" t="str">
        <f>IFERROR(__xludf.DUMMYFUNCTION("""COMPUTED_VALUE"""),"ม.2/2")</f>
        <v>ม.2/2</v>
      </c>
      <c r="D580" s="3" t="str">
        <f>IFERROR(__xludf.DUMMYFUNCTION("""COMPUTED_VALUE"""),"อก.1/2")</f>
        <v>อก.1/2</v>
      </c>
      <c r="E580" s="2" t="str">
        <f>IFERROR(__xludf.DUMMYFUNCTION("""COMPUTED_VALUE"""),"ชาย")</f>
        <v>ชาย</v>
      </c>
      <c r="F580" s="5" t="str">
        <f>IFERROR(__xludf.DUMMYFUNCTION("""COMPUTED_VALUE"""),"https://azizstan.net/student_image/25521.jpg")</f>
        <v>https://azizstan.net/student_image/25521.jpg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" t="str">
        <f>IFERROR(__xludf.DUMMYFUNCTION("""COMPUTED_VALUE"""),"25539")</f>
        <v>25539</v>
      </c>
      <c r="B581" s="3" t="str">
        <f>IFERROR(__xludf.DUMMYFUNCTION("""COMPUTED_VALUE"""),"ด.ช.อับดุลราหามัน -")</f>
        <v>ด.ช.อับดุลราหามัน -</v>
      </c>
      <c r="C581" s="3" t="str">
        <f>IFERROR(__xludf.DUMMYFUNCTION("""COMPUTED_VALUE"""),"ม.2/2")</f>
        <v>ม.2/2</v>
      </c>
      <c r="D581" s="3" t="str">
        <f>IFERROR(__xludf.DUMMYFUNCTION("""COMPUTED_VALUE"""),"อก.1/2")</f>
        <v>อก.1/2</v>
      </c>
      <c r="E581" s="2" t="str">
        <f>IFERROR(__xludf.DUMMYFUNCTION("""COMPUTED_VALUE"""),"ชาย")</f>
        <v>ชาย</v>
      </c>
      <c r="F581" s="5" t="str">
        <f>IFERROR(__xludf.DUMMYFUNCTION("""COMPUTED_VALUE"""),"https://azizstan.net/student_image/25539.jpg")</f>
        <v>https://azizstan.net/student_image/25539.jpg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" t="str">
        <f>IFERROR(__xludf.DUMMYFUNCTION("""COMPUTED_VALUE"""),"25543")</f>
        <v>25543</v>
      </c>
      <c r="B582" s="3" t="str">
        <f>IFERROR(__xludf.DUMMYFUNCTION("""COMPUTED_VALUE"""),"ด.ช.มูฮัมหมัดฮาฟิส สาเมาะ")</f>
        <v>ด.ช.มูฮัมหมัดฮาฟิส สาเมาะ</v>
      </c>
      <c r="C582" s="3" t="str">
        <f>IFERROR(__xludf.DUMMYFUNCTION("""COMPUTED_VALUE"""),"ม.2/2")</f>
        <v>ม.2/2</v>
      </c>
      <c r="D582" s="3" t="str">
        <f>IFERROR(__xludf.DUMMYFUNCTION("""COMPUTED_VALUE"""),"อก.1/2")</f>
        <v>อก.1/2</v>
      </c>
      <c r="E582" s="2" t="str">
        <f>IFERROR(__xludf.DUMMYFUNCTION("""COMPUTED_VALUE"""),"ชาย")</f>
        <v>ชาย</v>
      </c>
      <c r="F582" s="5" t="str">
        <f>IFERROR(__xludf.DUMMYFUNCTION("""COMPUTED_VALUE"""),"https://azizstan.net/student_image/25543.jpg")</f>
        <v>https://azizstan.net/student_image/25543.jpg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" t="str">
        <f>IFERROR(__xludf.DUMMYFUNCTION("""COMPUTED_VALUE"""),"25565")</f>
        <v>25565</v>
      </c>
      <c r="B583" s="3" t="str">
        <f>IFERROR(__xludf.DUMMYFUNCTION("""COMPUTED_VALUE"""),"ด.ช.นาวาวี หมะเด็น")</f>
        <v>ด.ช.นาวาวี หมะเด็น</v>
      </c>
      <c r="C583" s="3" t="str">
        <f>IFERROR(__xludf.DUMMYFUNCTION("""COMPUTED_VALUE"""),"ม.2/2")</f>
        <v>ม.2/2</v>
      </c>
      <c r="D583" s="3" t="str">
        <f>IFERROR(__xludf.DUMMYFUNCTION("""COMPUTED_VALUE"""),"อก.1/2")</f>
        <v>อก.1/2</v>
      </c>
      <c r="E583" s="2" t="str">
        <f>IFERROR(__xludf.DUMMYFUNCTION("""COMPUTED_VALUE"""),"ชาย")</f>
        <v>ชาย</v>
      </c>
      <c r="F583" s="5" t="str">
        <f>IFERROR(__xludf.DUMMYFUNCTION("""COMPUTED_VALUE"""),"https://azizstan.net/student_image/25565.jpg")</f>
        <v>https://azizstan.net/student_image/25565.jpg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 t="str">
        <f>IFERROR(__xludf.DUMMYFUNCTION("""COMPUTED_VALUE"""),"25586")</f>
        <v>25586</v>
      </c>
      <c r="B584" s="3" t="str">
        <f>IFERROR(__xludf.DUMMYFUNCTION("""COMPUTED_VALUE"""),"ด.ช.สูอัยดี โอล่า")</f>
        <v>ด.ช.สูอัยดี โอล่า</v>
      </c>
      <c r="C584" s="3" t="str">
        <f>IFERROR(__xludf.DUMMYFUNCTION("""COMPUTED_VALUE"""),"ม.2/2")</f>
        <v>ม.2/2</v>
      </c>
      <c r="D584" s="3" t="str">
        <f>IFERROR(__xludf.DUMMYFUNCTION("""COMPUTED_VALUE"""),"อก.1/2")</f>
        <v>อก.1/2</v>
      </c>
      <c r="E584" s="2" t="str">
        <f>IFERROR(__xludf.DUMMYFUNCTION("""COMPUTED_VALUE"""),"ชาย")</f>
        <v>ชาย</v>
      </c>
      <c r="F584" s="5" t="str">
        <f>IFERROR(__xludf.DUMMYFUNCTION("""COMPUTED_VALUE"""),"https://azizstan.net/student_image/25586.jpg")</f>
        <v>https://azizstan.net/student_image/25586.jpg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 t="str">
        <f>IFERROR(__xludf.DUMMYFUNCTION("""COMPUTED_VALUE"""),"25621")</f>
        <v>25621</v>
      </c>
      <c r="B585" s="3" t="str">
        <f>IFERROR(__xludf.DUMMYFUNCTION("""COMPUTED_VALUE"""),"ด.ช.มูฮำมัดฮากีมี สุหลง")</f>
        <v>ด.ช.มูฮำมัดฮากีมี สุหลง</v>
      </c>
      <c r="C585" s="3" t="str">
        <f>IFERROR(__xludf.DUMMYFUNCTION("""COMPUTED_VALUE"""),"ม.2/2")</f>
        <v>ม.2/2</v>
      </c>
      <c r="D585" s="3" t="str">
        <f>IFERROR(__xludf.DUMMYFUNCTION("""COMPUTED_VALUE"""),"อก.1/2")</f>
        <v>อก.1/2</v>
      </c>
      <c r="E585" s="2" t="str">
        <f>IFERROR(__xludf.DUMMYFUNCTION("""COMPUTED_VALUE"""),"ชาย")</f>
        <v>ชาย</v>
      </c>
      <c r="F585" s="5" t="str">
        <f>IFERROR(__xludf.DUMMYFUNCTION("""COMPUTED_VALUE"""),"https://azizstan.net/student_image/25621.jpg")</f>
        <v>https://azizstan.net/student_image/25621.jpg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" t="str">
        <f>IFERROR(__xludf.DUMMYFUNCTION("""COMPUTED_VALUE"""),"25639")</f>
        <v>25639</v>
      </c>
      <c r="B586" s="3" t="str">
        <f>IFERROR(__xludf.DUMMYFUNCTION("""COMPUTED_VALUE"""),"ด.ช.ฮารีฟีน มาหมะ")</f>
        <v>ด.ช.ฮารีฟีน มาหมะ</v>
      </c>
      <c r="C586" s="3" t="str">
        <f>IFERROR(__xludf.DUMMYFUNCTION("""COMPUTED_VALUE"""),"ม.2/2")</f>
        <v>ม.2/2</v>
      </c>
      <c r="D586" s="3" t="str">
        <f>IFERROR(__xludf.DUMMYFUNCTION("""COMPUTED_VALUE"""),"อก.1/2")</f>
        <v>อก.1/2</v>
      </c>
      <c r="E586" s="2" t="str">
        <f>IFERROR(__xludf.DUMMYFUNCTION("""COMPUTED_VALUE"""),"ชาย")</f>
        <v>ชาย</v>
      </c>
      <c r="F586" s="5" t="str">
        <f>IFERROR(__xludf.DUMMYFUNCTION("""COMPUTED_VALUE"""),"https://azizstan.net/student_image/25639.jpg")</f>
        <v>https://azizstan.net/student_image/25639.jpg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" t="str">
        <f>IFERROR(__xludf.DUMMYFUNCTION("""COMPUTED_VALUE"""),"25643")</f>
        <v>25643</v>
      </c>
      <c r="B587" s="3" t="str">
        <f>IFERROR(__xludf.DUMMYFUNCTION("""COMPUTED_VALUE"""),"ด.ช.มุฮาญีรีน บูงอ")</f>
        <v>ด.ช.มุฮาญีรีน บูงอ</v>
      </c>
      <c r="C587" s="3" t="str">
        <f>IFERROR(__xludf.DUMMYFUNCTION("""COMPUTED_VALUE"""),"ม.2/2")</f>
        <v>ม.2/2</v>
      </c>
      <c r="D587" s="3" t="str">
        <f>IFERROR(__xludf.DUMMYFUNCTION("""COMPUTED_VALUE"""),"อก.1/2")</f>
        <v>อก.1/2</v>
      </c>
      <c r="E587" s="2" t="str">
        <f>IFERROR(__xludf.DUMMYFUNCTION("""COMPUTED_VALUE"""),"ชาย")</f>
        <v>ชาย</v>
      </c>
      <c r="F587" s="5" t="str">
        <f>IFERROR(__xludf.DUMMYFUNCTION("""COMPUTED_VALUE"""),"https://azizstan.net/student_image/25643.jpg")</f>
        <v>https://azizstan.net/student_image/25643.jpg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" t="str">
        <f>IFERROR(__xludf.DUMMYFUNCTION("""COMPUTED_VALUE"""),"25656")</f>
        <v>25656</v>
      </c>
      <c r="B588" s="3" t="str">
        <f>IFERROR(__xludf.DUMMYFUNCTION("""COMPUTED_VALUE"""),"ด.ช.บุญญามีน เนือเรง")</f>
        <v>ด.ช.บุญญามีน เนือเรง</v>
      </c>
      <c r="C588" s="3" t="str">
        <f>IFERROR(__xludf.DUMMYFUNCTION("""COMPUTED_VALUE"""),"ม.2/2")</f>
        <v>ม.2/2</v>
      </c>
      <c r="D588" s="3" t="str">
        <f>IFERROR(__xludf.DUMMYFUNCTION("""COMPUTED_VALUE"""),"อก.1/2")</f>
        <v>อก.1/2</v>
      </c>
      <c r="E588" s="2" t="str">
        <f>IFERROR(__xludf.DUMMYFUNCTION("""COMPUTED_VALUE"""),"ชาย")</f>
        <v>ชาย</v>
      </c>
      <c r="F588" s="5" t="str">
        <f>IFERROR(__xludf.DUMMYFUNCTION("""COMPUTED_VALUE"""),"https://azizstan.net/student_image/25656.jpg")</f>
        <v>https://azizstan.net/student_image/25656.jpg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" t="str">
        <f>IFERROR(__xludf.DUMMYFUNCTION("""COMPUTED_VALUE"""),"25665")</f>
        <v>25665</v>
      </c>
      <c r="B589" s="3" t="str">
        <f>IFERROR(__xludf.DUMMYFUNCTION("""COMPUTED_VALUE"""),"ด.ช.ฟัยศ็อล บีแตบูแล")</f>
        <v>ด.ช.ฟัยศ็อล บีแตบูแล</v>
      </c>
      <c r="C589" s="3" t="str">
        <f>IFERROR(__xludf.DUMMYFUNCTION("""COMPUTED_VALUE"""),"ม.2/2")</f>
        <v>ม.2/2</v>
      </c>
      <c r="D589" s="3" t="str">
        <f>IFERROR(__xludf.DUMMYFUNCTION("""COMPUTED_VALUE"""),"อก.1/2")</f>
        <v>อก.1/2</v>
      </c>
      <c r="E589" s="2" t="str">
        <f>IFERROR(__xludf.DUMMYFUNCTION("""COMPUTED_VALUE"""),"ชาย")</f>
        <v>ชาย</v>
      </c>
      <c r="F589" s="5" t="str">
        <f>IFERROR(__xludf.DUMMYFUNCTION("""COMPUTED_VALUE"""),"https://azizstan.net/student_image/25665.jpg")</f>
        <v>https://azizstan.net/student_image/25665.jpg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 t="str">
        <f>IFERROR(__xludf.DUMMYFUNCTION("""COMPUTED_VALUE"""),"25669")</f>
        <v>25669</v>
      </c>
      <c r="B590" s="3" t="str">
        <f>IFERROR(__xludf.DUMMYFUNCTION("""COMPUTED_VALUE"""),"ด.ช.อีลยัส ดอเลาะ")</f>
        <v>ด.ช.อีลยัส ดอเลาะ</v>
      </c>
      <c r="C590" s="3" t="str">
        <f>IFERROR(__xludf.DUMMYFUNCTION("""COMPUTED_VALUE"""),"ม.2/2")</f>
        <v>ม.2/2</v>
      </c>
      <c r="D590" s="3" t="str">
        <f>IFERROR(__xludf.DUMMYFUNCTION("""COMPUTED_VALUE"""),"อก.1/2")</f>
        <v>อก.1/2</v>
      </c>
      <c r="E590" s="2" t="str">
        <f>IFERROR(__xludf.DUMMYFUNCTION("""COMPUTED_VALUE"""),"ชาย")</f>
        <v>ชาย</v>
      </c>
      <c r="F590" s="5" t="str">
        <f>IFERROR(__xludf.DUMMYFUNCTION("""COMPUTED_VALUE"""),"https://azizstan.net/student_image/25669.jpg")</f>
        <v>https://azizstan.net/student_image/25669.jpg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 t="str">
        <f>IFERROR(__xludf.DUMMYFUNCTION("""COMPUTED_VALUE"""),"25678")</f>
        <v>25678</v>
      </c>
      <c r="B591" s="3" t="str">
        <f>IFERROR(__xludf.DUMMYFUNCTION("""COMPUTED_VALUE"""),"ด.ช.วาษิก เจ๊ะหล้อ")</f>
        <v>ด.ช.วาษิก เจ๊ะหล้อ</v>
      </c>
      <c r="C591" s="3" t="str">
        <f>IFERROR(__xludf.DUMMYFUNCTION("""COMPUTED_VALUE"""),"ม.2/2")</f>
        <v>ม.2/2</v>
      </c>
      <c r="D591" s="3" t="str">
        <f>IFERROR(__xludf.DUMMYFUNCTION("""COMPUTED_VALUE"""),"อก.1/2")</f>
        <v>อก.1/2</v>
      </c>
      <c r="E591" s="2" t="str">
        <f>IFERROR(__xludf.DUMMYFUNCTION("""COMPUTED_VALUE"""),"ชาย")</f>
        <v>ชาย</v>
      </c>
      <c r="F591" s="5" t="str">
        <f>IFERROR(__xludf.DUMMYFUNCTION("""COMPUTED_VALUE"""),"https://azizstan.net/student_image/25678.jpg")</f>
        <v>https://azizstan.net/student_image/25678.jpg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" t="str">
        <f>IFERROR(__xludf.DUMMYFUNCTION("""COMPUTED_VALUE"""),"25695")</f>
        <v>25695</v>
      </c>
      <c r="B592" s="3" t="str">
        <f>IFERROR(__xludf.DUMMYFUNCTION("""COMPUTED_VALUE"""),"ด.ช.มูหัมหมัดอามีน บาดง")</f>
        <v>ด.ช.มูหัมหมัดอามีน บาดง</v>
      </c>
      <c r="C592" s="3" t="str">
        <f>IFERROR(__xludf.DUMMYFUNCTION("""COMPUTED_VALUE"""),"ม.2/2")</f>
        <v>ม.2/2</v>
      </c>
      <c r="D592" s="3" t="str">
        <f>IFERROR(__xludf.DUMMYFUNCTION("""COMPUTED_VALUE"""),"อก.1/2")</f>
        <v>อก.1/2</v>
      </c>
      <c r="E592" s="2" t="str">
        <f>IFERROR(__xludf.DUMMYFUNCTION("""COMPUTED_VALUE"""),"ชาย")</f>
        <v>ชาย</v>
      </c>
      <c r="F592" s="5" t="str">
        <f>IFERROR(__xludf.DUMMYFUNCTION("""COMPUTED_VALUE"""),"https://azizstan.net/student_image/25695.jpg")</f>
        <v>https://azizstan.net/student_image/25695.jpg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" t="str">
        <f>IFERROR(__xludf.DUMMYFUNCTION("""COMPUTED_VALUE"""),"25710")</f>
        <v>25710</v>
      </c>
      <c r="B593" s="3" t="str">
        <f>IFERROR(__xludf.DUMMYFUNCTION("""COMPUTED_VALUE"""),"ด.ช.อิบรอเฮม มิง")</f>
        <v>ด.ช.อิบรอเฮม มิง</v>
      </c>
      <c r="C593" s="3" t="str">
        <f>IFERROR(__xludf.DUMMYFUNCTION("""COMPUTED_VALUE"""),"ม.2/2")</f>
        <v>ม.2/2</v>
      </c>
      <c r="D593" s="3" t="str">
        <f>IFERROR(__xludf.DUMMYFUNCTION("""COMPUTED_VALUE"""),"อก.1/2")</f>
        <v>อก.1/2</v>
      </c>
      <c r="E593" s="2" t="str">
        <f>IFERROR(__xludf.DUMMYFUNCTION("""COMPUTED_VALUE"""),"ชาย")</f>
        <v>ชาย</v>
      </c>
      <c r="F593" s="5" t="str">
        <f>IFERROR(__xludf.DUMMYFUNCTION("""COMPUTED_VALUE"""),"https://azizstan.net/student_image/25710.jpg")</f>
        <v>https://azizstan.net/student_image/25710.jpg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 t="str">
        <f>IFERROR(__xludf.DUMMYFUNCTION("""COMPUTED_VALUE"""),"25713")</f>
        <v>25713</v>
      </c>
      <c r="B594" s="3" t="str">
        <f>IFERROR(__xludf.DUMMYFUNCTION("""COMPUTED_VALUE"""),"ด.ช.อัฟฟาน เจะมะ")</f>
        <v>ด.ช.อัฟฟาน เจะมะ</v>
      </c>
      <c r="C594" s="3" t="str">
        <f>IFERROR(__xludf.DUMMYFUNCTION("""COMPUTED_VALUE"""),"ม.2/2")</f>
        <v>ม.2/2</v>
      </c>
      <c r="D594" s="3" t="str">
        <f>IFERROR(__xludf.DUMMYFUNCTION("""COMPUTED_VALUE"""),"อก.1/2")</f>
        <v>อก.1/2</v>
      </c>
      <c r="E594" s="2" t="str">
        <f>IFERROR(__xludf.DUMMYFUNCTION("""COMPUTED_VALUE"""),"ชาย")</f>
        <v>ชาย</v>
      </c>
      <c r="F594" s="5" t="str">
        <f>IFERROR(__xludf.DUMMYFUNCTION("""COMPUTED_VALUE"""),"https://azizstan.net/student_image/25713.jpg")</f>
        <v>https://azizstan.net/student_image/25713.jpg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 t="str">
        <f>IFERROR(__xludf.DUMMYFUNCTION("""COMPUTED_VALUE"""),"25731")</f>
        <v>25731</v>
      </c>
      <c r="B595" s="3" t="str">
        <f>IFERROR(__xludf.DUMMYFUNCTION("""COMPUTED_VALUE"""),"ด.ช.มะฟัยรุด สนิ")</f>
        <v>ด.ช.มะฟัยรุด สนิ</v>
      </c>
      <c r="C595" s="3" t="str">
        <f>IFERROR(__xludf.DUMMYFUNCTION("""COMPUTED_VALUE"""),"ม.2/2")</f>
        <v>ม.2/2</v>
      </c>
      <c r="D595" s="3" t="str">
        <f>IFERROR(__xludf.DUMMYFUNCTION("""COMPUTED_VALUE"""),"อก.1/2")</f>
        <v>อก.1/2</v>
      </c>
      <c r="E595" s="2" t="str">
        <f>IFERROR(__xludf.DUMMYFUNCTION("""COMPUTED_VALUE"""),"ชาย")</f>
        <v>ชาย</v>
      </c>
      <c r="F595" s="5" t="str">
        <f>IFERROR(__xludf.DUMMYFUNCTION("""COMPUTED_VALUE"""),"https://azizstan.net/student_image/25731.jpg")</f>
        <v>https://azizstan.net/student_image/25731.jpg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 t="str">
        <f>IFERROR(__xludf.DUMMYFUNCTION("""COMPUTED_VALUE"""),"25733")</f>
        <v>25733</v>
      </c>
      <c r="B596" s="3" t="str">
        <f>IFERROR(__xludf.DUMMYFUNCTION("""COMPUTED_VALUE"""),"ด.ช.มูฮัมหมัดอัฟฟาน สาเงาะ")</f>
        <v>ด.ช.มูฮัมหมัดอัฟฟาน สาเงาะ</v>
      </c>
      <c r="C596" s="3" t="str">
        <f>IFERROR(__xludf.DUMMYFUNCTION("""COMPUTED_VALUE"""),"ม.2/2")</f>
        <v>ม.2/2</v>
      </c>
      <c r="D596" s="3" t="str">
        <f>IFERROR(__xludf.DUMMYFUNCTION("""COMPUTED_VALUE"""),"อก.1/2")</f>
        <v>อก.1/2</v>
      </c>
      <c r="E596" s="2" t="str">
        <f>IFERROR(__xludf.DUMMYFUNCTION("""COMPUTED_VALUE"""),"ชาย")</f>
        <v>ชาย</v>
      </c>
      <c r="F596" s="5" t="str">
        <f>IFERROR(__xludf.DUMMYFUNCTION("""COMPUTED_VALUE"""),"https://azizstan.net/student_image/25733.jpg")</f>
        <v>https://azizstan.net/student_image/25733.jpg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 t="str">
        <f>IFERROR(__xludf.DUMMYFUNCTION("""COMPUTED_VALUE"""),"25734")</f>
        <v>25734</v>
      </c>
      <c r="B597" s="3" t="str">
        <f>IFERROR(__xludf.DUMMYFUNCTION("""COMPUTED_VALUE"""),"ด.ช.รุสดี บาตูขาเด็ง")</f>
        <v>ด.ช.รุสดี บาตูขาเด็ง</v>
      </c>
      <c r="C597" s="3" t="str">
        <f>IFERROR(__xludf.DUMMYFUNCTION("""COMPUTED_VALUE"""),"ม.2/2")</f>
        <v>ม.2/2</v>
      </c>
      <c r="D597" s="3" t="str">
        <f>IFERROR(__xludf.DUMMYFUNCTION("""COMPUTED_VALUE"""),"อก.1/2")</f>
        <v>อก.1/2</v>
      </c>
      <c r="E597" s="2" t="str">
        <f>IFERROR(__xludf.DUMMYFUNCTION("""COMPUTED_VALUE"""),"ชาย")</f>
        <v>ชาย</v>
      </c>
      <c r="F597" s="5" t="str">
        <f>IFERROR(__xludf.DUMMYFUNCTION("""COMPUTED_VALUE"""),"https://azizstan.net/student_image/25734.jpg")</f>
        <v>https://azizstan.net/student_image/25734.jpg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" t="str">
        <f>IFERROR(__xludf.DUMMYFUNCTION("""COMPUTED_VALUE"""),"25742")</f>
        <v>25742</v>
      </c>
      <c r="B598" s="3" t="str">
        <f>IFERROR(__xludf.DUMMYFUNCTION("""COMPUTED_VALUE"""),"ด.ช.อามัส สือแม")</f>
        <v>ด.ช.อามัส สือแม</v>
      </c>
      <c r="C598" s="3" t="str">
        <f>IFERROR(__xludf.DUMMYFUNCTION("""COMPUTED_VALUE"""),"ม.2/2")</f>
        <v>ม.2/2</v>
      </c>
      <c r="D598" s="3" t="str">
        <f>IFERROR(__xludf.DUMMYFUNCTION("""COMPUTED_VALUE"""),"อก.1/2")</f>
        <v>อก.1/2</v>
      </c>
      <c r="E598" s="2" t="str">
        <f>IFERROR(__xludf.DUMMYFUNCTION("""COMPUTED_VALUE"""),"ชาย")</f>
        <v>ชาย</v>
      </c>
      <c r="F598" s="5" t="str">
        <f>IFERROR(__xludf.DUMMYFUNCTION("""COMPUTED_VALUE"""),"https://azizstan.net/student_image/25742.jpg")</f>
        <v>https://azizstan.net/student_image/25742.jpg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" t="str">
        <f>IFERROR(__xludf.DUMMYFUNCTION("""COMPUTED_VALUE"""),"25793")</f>
        <v>25793</v>
      </c>
      <c r="B599" s="3" t="str">
        <f>IFERROR(__xludf.DUMMYFUNCTION("""COMPUTED_VALUE"""),"ด.ช.ศอลีฮีน เบญอิสมาแอ")</f>
        <v>ด.ช.ศอลีฮีน เบญอิสมาแอ</v>
      </c>
      <c r="C599" s="3" t="str">
        <f>IFERROR(__xludf.DUMMYFUNCTION("""COMPUTED_VALUE"""),"ม.2/2")</f>
        <v>ม.2/2</v>
      </c>
      <c r="D599" s="3" t="str">
        <f>IFERROR(__xludf.DUMMYFUNCTION("""COMPUTED_VALUE"""),"อก.1/2")</f>
        <v>อก.1/2</v>
      </c>
      <c r="E599" s="2" t="str">
        <f>IFERROR(__xludf.DUMMYFUNCTION("""COMPUTED_VALUE"""),"ชาย")</f>
        <v>ชาย</v>
      </c>
      <c r="F599" s="5" t="str">
        <f>IFERROR(__xludf.DUMMYFUNCTION("""COMPUTED_VALUE"""),"https://azizstan.net/student_image/25793.jpg")</f>
        <v>https://azizstan.net/student_image/25793.jpg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" t="str">
        <f>IFERROR(__xludf.DUMMYFUNCTION("""COMPUTED_VALUE"""),"25834")</f>
        <v>25834</v>
      </c>
      <c r="B600" s="3" t="str">
        <f>IFERROR(__xludf.DUMMYFUNCTION("""COMPUTED_VALUE"""),"ด.ช.ฮาริสซัน มะลี")</f>
        <v>ด.ช.ฮาริสซัน มะลี</v>
      </c>
      <c r="C600" s="3" t="str">
        <f>IFERROR(__xludf.DUMMYFUNCTION("""COMPUTED_VALUE"""),"ม.2/2")</f>
        <v>ม.2/2</v>
      </c>
      <c r="D600" s="3" t="str">
        <f>IFERROR(__xludf.DUMMYFUNCTION("""COMPUTED_VALUE"""),"อก.1/2")</f>
        <v>อก.1/2</v>
      </c>
      <c r="E600" s="2" t="str">
        <f>IFERROR(__xludf.DUMMYFUNCTION("""COMPUTED_VALUE"""),"ชาย")</f>
        <v>ชาย</v>
      </c>
      <c r="F600" s="5" t="str">
        <f>IFERROR(__xludf.DUMMYFUNCTION("""COMPUTED_VALUE"""),"https://azizstan.net/student_image/25834.jpg")</f>
        <v>https://azizstan.net/student_image/25834.jpg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 t="str">
        <f>IFERROR(__xludf.DUMMYFUNCTION("""COMPUTED_VALUE"""),"25835")</f>
        <v>25835</v>
      </c>
      <c r="B601" s="3" t="str">
        <f>IFERROR(__xludf.DUMMYFUNCTION("""COMPUTED_VALUE"""),"ด.ช.นัสรูน บือราเฮง")</f>
        <v>ด.ช.นัสรูน บือราเฮง</v>
      </c>
      <c r="C601" s="3" t="str">
        <f>IFERROR(__xludf.DUMMYFUNCTION("""COMPUTED_VALUE"""),"ม.2/2")</f>
        <v>ม.2/2</v>
      </c>
      <c r="D601" s="3" t="str">
        <f>IFERROR(__xludf.DUMMYFUNCTION("""COMPUTED_VALUE"""),"อก.1/2")</f>
        <v>อก.1/2</v>
      </c>
      <c r="E601" s="2" t="str">
        <f>IFERROR(__xludf.DUMMYFUNCTION("""COMPUTED_VALUE"""),"ชาย")</f>
        <v>ชาย</v>
      </c>
      <c r="F601" s="5" t="str">
        <f>IFERROR(__xludf.DUMMYFUNCTION("""COMPUTED_VALUE"""),"https://azizstan.net/student_image/25835.jpg")</f>
        <v>https://azizstan.net/student_image/25835.jpg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 t="str">
        <f>IFERROR(__xludf.DUMMYFUNCTION("""COMPUTED_VALUE"""),"25860")</f>
        <v>25860</v>
      </c>
      <c r="B602" s="3" t="str">
        <f>IFERROR(__xludf.DUMMYFUNCTION("""COMPUTED_VALUE"""),"ด.ช.นัสราน ลือโมะ")</f>
        <v>ด.ช.นัสราน ลือโมะ</v>
      </c>
      <c r="C602" s="3" t="str">
        <f>IFERROR(__xludf.DUMMYFUNCTION("""COMPUTED_VALUE"""),"ม.2/2")</f>
        <v>ม.2/2</v>
      </c>
      <c r="D602" s="3" t="str">
        <f>IFERROR(__xludf.DUMMYFUNCTION("""COMPUTED_VALUE"""),"อก.1/2")</f>
        <v>อก.1/2</v>
      </c>
      <c r="E602" s="2" t="str">
        <f>IFERROR(__xludf.DUMMYFUNCTION("""COMPUTED_VALUE"""),"ชาย")</f>
        <v>ชาย</v>
      </c>
      <c r="F602" s="5" t="str">
        <f>IFERROR(__xludf.DUMMYFUNCTION("""COMPUTED_VALUE"""),"https://azizstan.net/student_image/25860.jpg")</f>
        <v>https://azizstan.net/student_image/25860.jpg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 t="str">
        <f>IFERROR(__xludf.DUMMYFUNCTION("""COMPUTED_VALUE"""),"25883")</f>
        <v>25883</v>
      </c>
      <c r="B603" s="3" t="str">
        <f>IFERROR(__xludf.DUMMYFUNCTION("""COMPUTED_VALUE"""),"ด.ช.มูฮัมหมัดฮากีมี แปแนะ")</f>
        <v>ด.ช.มูฮัมหมัดฮากีมี แปแนะ</v>
      </c>
      <c r="C603" s="3" t="str">
        <f>IFERROR(__xludf.DUMMYFUNCTION("""COMPUTED_VALUE"""),"ม.2/2")</f>
        <v>ม.2/2</v>
      </c>
      <c r="D603" s="3" t="str">
        <f>IFERROR(__xludf.DUMMYFUNCTION("""COMPUTED_VALUE"""),"อก.1/2")</f>
        <v>อก.1/2</v>
      </c>
      <c r="E603" s="2" t="str">
        <f>IFERROR(__xludf.DUMMYFUNCTION("""COMPUTED_VALUE"""),"ชาย")</f>
        <v>ชาย</v>
      </c>
      <c r="F603" s="5" t="str">
        <f>IFERROR(__xludf.DUMMYFUNCTION("""COMPUTED_VALUE"""),"https://azizstan.net/student_image/25883.jpg")</f>
        <v>https://azizstan.net/student_image/25883.jpg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 t="str">
        <f>IFERROR(__xludf.DUMMYFUNCTION("""COMPUTED_VALUE"""),"25890")</f>
        <v>25890</v>
      </c>
      <c r="B604" s="3" t="str">
        <f>IFERROR(__xludf.DUMMYFUNCTION("""COMPUTED_VALUE"""),"ด.ช.กูซาฟีอี อีแต")</f>
        <v>ด.ช.กูซาฟีอี อีแต</v>
      </c>
      <c r="C604" s="3" t="str">
        <f>IFERROR(__xludf.DUMMYFUNCTION("""COMPUTED_VALUE"""),"ม.2/2")</f>
        <v>ม.2/2</v>
      </c>
      <c r="D604" s="3" t="str">
        <f>IFERROR(__xludf.DUMMYFUNCTION("""COMPUTED_VALUE"""),"อก.1/2")</f>
        <v>อก.1/2</v>
      </c>
      <c r="E604" s="2" t="str">
        <f>IFERROR(__xludf.DUMMYFUNCTION("""COMPUTED_VALUE"""),"ชาย")</f>
        <v>ชาย</v>
      </c>
      <c r="F604" s="5" t="str">
        <f>IFERROR(__xludf.DUMMYFUNCTION("""COMPUTED_VALUE"""),"https://azizstan.net/student_image/25890.jpg")</f>
        <v>https://azizstan.net/student_image/25890.jpg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" t="str">
        <f>IFERROR(__xludf.DUMMYFUNCTION("""COMPUTED_VALUE"""),"25895")</f>
        <v>25895</v>
      </c>
      <c r="B605" s="3" t="str">
        <f>IFERROR(__xludf.DUMMYFUNCTION("""COMPUTED_VALUE"""),"ด.ช.อติเทพ บูกุ")</f>
        <v>ด.ช.อติเทพ บูกุ</v>
      </c>
      <c r="C605" s="3" t="str">
        <f>IFERROR(__xludf.DUMMYFUNCTION("""COMPUTED_VALUE"""),"ม.2/2")</f>
        <v>ม.2/2</v>
      </c>
      <c r="D605" s="3" t="str">
        <f>IFERROR(__xludf.DUMMYFUNCTION("""COMPUTED_VALUE"""),"อก.1/2")</f>
        <v>อก.1/2</v>
      </c>
      <c r="E605" s="2" t="str">
        <f>IFERROR(__xludf.DUMMYFUNCTION("""COMPUTED_VALUE"""),"ชาย")</f>
        <v>ชาย</v>
      </c>
      <c r="F605" s="5" t="str">
        <f>IFERROR(__xludf.DUMMYFUNCTION("""COMPUTED_VALUE"""),"https://azizstan.net/student_image/25895.jpg")</f>
        <v>https://azizstan.net/student_image/25895.jpg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" t="str">
        <f>IFERROR(__xludf.DUMMYFUNCTION("""COMPUTED_VALUE"""),"25896")</f>
        <v>25896</v>
      </c>
      <c r="B606" s="3" t="str">
        <f>IFERROR(__xludf.DUMMYFUNCTION("""COMPUTED_VALUE"""),"ด.ช.อิลยัส หะยีดอเลาะ")</f>
        <v>ด.ช.อิลยัส หะยีดอเลาะ</v>
      </c>
      <c r="C606" s="3" t="str">
        <f>IFERROR(__xludf.DUMMYFUNCTION("""COMPUTED_VALUE"""),"ม.2/2")</f>
        <v>ม.2/2</v>
      </c>
      <c r="D606" s="3" t="str">
        <f>IFERROR(__xludf.DUMMYFUNCTION("""COMPUTED_VALUE"""),"อก.1/2")</f>
        <v>อก.1/2</v>
      </c>
      <c r="E606" s="2" t="str">
        <f>IFERROR(__xludf.DUMMYFUNCTION("""COMPUTED_VALUE"""),"ชาย")</f>
        <v>ชาย</v>
      </c>
      <c r="F606" s="5" t="str">
        <f>IFERROR(__xludf.DUMMYFUNCTION("""COMPUTED_VALUE"""),"https://azizstan.net/student_image/25896.jpg")</f>
        <v>https://azizstan.net/student_image/25896.jpg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" t="str">
        <f>IFERROR(__xludf.DUMMYFUNCTION("""COMPUTED_VALUE"""),"25908")</f>
        <v>25908</v>
      </c>
      <c r="B607" s="3" t="str">
        <f>IFERROR(__xludf.DUMMYFUNCTION("""COMPUTED_VALUE"""),"ด.ช.ลุตฟี เจ๊ะกาแม")</f>
        <v>ด.ช.ลุตฟี เจ๊ะกาแม</v>
      </c>
      <c r="C607" s="3" t="str">
        <f>IFERROR(__xludf.DUMMYFUNCTION("""COMPUTED_VALUE"""),"ม.2/2")</f>
        <v>ม.2/2</v>
      </c>
      <c r="D607" s="3" t="str">
        <f>IFERROR(__xludf.DUMMYFUNCTION("""COMPUTED_VALUE"""),"อก.1/2")</f>
        <v>อก.1/2</v>
      </c>
      <c r="E607" s="2" t="str">
        <f>IFERROR(__xludf.DUMMYFUNCTION("""COMPUTED_VALUE"""),"ชาย")</f>
        <v>ชาย</v>
      </c>
      <c r="F607" s="5" t="str">
        <f>IFERROR(__xludf.DUMMYFUNCTION("""COMPUTED_VALUE"""),"https://azizstan.net/student_image/25908.jpg")</f>
        <v>https://azizstan.net/student_image/25908.jpg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" t="str">
        <f>IFERROR(__xludf.DUMMYFUNCTION("""COMPUTED_VALUE"""),"25927")</f>
        <v>25927</v>
      </c>
      <c r="B608" s="3" t="str">
        <f>IFERROR(__xludf.DUMMYFUNCTION("""COMPUTED_VALUE"""),"ด.ช.ฮูซัยนี ทองสงค์")</f>
        <v>ด.ช.ฮูซัยนี ทองสงค์</v>
      </c>
      <c r="C608" s="3" t="str">
        <f>IFERROR(__xludf.DUMMYFUNCTION("""COMPUTED_VALUE"""),"ม.2/2")</f>
        <v>ม.2/2</v>
      </c>
      <c r="D608" s="3" t="str">
        <f>IFERROR(__xludf.DUMMYFUNCTION("""COMPUTED_VALUE"""),"อก.1/2")</f>
        <v>อก.1/2</v>
      </c>
      <c r="E608" s="2" t="str">
        <f>IFERROR(__xludf.DUMMYFUNCTION("""COMPUTED_VALUE"""),"ชาย")</f>
        <v>ชาย</v>
      </c>
      <c r="F608" s="5" t="str">
        <f>IFERROR(__xludf.DUMMYFUNCTION("""COMPUTED_VALUE"""),"https://azizstan.net/student_image/25927.jpg")</f>
        <v>https://azizstan.net/student_image/25927.jpg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" t="str">
        <f>IFERROR(__xludf.DUMMYFUNCTION("""COMPUTED_VALUE"""),"25993")</f>
        <v>25993</v>
      </c>
      <c r="B609" s="3" t="str">
        <f>IFERROR(__xludf.DUMMYFUNCTION("""COMPUTED_VALUE"""),"ด.ช.มูฮัมหมัด วาปี")</f>
        <v>ด.ช.มูฮัมหมัด วาปี</v>
      </c>
      <c r="C609" s="3" t="str">
        <f>IFERROR(__xludf.DUMMYFUNCTION("""COMPUTED_VALUE"""),"ม.2/2")</f>
        <v>ม.2/2</v>
      </c>
      <c r="D609" s="3" t="str">
        <f>IFERROR(__xludf.DUMMYFUNCTION("""COMPUTED_VALUE"""),"อก.1/2")</f>
        <v>อก.1/2</v>
      </c>
      <c r="E609" s="2" t="str">
        <f>IFERROR(__xludf.DUMMYFUNCTION("""COMPUTED_VALUE"""),"ชาย")</f>
        <v>ชาย</v>
      </c>
      <c r="F609" s="5" t="str">
        <f>IFERROR(__xludf.DUMMYFUNCTION("""COMPUTED_VALUE"""),"https://azizstan.net/student_image/25993.jpg")</f>
        <v>https://azizstan.net/student_image/25993.jpg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" t="str">
        <f>IFERROR(__xludf.DUMMYFUNCTION("""COMPUTED_VALUE"""),"26027")</f>
        <v>26027</v>
      </c>
      <c r="B610" s="3" t="str">
        <f>IFERROR(__xludf.DUMMYFUNCTION("""COMPUTED_VALUE"""),"ด.ช.ฟาริส สาแมสารี")</f>
        <v>ด.ช.ฟาริส สาแมสารี</v>
      </c>
      <c r="C610" s="3" t="str">
        <f>IFERROR(__xludf.DUMMYFUNCTION("""COMPUTED_VALUE"""),"ม.2/2")</f>
        <v>ม.2/2</v>
      </c>
      <c r="D610" s="3" t="str">
        <f>IFERROR(__xludf.DUMMYFUNCTION("""COMPUTED_VALUE"""),"อก.1/2")</f>
        <v>อก.1/2</v>
      </c>
      <c r="E610" s="2" t="str">
        <f>IFERROR(__xludf.DUMMYFUNCTION("""COMPUTED_VALUE"""),"ชาย")</f>
        <v>ชาย</v>
      </c>
      <c r="F610" s="5" t="str">
        <f>IFERROR(__xludf.DUMMYFUNCTION("""COMPUTED_VALUE"""),"https://azizstan.net/student_image/26027.jpg")</f>
        <v>https://azizstan.net/student_image/26027.jpg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" t="str">
        <f>IFERROR(__xludf.DUMMYFUNCTION("""COMPUTED_VALUE"""),"26029")</f>
        <v>26029</v>
      </c>
      <c r="B611" s="3" t="str">
        <f>IFERROR(__xludf.DUMMYFUNCTION("""COMPUTED_VALUE"""),"ด.ช.ไฮกัล สาและ")</f>
        <v>ด.ช.ไฮกัล สาและ</v>
      </c>
      <c r="C611" s="3" t="str">
        <f>IFERROR(__xludf.DUMMYFUNCTION("""COMPUTED_VALUE"""),"ม.2/2")</f>
        <v>ม.2/2</v>
      </c>
      <c r="D611" s="3" t="str">
        <f>IFERROR(__xludf.DUMMYFUNCTION("""COMPUTED_VALUE"""),"อก.1/2")</f>
        <v>อก.1/2</v>
      </c>
      <c r="E611" s="2" t="str">
        <f>IFERROR(__xludf.DUMMYFUNCTION("""COMPUTED_VALUE"""),"ชาย")</f>
        <v>ชาย</v>
      </c>
      <c r="F611" s="5" t="str">
        <f>IFERROR(__xludf.DUMMYFUNCTION("""COMPUTED_VALUE"""),"https://azizstan.net/student_image/26029.jpg")</f>
        <v>https://azizstan.net/student_image/26029.jpg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" t="str">
        <f>IFERROR(__xludf.DUMMYFUNCTION("""COMPUTED_VALUE"""),"26709")</f>
        <v>26709</v>
      </c>
      <c r="B612" s="3" t="str">
        <f>IFERROR(__xludf.DUMMYFUNCTION("""COMPUTED_VALUE"""),"ด.ช.มูฮัมหมัดอิรฟาน มะนาสียะ")</f>
        <v>ด.ช.มูฮัมหมัดอิรฟาน มะนาสียะ</v>
      </c>
      <c r="C612" s="3" t="str">
        <f>IFERROR(__xludf.DUMMYFUNCTION("""COMPUTED_VALUE"""),"ม.2/2")</f>
        <v>ม.2/2</v>
      </c>
      <c r="D612" s="3" t="str">
        <f>IFERROR(__xludf.DUMMYFUNCTION("""COMPUTED_VALUE"""),"อก.1/2")</f>
        <v>อก.1/2</v>
      </c>
      <c r="E612" s="2" t="str">
        <f>IFERROR(__xludf.DUMMYFUNCTION("""COMPUTED_VALUE"""),"ชาย")</f>
        <v>ชาย</v>
      </c>
      <c r="F612" s="5" t="str">
        <f>IFERROR(__xludf.DUMMYFUNCTION("""COMPUTED_VALUE"""),"https://azizstan.net/student_image/26709.jpg")</f>
        <v>https://azizstan.net/student_image/26709.jpg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" t="str">
        <f>IFERROR(__xludf.DUMMYFUNCTION("""COMPUTED_VALUE"""),"26742")</f>
        <v>26742</v>
      </c>
      <c r="B613" s="3" t="str">
        <f>IFERROR(__xludf.DUMMYFUNCTION("""COMPUTED_VALUE"""),"ด.ช.อัฟฟานดีย์ สามะยีงอ")</f>
        <v>ด.ช.อัฟฟานดีย์ สามะยีงอ</v>
      </c>
      <c r="C613" s="3" t="str">
        <f>IFERROR(__xludf.DUMMYFUNCTION("""COMPUTED_VALUE"""),"ม.2/2")</f>
        <v>ม.2/2</v>
      </c>
      <c r="D613" s="3" t="str">
        <f>IFERROR(__xludf.DUMMYFUNCTION("""COMPUTED_VALUE"""),"อก.1/2")</f>
        <v>อก.1/2</v>
      </c>
      <c r="E613" s="2" t="str">
        <f>IFERROR(__xludf.DUMMYFUNCTION("""COMPUTED_VALUE"""),"ชาย")</f>
        <v>ชาย</v>
      </c>
      <c r="F613" s="5" t="str">
        <f>IFERROR(__xludf.DUMMYFUNCTION("""COMPUTED_VALUE"""),"https://azizstan.net/student_image/26742.jpg")</f>
        <v>https://azizstan.net/student_image/26742.jpg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 t="str">
        <f>IFERROR(__xludf.DUMMYFUNCTION("""COMPUTED_VALUE"""),"26779")</f>
        <v>26779</v>
      </c>
      <c r="B614" s="3" t="str">
        <f>IFERROR(__xludf.DUMMYFUNCTION("""COMPUTED_VALUE"""),"ด.ช.อีซาน บูเงาะแงะ")</f>
        <v>ด.ช.อีซาน บูเงาะแงะ</v>
      </c>
      <c r="C614" s="3" t="str">
        <f>IFERROR(__xludf.DUMMYFUNCTION("""COMPUTED_VALUE"""),"ม.2/2")</f>
        <v>ม.2/2</v>
      </c>
      <c r="D614" s="3" t="str">
        <f>IFERROR(__xludf.DUMMYFUNCTION("""COMPUTED_VALUE"""),"อก.1/2")</f>
        <v>อก.1/2</v>
      </c>
      <c r="E614" s="2" t="str">
        <f>IFERROR(__xludf.DUMMYFUNCTION("""COMPUTED_VALUE"""),"ชาย")</f>
        <v>ชาย</v>
      </c>
      <c r="F614" s="5" t="str">
        <f>IFERROR(__xludf.DUMMYFUNCTION("""COMPUTED_VALUE"""),"https://azizstan.net/student_image/26779.jpg")</f>
        <v>https://azizstan.net/student_image/26779.jpg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" t="str">
        <f>IFERROR(__xludf.DUMMYFUNCTION("""COMPUTED_VALUE"""),"25380")</f>
        <v>25380</v>
      </c>
      <c r="B615" s="3" t="str">
        <f>IFERROR(__xludf.DUMMYFUNCTION("""COMPUTED_VALUE"""),"ด.ช.อลิฟ เต๊ะหมะ")</f>
        <v>ด.ช.อลิฟ เต๊ะหมะ</v>
      </c>
      <c r="C615" s="3" t="str">
        <f>IFERROR(__xludf.DUMMYFUNCTION("""COMPUTED_VALUE"""),"ม.2/3")</f>
        <v>ม.2/3</v>
      </c>
      <c r="D615" s="3" t="str">
        <f>IFERROR(__xludf.DUMMYFUNCTION("""COMPUTED_VALUE"""),"อก.2/9")</f>
        <v>อก.2/9</v>
      </c>
      <c r="E615" s="2" t="str">
        <f>IFERROR(__xludf.DUMMYFUNCTION("""COMPUTED_VALUE"""),"ชาย")</f>
        <v>ชาย</v>
      </c>
      <c r="F615" s="5" t="str">
        <f>IFERROR(__xludf.DUMMYFUNCTION("""COMPUTED_VALUE"""),"https://azizstan.net/student_image/25380.jpg")</f>
        <v>https://azizstan.net/student_image/25380.jpg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" t="str">
        <f>IFERROR(__xludf.DUMMYFUNCTION("""COMPUTED_VALUE"""),"25431")</f>
        <v>25431</v>
      </c>
      <c r="B616" s="3" t="str">
        <f>IFERROR(__xludf.DUMMYFUNCTION("""COMPUTED_VALUE"""),"ด.ช.เจ๊ะมูฮัมหมัดซาอัด ดือราโก๊บ")</f>
        <v>ด.ช.เจ๊ะมูฮัมหมัดซาอัด ดือราโก๊บ</v>
      </c>
      <c r="C616" s="3" t="str">
        <f>IFERROR(__xludf.DUMMYFUNCTION("""COMPUTED_VALUE"""),"ม.2/3")</f>
        <v>ม.2/3</v>
      </c>
      <c r="D616" s="3" t="str">
        <f>IFERROR(__xludf.DUMMYFUNCTION("""COMPUTED_VALUE"""),"อก.2/9")</f>
        <v>อก.2/9</v>
      </c>
      <c r="E616" s="2" t="str">
        <f>IFERROR(__xludf.DUMMYFUNCTION("""COMPUTED_VALUE"""),"ชาย")</f>
        <v>ชาย</v>
      </c>
      <c r="F616" s="5" t="str">
        <f>IFERROR(__xludf.DUMMYFUNCTION("""COMPUTED_VALUE"""),"https://azizstan.net/student_image/25431.jpg")</f>
        <v>https://azizstan.net/student_image/25431.jpg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" t="str">
        <f>IFERROR(__xludf.DUMMYFUNCTION("""COMPUTED_VALUE"""),"25546")</f>
        <v>25546</v>
      </c>
      <c r="B617" s="3" t="str">
        <f>IFERROR(__xludf.DUMMYFUNCTION("""COMPUTED_VALUE"""),"ด.ช.มูฮัมหมัดรัยฮาน ดรอแม")</f>
        <v>ด.ช.มูฮัมหมัดรัยฮาน ดรอแม</v>
      </c>
      <c r="C617" s="3" t="str">
        <f>IFERROR(__xludf.DUMMYFUNCTION("""COMPUTED_VALUE"""),"ม.2/3")</f>
        <v>ม.2/3</v>
      </c>
      <c r="D617" s="3" t="str">
        <f>IFERROR(__xludf.DUMMYFUNCTION("""COMPUTED_VALUE"""),"อก.2/9")</f>
        <v>อก.2/9</v>
      </c>
      <c r="E617" s="2" t="str">
        <f>IFERROR(__xludf.DUMMYFUNCTION("""COMPUTED_VALUE"""),"ชาย")</f>
        <v>ชาย</v>
      </c>
      <c r="F617" s="5" t="str">
        <f>IFERROR(__xludf.DUMMYFUNCTION("""COMPUTED_VALUE"""),"https://azizstan.net/student_image/25546.jpg")</f>
        <v>https://azizstan.net/student_image/25546.jpg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" t="str">
        <f>IFERROR(__xludf.DUMMYFUNCTION("""COMPUTED_VALUE"""),"25553")</f>
        <v>25553</v>
      </c>
      <c r="B618" s="3" t="str">
        <f>IFERROR(__xludf.DUMMYFUNCTION("""COMPUTED_VALUE"""),"ด.ช.ซุกรอน บือซา")</f>
        <v>ด.ช.ซุกรอน บือซา</v>
      </c>
      <c r="C618" s="3" t="str">
        <f>IFERROR(__xludf.DUMMYFUNCTION("""COMPUTED_VALUE"""),"ม.2/3")</f>
        <v>ม.2/3</v>
      </c>
      <c r="D618" s="3" t="str">
        <f>IFERROR(__xludf.DUMMYFUNCTION("""COMPUTED_VALUE"""),"อก.2/9")</f>
        <v>อก.2/9</v>
      </c>
      <c r="E618" s="2" t="str">
        <f>IFERROR(__xludf.DUMMYFUNCTION("""COMPUTED_VALUE"""),"ชาย")</f>
        <v>ชาย</v>
      </c>
      <c r="F618" s="5" t="str">
        <f>IFERROR(__xludf.DUMMYFUNCTION("""COMPUTED_VALUE"""),"https://azizstan.net/student_image/25553.jpg")</f>
        <v>https://azizstan.net/student_image/25553.jpg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 t="str">
        <f>IFERROR(__xludf.DUMMYFUNCTION("""COMPUTED_VALUE"""),"25554")</f>
        <v>25554</v>
      </c>
      <c r="B619" s="3" t="str">
        <f>IFERROR(__xludf.DUMMYFUNCTION("""COMPUTED_VALUE"""),"ด.ช.มูฮัมหมัดวีร์อัม มะแซ")</f>
        <v>ด.ช.มูฮัมหมัดวีร์อัม มะแซ</v>
      </c>
      <c r="C619" s="3" t="str">
        <f>IFERROR(__xludf.DUMMYFUNCTION("""COMPUTED_VALUE"""),"ม.2/3")</f>
        <v>ม.2/3</v>
      </c>
      <c r="D619" s="3" t="str">
        <f>IFERROR(__xludf.DUMMYFUNCTION("""COMPUTED_VALUE"""),"อก.2/9")</f>
        <v>อก.2/9</v>
      </c>
      <c r="E619" s="2" t="str">
        <f>IFERROR(__xludf.DUMMYFUNCTION("""COMPUTED_VALUE"""),"ชาย")</f>
        <v>ชาย</v>
      </c>
      <c r="F619" s="5" t="str">
        <f>IFERROR(__xludf.DUMMYFUNCTION("""COMPUTED_VALUE"""),"https://azizstan.net/student_image/25554.jpg")</f>
        <v>https://azizstan.net/student_image/25554.jpg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 t="str">
        <f>IFERROR(__xludf.DUMMYFUNCTION("""COMPUTED_VALUE"""),"25599")</f>
        <v>25599</v>
      </c>
      <c r="B620" s="3" t="str">
        <f>IFERROR(__xludf.DUMMYFUNCTION("""COMPUTED_VALUE"""),"ด.ช.อัฟฟาน อาสากำแหง")</f>
        <v>ด.ช.อัฟฟาน อาสากำแหง</v>
      </c>
      <c r="C620" s="3" t="str">
        <f>IFERROR(__xludf.DUMMYFUNCTION("""COMPUTED_VALUE"""),"ม.2/3")</f>
        <v>ม.2/3</v>
      </c>
      <c r="D620" s="3" t="str">
        <f>IFERROR(__xludf.DUMMYFUNCTION("""COMPUTED_VALUE"""),"อก.2/9")</f>
        <v>อก.2/9</v>
      </c>
      <c r="E620" s="2" t="str">
        <f>IFERROR(__xludf.DUMMYFUNCTION("""COMPUTED_VALUE"""),"ชาย")</f>
        <v>ชาย</v>
      </c>
      <c r="F620" s="5" t="str">
        <f>IFERROR(__xludf.DUMMYFUNCTION("""COMPUTED_VALUE"""),"https://azizstan.net/student_image/25599.jpg")</f>
        <v>https://azizstan.net/student_image/25599.jpg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 t="str">
        <f>IFERROR(__xludf.DUMMYFUNCTION("""COMPUTED_VALUE"""),"25657")</f>
        <v>25657</v>
      </c>
      <c r="B621" s="3" t="str">
        <f>IFERROR(__xludf.DUMMYFUNCTION("""COMPUTED_VALUE"""),"ด.ช.นูรดีน ซูตี")</f>
        <v>ด.ช.นูรดีน ซูตี</v>
      </c>
      <c r="C621" s="3" t="str">
        <f>IFERROR(__xludf.DUMMYFUNCTION("""COMPUTED_VALUE"""),"ม.2/3")</f>
        <v>ม.2/3</v>
      </c>
      <c r="D621" s="3" t="str">
        <f>IFERROR(__xludf.DUMMYFUNCTION("""COMPUTED_VALUE"""),"อก.2/9")</f>
        <v>อก.2/9</v>
      </c>
      <c r="E621" s="2" t="str">
        <f>IFERROR(__xludf.DUMMYFUNCTION("""COMPUTED_VALUE"""),"ชาย")</f>
        <v>ชาย</v>
      </c>
      <c r="F621" s="5" t="str">
        <f>IFERROR(__xludf.DUMMYFUNCTION("""COMPUTED_VALUE"""),"https://azizstan.net/student_image/25657.jpg")</f>
        <v>https://azizstan.net/student_image/25657.jpg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 t="str">
        <f>IFERROR(__xludf.DUMMYFUNCTION("""COMPUTED_VALUE"""),"25801")</f>
        <v>25801</v>
      </c>
      <c r="B622" s="3" t="str">
        <f>IFERROR(__xludf.DUMMYFUNCTION("""COMPUTED_VALUE"""),"ด.ช.มูฮัมหมัดอามีน สะแต")</f>
        <v>ด.ช.มูฮัมหมัดอามีน สะแต</v>
      </c>
      <c r="C622" s="3" t="str">
        <f>IFERROR(__xludf.DUMMYFUNCTION("""COMPUTED_VALUE"""),"ม.2/3")</f>
        <v>ม.2/3</v>
      </c>
      <c r="D622" s="3" t="str">
        <f>IFERROR(__xludf.DUMMYFUNCTION("""COMPUTED_VALUE"""),"อก.2/9")</f>
        <v>อก.2/9</v>
      </c>
      <c r="E622" s="2" t="str">
        <f>IFERROR(__xludf.DUMMYFUNCTION("""COMPUTED_VALUE"""),"ชาย")</f>
        <v>ชาย</v>
      </c>
      <c r="F622" s="5" t="str">
        <f>IFERROR(__xludf.DUMMYFUNCTION("""COMPUTED_VALUE"""),"https://azizstan.net/student_image/25801.jpg")</f>
        <v>https://azizstan.net/student_image/25801.jpg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" t="str">
        <f>IFERROR(__xludf.DUMMYFUNCTION("""COMPUTED_VALUE"""),"25914")</f>
        <v>25914</v>
      </c>
      <c r="B623" s="3" t="str">
        <f>IFERROR(__xludf.DUMMYFUNCTION("""COMPUTED_VALUE"""),"ด.ช.ธนกฤต ราศรีพฤกษ์")</f>
        <v>ด.ช.ธนกฤต ราศรีพฤกษ์</v>
      </c>
      <c r="C623" s="3" t="str">
        <f>IFERROR(__xludf.DUMMYFUNCTION("""COMPUTED_VALUE"""),"ม.2/3")</f>
        <v>ม.2/3</v>
      </c>
      <c r="D623" s="3" t="str">
        <f>IFERROR(__xludf.DUMMYFUNCTION("""COMPUTED_VALUE"""),"อก.2/9")</f>
        <v>อก.2/9</v>
      </c>
      <c r="E623" s="2" t="str">
        <f>IFERROR(__xludf.DUMMYFUNCTION("""COMPUTED_VALUE"""),"ชาย")</f>
        <v>ชาย</v>
      </c>
      <c r="F623" s="5" t="str">
        <f>IFERROR(__xludf.DUMMYFUNCTION("""COMPUTED_VALUE"""),"https://azizstan.net/student_image/25914.jpg")</f>
        <v>https://azizstan.net/student_image/25914.jpg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" t="str">
        <f>IFERROR(__xludf.DUMMYFUNCTION("""COMPUTED_VALUE"""),"25931")</f>
        <v>25931</v>
      </c>
      <c r="B624" s="3" t="str">
        <f>IFERROR(__xludf.DUMMYFUNCTION("""COMPUTED_VALUE"""),"ด.ช.ธณเดช แดงขำ")</f>
        <v>ด.ช.ธณเดช แดงขำ</v>
      </c>
      <c r="C624" s="3" t="str">
        <f>IFERROR(__xludf.DUMMYFUNCTION("""COMPUTED_VALUE"""),"ม.2/3")</f>
        <v>ม.2/3</v>
      </c>
      <c r="D624" s="3" t="str">
        <f>IFERROR(__xludf.DUMMYFUNCTION("""COMPUTED_VALUE"""),"อก.2/9")</f>
        <v>อก.2/9</v>
      </c>
      <c r="E624" s="2" t="str">
        <f>IFERROR(__xludf.DUMMYFUNCTION("""COMPUTED_VALUE"""),"ชาย")</f>
        <v>ชาย</v>
      </c>
      <c r="F624" s="5" t="str">
        <f>IFERROR(__xludf.DUMMYFUNCTION("""COMPUTED_VALUE"""),"https://azizstan.net/student_image/25931.jpg")</f>
        <v>https://azizstan.net/student_image/25931.jpg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 t="str">
        <f>IFERROR(__xludf.DUMMYFUNCTION("""COMPUTED_VALUE"""),"25953")</f>
        <v>25953</v>
      </c>
      <c r="B625" s="3" t="str">
        <f>IFERROR(__xludf.DUMMYFUNCTION("""COMPUTED_VALUE"""),"ด.ช.ณัฐพงศ์ ลือมาน๊ะ")</f>
        <v>ด.ช.ณัฐพงศ์ ลือมาน๊ะ</v>
      </c>
      <c r="C625" s="3" t="str">
        <f>IFERROR(__xludf.DUMMYFUNCTION("""COMPUTED_VALUE"""),"ม.2/3")</f>
        <v>ม.2/3</v>
      </c>
      <c r="D625" s="3" t="str">
        <f>IFERROR(__xludf.DUMMYFUNCTION("""COMPUTED_VALUE"""),"อก.2/9")</f>
        <v>อก.2/9</v>
      </c>
      <c r="E625" s="2" t="str">
        <f>IFERROR(__xludf.DUMMYFUNCTION("""COMPUTED_VALUE"""),"ชาย")</f>
        <v>ชาย</v>
      </c>
      <c r="F625" s="5" t="str">
        <f>IFERROR(__xludf.DUMMYFUNCTION("""COMPUTED_VALUE"""),"https://azizstan.net/student_image/25953.jpg")</f>
        <v>https://azizstan.net/student_image/25953.jpg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 t="str">
        <f>IFERROR(__xludf.DUMMYFUNCTION("""COMPUTED_VALUE"""),"25956")</f>
        <v>25956</v>
      </c>
      <c r="B626" s="3" t="str">
        <f>IFERROR(__xludf.DUMMYFUNCTION("""COMPUTED_VALUE"""),"ด.ช.ชารีฟ กอและ")</f>
        <v>ด.ช.ชารีฟ กอและ</v>
      </c>
      <c r="C626" s="3" t="str">
        <f>IFERROR(__xludf.DUMMYFUNCTION("""COMPUTED_VALUE"""),"ม.2/3")</f>
        <v>ม.2/3</v>
      </c>
      <c r="D626" s="3" t="str">
        <f>IFERROR(__xludf.DUMMYFUNCTION("""COMPUTED_VALUE"""),"อก.2/9")</f>
        <v>อก.2/9</v>
      </c>
      <c r="E626" s="2" t="str">
        <f>IFERROR(__xludf.DUMMYFUNCTION("""COMPUTED_VALUE"""),"ชาย")</f>
        <v>ชาย</v>
      </c>
      <c r="F626" s="5" t="str">
        <f>IFERROR(__xludf.DUMMYFUNCTION("""COMPUTED_VALUE"""),"https://azizstan.net/student_image/25956.jpg")</f>
        <v>https://azizstan.net/student_image/25956.jpg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 t="str">
        <f>IFERROR(__xludf.DUMMYFUNCTION("""COMPUTED_VALUE"""),"26026")</f>
        <v>26026</v>
      </c>
      <c r="B627" s="3" t="str">
        <f>IFERROR(__xludf.DUMMYFUNCTION("""COMPUTED_VALUE"""),"ด.ช.มูฮัมหมัดฟาริส มามุ")</f>
        <v>ด.ช.มูฮัมหมัดฟาริส มามุ</v>
      </c>
      <c r="C627" s="3" t="str">
        <f>IFERROR(__xludf.DUMMYFUNCTION("""COMPUTED_VALUE"""),"ม.2/3")</f>
        <v>ม.2/3</v>
      </c>
      <c r="D627" s="3" t="str">
        <f>IFERROR(__xludf.DUMMYFUNCTION("""COMPUTED_VALUE"""),"อก.2/9")</f>
        <v>อก.2/9</v>
      </c>
      <c r="E627" s="2" t="str">
        <f>IFERROR(__xludf.DUMMYFUNCTION("""COMPUTED_VALUE"""),"ชาย")</f>
        <v>ชาย</v>
      </c>
      <c r="F627" s="5" t="str">
        <f>IFERROR(__xludf.DUMMYFUNCTION("""COMPUTED_VALUE"""),"https://azizstan.net/student_image/26026.jpg")</f>
        <v>https://azizstan.net/student_image/26026.jpg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 t="str">
        <f>IFERROR(__xludf.DUMMYFUNCTION("""COMPUTED_VALUE"""),"26191")</f>
        <v>26191</v>
      </c>
      <c r="B628" s="3" t="str">
        <f>IFERROR(__xludf.DUMMYFUNCTION("""COMPUTED_VALUE"""),"ด.ช.วีอาร์ม ดอเลาะ")</f>
        <v>ด.ช.วีอาร์ม ดอเลาะ</v>
      </c>
      <c r="C628" s="3" t="str">
        <f>IFERROR(__xludf.DUMMYFUNCTION("""COMPUTED_VALUE"""),"ม.2/3")</f>
        <v>ม.2/3</v>
      </c>
      <c r="D628" s="3" t="str">
        <f>IFERROR(__xludf.DUMMYFUNCTION("""COMPUTED_VALUE"""),"อก.2/9")</f>
        <v>อก.2/9</v>
      </c>
      <c r="E628" s="2" t="str">
        <f>IFERROR(__xludf.DUMMYFUNCTION("""COMPUTED_VALUE"""),"ชาย")</f>
        <v>ชาย</v>
      </c>
      <c r="F628" s="5" t="str">
        <f>IFERROR(__xludf.DUMMYFUNCTION("""COMPUTED_VALUE"""),"https://azizstan.net/student_image/26191.jpg")</f>
        <v>https://azizstan.net/student_image/26191.jpg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 t="str">
        <f>IFERROR(__xludf.DUMMYFUNCTION("""COMPUTED_VALUE"""),"26407")</f>
        <v>26407</v>
      </c>
      <c r="B629" s="3" t="str">
        <f>IFERROR(__xludf.DUMMYFUNCTION("""COMPUTED_VALUE"""),"ด.ช.มูฮำหมัดฟาฏอน มะเร๊ะ")</f>
        <v>ด.ช.มูฮำหมัดฟาฏอน มะเร๊ะ</v>
      </c>
      <c r="C629" s="3" t="str">
        <f>IFERROR(__xludf.DUMMYFUNCTION("""COMPUTED_VALUE"""),"ม.2/3")</f>
        <v>ม.2/3</v>
      </c>
      <c r="D629" s="3" t="str">
        <f>IFERROR(__xludf.DUMMYFUNCTION("""COMPUTED_VALUE"""),"อก.2/9")</f>
        <v>อก.2/9</v>
      </c>
      <c r="E629" s="2" t="str">
        <f>IFERROR(__xludf.DUMMYFUNCTION("""COMPUTED_VALUE"""),"ชาย")</f>
        <v>ชาย</v>
      </c>
      <c r="F629" s="5" t="str">
        <f>IFERROR(__xludf.DUMMYFUNCTION("""COMPUTED_VALUE"""),"https://azizstan.net/student_image/26407.jpg")</f>
        <v>https://azizstan.net/student_image/26407.jpg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" t="str">
        <f>IFERROR(__xludf.DUMMYFUNCTION("""COMPUTED_VALUE"""),"26470")</f>
        <v>26470</v>
      </c>
      <c r="B630" s="3" t="str">
        <f>IFERROR(__xludf.DUMMYFUNCTION("""COMPUTED_VALUE"""),"ด.ช.นาอีฟ เปาะโกะ")</f>
        <v>ด.ช.นาอีฟ เปาะโกะ</v>
      </c>
      <c r="C630" s="3" t="str">
        <f>IFERROR(__xludf.DUMMYFUNCTION("""COMPUTED_VALUE"""),"ม.2/3")</f>
        <v>ม.2/3</v>
      </c>
      <c r="D630" s="3" t="str">
        <f>IFERROR(__xludf.DUMMYFUNCTION("""COMPUTED_VALUE"""),"อก.2/9")</f>
        <v>อก.2/9</v>
      </c>
      <c r="E630" s="2" t="str">
        <f>IFERROR(__xludf.DUMMYFUNCTION("""COMPUTED_VALUE"""),"ชาย")</f>
        <v>ชาย</v>
      </c>
      <c r="F630" s="5" t="str">
        <f>IFERROR(__xludf.DUMMYFUNCTION("""COMPUTED_VALUE"""),"https://azizstan.net/student_image/26470.jpg")</f>
        <v>https://azizstan.net/student_image/26470.jpg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" t="str">
        <f>IFERROR(__xludf.DUMMYFUNCTION("""COMPUTED_VALUE"""),"26517")</f>
        <v>26517</v>
      </c>
      <c r="B631" s="3" t="str">
        <f>IFERROR(__xludf.DUMMYFUNCTION("""COMPUTED_VALUE"""),"ด.ช.ดนุพร เหล่หวัน")</f>
        <v>ด.ช.ดนุพร เหล่หวัน</v>
      </c>
      <c r="C631" s="3" t="str">
        <f>IFERROR(__xludf.DUMMYFUNCTION("""COMPUTED_VALUE"""),"ม.2/3")</f>
        <v>ม.2/3</v>
      </c>
      <c r="D631" s="3" t="str">
        <f>IFERROR(__xludf.DUMMYFUNCTION("""COMPUTED_VALUE"""),"อก.2/9")</f>
        <v>อก.2/9</v>
      </c>
      <c r="E631" s="2" t="str">
        <f>IFERROR(__xludf.DUMMYFUNCTION("""COMPUTED_VALUE"""),"ชาย")</f>
        <v>ชาย</v>
      </c>
      <c r="F631" s="5" t="str">
        <f>IFERROR(__xludf.DUMMYFUNCTION("""COMPUTED_VALUE"""),"https://azizstan.net/student_image/26517.jpg")</f>
        <v>https://azizstan.net/student_image/26517.jpg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" t="str">
        <f>IFERROR(__xludf.DUMMYFUNCTION("""COMPUTED_VALUE"""),"26809")</f>
        <v>26809</v>
      </c>
      <c r="B632" s="3" t="str">
        <f>IFERROR(__xludf.DUMMYFUNCTION("""COMPUTED_VALUE"""),"ด.ช.อิศกานดัร ยากรา")</f>
        <v>ด.ช.อิศกานดัร ยากรา</v>
      </c>
      <c r="C632" s="3" t="str">
        <f>IFERROR(__xludf.DUMMYFUNCTION("""COMPUTED_VALUE"""),"ม.2/3")</f>
        <v>ม.2/3</v>
      </c>
      <c r="D632" s="3" t="str">
        <f>IFERROR(__xludf.DUMMYFUNCTION("""COMPUTED_VALUE"""),"อก.2/9")</f>
        <v>อก.2/9</v>
      </c>
      <c r="E632" s="2" t="str">
        <f>IFERROR(__xludf.DUMMYFUNCTION("""COMPUTED_VALUE"""),"ชาย")</f>
        <v>ชาย</v>
      </c>
      <c r="F632" s="5" t="str">
        <f>IFERROR(__xludf.DUMMYFUNCTION("""COMPUTED_VALUE"""),"https://azizstan.net/student_image/26809.jpg")</f>
        <v>https://azizstan.net/student_image/26809.jpg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 t="str">
        <f>IFERROR(__xludf.DUMMYFUNCTION("""COMPUTED_VALUE"""),"26821")</f>
        <v>26821</v>
      </c>
      <c r="B633" s="3" t="str">
        <f>IFERROR(__xludf.DUMMYFUNCTION("""COMPUTED_VALUE"""),"ด.ช.มูฮัมหมัดอิรฟาน กูโน")</f>
        <v>ด.ช.มูฮัมหมัดอิรฟาน กูโน</v>
      </c>
      <c r="C633" s="3" t="str">
        <f>IFERROR(__xludf.DUMMYFUNCTION("""COMPUTED_VALUE"""),"ม.2/3")</f>
        <v>ม.2/3</v>
      </c>
      <c r="D633" s="3" t="str">
        <f>IFERROR(__xludf.DUMMYFUNCTION("""COMPUTED_VALUE"""),"อก.2/9")</f>
        <v>อก.2/9</v>
      </c>
      <c r="E633" s="2" t="str">
        <f>IFERROR(__xludf.DUMMYFUNCTION("""COMPUTED_VALUE"""),"ชาย")</f>
        <v>ชาย</v>
      </c>
      <c r="F633" s="5" t="str">
        <f>IFERROR(__xludf.DUMMYFUNCTION("""COMPUTED_VALUE"""),"https://azizstan.net/student_image/26821.jpg")</f>
        <v>https://azizstan.net/student_image/26821.jpg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 t="str">
        <f>IFERROR(__xludf.DUMMYFUNCTION("""COMPUTED_VALUE"""),"25371")</f>
        <v>25371</v>
      </c>
      <c r="B634" s="3" t="str">
        <f>IFERROR(__xludf.DUMMYFUNCTION("""COMPUTED_VALUE"""),"ด.ญ.อินตีนาน ยามา")</f>
        <v>ด.ญ.อินตีนาน ยามา</v>
      </c>
      <c r="C634" s="3" t="str">
        <f>IFERROR(__xludf.DUMMYFUNCTION("""COMPUTED_VALUE"""),"ม.2/4")</f>
        <v>ม.2/4</v>
      </c>
      <c r="D634" s="3" t="str">
        <f>IFERROR(__xludf.DUMMYFUNCTION("""COMPUTED_VALUE"""),"อก.1/4")</f>
        <v>อก.1/4</v>
      </c>
      <c r="E634" s="2" t="str">
        <f>IFERROR(__xludf.DUMMYFUNCTION("""COMPUTED_VALUE"""),"หญิง")</f>
        <v>หญิง</v>
      </c>
      <c r="F634" s="5" t="str">
        <f>IFERROR(__xludf.DUMMYFUNCTION("""COMPUTED_VALUE"""),"https://azizstan.net/student_image/25371.jpg")</f>
        <v>https://azizstan.net/student_image/25371.jpg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 t="str">
        <f>IFERROR(__xludf.DUMMYFUNCTION("""COMPUTED_VALUE"""),"25376")</f>
        <v>25376</v>
      </c>
      <c r="B635" s="3" t="str">
        <f>IFERROR(__xludf.DUMMYFUNCTION("""COMPUTED_VALUE"""),"ด.ญ.ฮานาน ปะดอดา")</f>
        <v>ด.ญ.ฮานาน ปะดอดา</v>
      </c>
      <c r="C635" s="3" t="str">
        <f>IFERROR(__xludf.DUMMYFUNCTION("""COMPUTED_VALUE"""),"ม.2/4")</f>
        <v>ม.2/4</v>
      </c>
      <c r="D635" s="3" t="str">
        <f>IFERROR(__xludf.DUMMYFUNCTION("""COMPUTED_VALUE"""),"อก.1/4")</f>
        <v>อก.1/4</v>
      </c>
      <c r="E635" s="2" t="str">
        <f>IFERROR(__xludf.DUMMYFUNCTION("""COMPUTED_VALUE"""),"หญิง")</f>
        <v>หญิง</v>
      </c>
      <c r="F635" s="5" t="str">
        <f>IFERROR(__xludf.DUMMYFUNCTION("""COMPUTED_VALUE"""),"https://azizstan.net/student_image/25376.jpg")</f>
        <v>https://azizstan.net/student_image/25376.jpg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 t="str">
        <f>IFERROR(__xludf.DUMMYFUNCTION("""COMPUTED_VALUE"""),"25386")</f>
        <v>25386</v>
      </c>
      <c r="B636" s="3" t="str">
        <f>IFERROR(__xludf.DUMMYFUNCTION("""COMPUTED_VALUE"""),"ด.ญ.ฮันนาน ยามา")</f>
        <v>ด.ญ.ฮันนาน ยามา</v>
      </c>
      <c r="C636" s="3" t="str">
        <f>IFERROR(__xludf.DUMMYFUNCTION("""COMPUTED_VALUE"""),"ม.2/4")</f>
        <v>ม.2/4</v>
      </c>
      <c r="D636" s="3" t="str">
        <f>IFERROR(__xludf.DUMMYFUNCTION("""COMPUTED_VALUE"""),"อก.1/4")</f>
        <v>อก.1/4</v>
      </c>
      <c r="E636" s="2" t="str">
        <f>IFERROR(__xludf.DUMMYFUNCTION("""COMPUTED_VALUE"""),"หญิง")</f>
        <v>หญิง</v>
      </c>
      <c r="F636" s="5" t="str">
        <f>IFERROR(__xludf.DUMMYFUNCTION("""COMPUTED_VALUE"""),"https://azizstan.net/student_image/25386.jpg")</f>
        <v>https://azizstan.net/student_image/25386.jpg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 t="str">
        <f>IFERROR(__xludf.DUMMYFUNCTION("""COMPUTED_VALUE"""),"25428")</f>
        <v>25428</v>
      </c>
      <c r="B637" s="3" t="str">
        <f>IFERROR(__xludf.DUMMYFUNCTION("""COMPUTED_VALUE"""),"ด.ญ.บุรฮานี ดอเลาะ")</f>
        <v>ด.ญ.บุรฮานี ดอเลาะ</v>
      </c>
      <c r="C637" s="3" t="str">
        <f>IFERROR(__xludf.DUMMYFUNCTION("""COMPUTED_VALUE"""),"ม.2/4")</f>
        <v>ม.2/4</v>
      </c>
      <c r="D637" s="3" t="str">
        <f>IFERROR(__xludf.DUMMYFUNCTION("""COMPUTED_VALUE"""),"อก.1/4")</f>
        <v>อก.1/4</v>
      </c>
      <c r="E637" s="2" t="str">
        <f>IFERROR(__xludf.DUMMYFUNCTION("""COMPUTED_VALUE"""),"หญิง")</f>
        <v>หญิง</v>
      </c>
      <c r="F637" s="5" t="str">
        <f>IFERROR(__xludf.DUMMYFUNCTION("""COMPUTED_VALUE"""),"https://azizstan.net/student_image/25428.jpg")</f>
        <v>https://azizstan.net/student_image/25428.jpg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 t="str">
        <f>IFERROR(__xludf.DUMMYFUNCTION("""COMPUTED_VALUE"""),"25445")</f>
        <v>25445</v>
      </c>
      <c r="B638" s="3" t="str">
        <f>IFERROR(__xludf.DUMMYFUNCTION("""COMPUTED_VALUE"""),"ด.ญ.ซีตีมารียำ ทิ้งจะนะ")</f>
        <v>ด.ญ.ซีตีมารียำ ทิ้งจะนะ</v>
      </c>
      <c r="C638" s="3" t="str">
        <f>IFERROR(__xludf.DUMMYFUNCTION("""COMPUTED_VALUE"""),"ม.2/4")</f>
        <v>ม.2/4</v>
      </c>
      <c r="D638" s="3" t="str">
        <f>IFERROR(__xludf.DUMMYFUNCTION("""COMPUTED_VALUE"""),"อก.1/4")</f>
        <v>อก.1/4</v>
      </c>
      <c r="E638" s="2" t="str">
        <f>IFERROR(__xludf.DUMMYFUNCTION("""COMPUTED_VALUE"""),"หญิง")</f>
        <v>หญิง</v>
      </c>
      <c r="F638" s="5" t="str">
        <f>IFERROR(__xludf.DUMMYFUNCTION("""COMPUTED_VALUE"""),"https://azizstan.net/student_image/25445.jpg")</f>
        <v>https://azizstan.net/student_image/25445.jpg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 t="str">
        <f>IFERROR(__xludf.DUMMYFUNCTION("""COMPUTED_VALUE"""),"25449")</f>
        <v>25449</v>
      </c>
      <c r="B639" s="3" t="str">
        <f>IFERROR(__xludf.DUMMYFUNCTION("""COMPUTED_VALUE"""),"ด.ญ.ฟาร์รียะ รักนุ้ย")</f>
        <v>ด.ญ.ฟาร์รียะ รักนุ้ย</v>
      </c>
      <c r="C639" s="3" t="str">
        <f>IFERROR(__xludf.DUMMYFUNCTION("""COMPUTED_VALUE"""),"ม.2/4")</f>
        <v>ม.2/4</v>
      </c>
      <c r="D639" s="3" t="str">
        <f>IFERROR(__xludf.DUMMYFUNCTION("""COMPUTED_VALUE"""),"อก.1/4")</f>
        <v>อก.1/4</v>
      </c>
      <c r="E639" s="2" t="str">
        <f>IFERROR(__xludf.DUMMYFUNCTION("""COMPUTED_VALUE"""),"หญิง")</f>
        <v>หญิง</v>
      </c>
      <c r="F639" s="5" t="str">
        <f>IFERROR(__xludf.DUMMYFUNCTION("""COMPUTED_VALUE"""),"https://azizstan.net/student_image/25449.jpg")</f>
        <v>https://azizstan.net/student_image/25449.jpg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 t="str">
        <f>IFERROR(__xludf.DUMMYFUNCTION("""COMPUTED_VALUE"""),"25465")</f>
        <v>25465</v>
      </c>
      <c r="B640" s="3" t="str">
        <f>IFERROR(__xludf.DUMMYFUNCTION("""COMPUTED_VALUE"""),"ด.ญ.อัลฟาตีฮะห์ มะดิง")</f>
        <v>ด.ญ.อัลฟาตีฮะห์ มะดิง</v>
      </c>
      <c r="C640" s="3" t="str">
        <f>IFERROR(__xludf.DUMMYFUNCTION("""COMPUTED_VALUE"""),"ม.2/4")</f>
        <v>ม.2/4</v>
      </c>
      <c r="D640" s="3" t="str">
        <f>IFERROR(__xludf.DUMMYFUNCTION("""COMPUTED_VALUE"""),"อก.1/4")</f>
        <v>อก.1/4</v>
      </c>
      <c r="E640" s="2" t="str">
        <f>IFERROR(__xludf.DUMMYFUNCTION("""COMPUTED_VALUE"""),"หญิง")</f>
        <v>หญิง</v>
      </c>
      <c r="F640" s="5" t="str">
        <f>IFERROR(__xludf.DUMMYFUNCTION("""COMPUTED_VALUE"""),"https://azizstan.net/student_image/25465.jpg")</f>
        <v>https://azizstan.net/student_image/25465.jpg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 t="str">
        <f>IFERROR(__xludf.DUMMYFUNCTION("""COMPUTED_VALUE"""),"25480")</f>
        <v>25480</v>
      </c>
      <c r="B641" s="3" t="str">
        <f>IFERROR(__xludf.DUMMYFUNCTION("""COMPUTED_VALUE"""),"ด.ญ.ซาสบีลา ดอเลาะ")</f>
        <v>ด.ญ.ซาสบีลา ดอเลาะ</v>
      </c>
      <c r="C641" s="3" t="str">
        <f>IFERROR(__xludf.DUMMYFUNCTION("""COMPUTED_VALUE"""),"ม.2/4")</f>
        <v>ม.2/4</v>
      </c>
      <c r="D641" s="3" t="str">
        <f>IFERROR(__xludf.DUMMYFUNCTION("""COMPUTED_VALUE"""),"อก.1/4")</f>
        <v>อก.1/4</v>
      </c>
      <c r="E641" s="2" t="str">
        <f>IFERROR(__xludf.DUMMYFUNCTION("""COMPUTED_VALUE"""),"หญิง")</f>
        <v>หญิง</v>
      </c>
      <c r="F641" s="5" t="str">
        <f>IFERROR(__xludf.DUMMYFUNCTION("""COMPUTED_VALUE"""),"https://azizstan.net/student_image/25480.jpg")</f>
        <v>https://azizstan.net/student_image/25480.jpg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 t="str">
        <f>IFERROR(__xludf.DUMMYFUNCTION("""COMPUTED_VALUE"""),"25481")</f>
        <v>25481</v>
      </c>
      <c r="B642" s="3" t="str">
        <f>IFERROR(__xludf.DUMMYFUNCTION("""COMPUTED_VALUE"""),"ด.ญ.ฟาตีฮะห์ แวแยนา")</f>
        <v>ด.ญ.ฟาตีฮะห์ แวแยนา</v>
      </c>
      <c r="C642" s="3" t="str">
        <f>IFERROR(__xludf.DUMMYFUNCTION("""COMPUTED_VALUE"""),"ม.2/4")</f>
        <v>ม.2/4</v>
      </c>
      <c r="D642" s="3" t="str">
        <f>IFERROR(__xludf.DUMMYFUNCTION("""COMPUTED_VALUE"""),"อก.1/4")</f>
        <v>อก.1/4</v>
      </c>
      <c r="E642" s="2" t="str">
        <f>IFERROR(__xludf.DUMMYFUNCTION("""COMPUTED_VALUE"""),"หญิง")</f>
        <v>หญิง</v>
      </c>
      <c r="F642" s="5" t="str">
        <f>IFERROR(__xludf.DUMMYFUNCTION("""COMPUTED_VALUE"""),"https://azizstan.net/student_image/25481.jpg")</f>
        <v>https://azizstan.net/student_image/25481.jpg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 t="str">
        <f>IFERROR(__xludf.DUMMYFUNCTION("""COMPUTED_VALUE"""),"25493")</f>
        <v>25493</v>
      </c>
      <c r="B643" s="3" t="str">
        <f>IFERROR(__xludf.DUMMYFUNCTION("""COMPUTED_VALUE"""),"ด.ญ.ไรฮานะห์ เจะหลง")</f>
        <v>ด.ญ.ไรฮานะห์ เจะหลง</v>
      </c>
      <c r="C643" s="3" t="str">
        <f>IFERROR(__xludf.DUMMYFUNCTION("""COMPUTED_VALUE"""),"ม.2/4")</f>
        <v>ม.2/4</v>
      </c>
      <c r="D643" s="3" t="str">
        <f>IFERROR(__xludf.DUMMYFUNCTION("""COMPUTED_VALUE"""),"อก.1/4")</f>
        <v>อก.1/4</v>
      </c>
      <c r="E643" s="2" t="str">
        <f>IFERROR(__xludf.DUMMYFUNCTION("""COMPUTED_VALUE"""),"หญิง")</f>
        <v>หญิง</v>
      </c>
      <c r="F643" s="5" t="str">
        <f>IFERROR(__xludf.DUMMYFUNCTION("""COMPUTED_VALUE"""),"https://azizstan.net/student_image/25493.jpg")</f>
        <v>https://azizstan.net/student_image/25493.jpg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 t="str">
        <f>IFERROR(__xludf.DUMMYFUNCTION("""COMPUTED_VALUE"""),"25496")</f>
        <v>25496</v>
      </c>
      <c r="B644" s="3" t="str">
        <f>IFERROR(__xludf.DUMMYFUNCTION("""COMPUTED_VALUE"""),"ด.ญ.ซูฟียะห์ เล๊าะมอง")</f>
        <v>ด.ญ.ซูฟียะห์ เล๊าะมอง</v>
      </c>
      <c r="C644" s="3" t="str">
        <f>IFERROR(__xludf.DUMMYFUNCTION("""COMPUTED_VALUE"""),"ม.2/4")</f>
        <v>ม.2/4</v>
      </c>
      <c r="D644" s="3" t="str">
        <f>IFERROR(__xludf.DUMMYFUNCTION("""COMPUTED_VALUE"""),"อก.1/4")</f>
        <v>อก.1/4</v>
      </c>
      <c r="E644" s="2" t="str">
        <f>IFERROR(__xludf.DUMMYFUNCTION("""COMPUTED_VALUE"""),"หญิง")</f>
        <v>หญิง</v>
      </c>
      <c r="F644" s="5" t="str">
        <f>IFERROR(__xludf.DUMMYFUNCTION("""COMPUTED_VALUE"""),"https://azizstan.net/student_image/25496.jpg")</f>
        <v>https://azizstan.net/student_image/25496.jpg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 t="str">
        <f>IFERROR(__xludf.DUMMYFUNCTION("""COMPUTED_VALUE"""),"25504")</f>
        <v>25504</v>
      </c>
      <c r="B645" s="3" t="str">
        <f>IFERROR(__xludf.DUMMYFUNCTION("""COMPUTED_VALUE"""),"ด.ญ.ชีฟาร์ มาหมัน")</f>
        <v>ด.ญ.ชีฟาร์ มาหมัน</v>
      </c>
      <c r="C645" s="3" t="str">
        <f>IFERROR(__xludf.DUMMYFUNCTION("""COMPUTED_VALUE"""),"ม.2/4")</f>
        <v>ม.2/4</v>
      </c>
      <c r="D645" s="3" t="str">
        <f>IFERROR(__xludf.DUMMYFUNCTION("""COMPUTED_VALUE"""),"อก.1/4")</f>
        <v>อก.1/4</v>
      </c>
      <c r="E645" s="2" t="str">
        <f>IFERROR(__xludf.DUMMYFUNCTION("""COMPUTED_VALUE"""),"หญิง")</f>
        <v>หญิง</v>
      </c>
      <c r="F645" s="5" t="str">
        <f>IFERROR(__xludf.DUMMYFUNCTION("""COMPUTED_VALUE"""),"https://azizstan.net/student_image/25504.jpg")</f>
        <v>https://azizstan.net/student_image/25504.jpg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 t="str">
        <f>IFERROR(__xludf.DUMMYFUNCTION("""COMPUTED_VALUE"""),"25510")</f>
        <v>25510</v>
      </c>
      <c r="B646" s="3" t="str">
        <f>IFERROR(__xludf.DUMMYFUNCTION("""COMPUTED_VALUE"""),"ด.ญ.นุรซาฮีรา มะสะ")</f>
        <v>ด.ญ.นุรซาฮีรา มะสะ</v>
      </c>
      <c r="C646" s="3" t="str">
        <f>IFERROR(__xludf.DUMMYFUNCTION("""COMPUTED_VALUE"""),"ม.2/4")</f>
        <v>ม.2/4</v>
      </c>
      <c r="D646" s="3" t="str">
        <f>IFERROR(__xludf.DUMMYFUNCTION("""COMPUTED_VALUE"""),"อก.1/4")</f>
        <v>อก.1/4</v>
      </c>
      <c r="E646" s="2" t="str">
        <f>IFERROR(__xludf.DUMMYFUNCTION("""COMPUTED_VALUE"""),"หญิง")</f>
        <v>หญิง</v>
      </c>
      <c r="F646" s="5" t="str">
        <f>IFERROR(__xludf.DUMMYFUNCTION("""COMPUTED_VALUE"""),"https://azizstan.net/student_image/25510.jpg")</f>
        <v>https://azizstan.net/student_image/25510.jpg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 t="str">
        <f>IFERROR(__xludf.DUMMYFUNCTION("""COMPUTED_VALUE"""),"25522")</f>
        <v>25522</v>
      </c>
      <c r="B647" s="3" t="str">
        <f>IFERROR(__xludf.DUMMYFUNCTION("""COMPUTED_VALUE"""),"ด.ญ.ฮาฟีซา กาลี")</f>
        <v>ด.ญ.ฮาฟีซา กาลี</v>
      </c>
      <c r="C647" s="3" t="str">
        <f>IFERROR(__xludf.DUMMYFUNCTION("""COMPUTED_VALUE"""),"ม.2/4")</f>
        <v>ม.2/4</v>
      </c>
      <c r="D647" s="3" t="str">
        <f>IFERROR(__xludf.DUMMYFUNCTION("""COMPUTED_VALUE"""),"อก.1/4")</f>
        <v>อก.1/4</v>
      </c>
      <c r="E647" s="2" t="str">
        <f>IFERROR(__xludf.DUMMYFUNCTION("""COMPUTED_VALUE"""),"หญิง")</f>
        <v>หญิง</v>
      </c>
      <c r="F647" s="5" t="str">
        <f>IFERROR(__xludf.DUMMYFUNCTION("""COMPUTED_VALUE"""),"https://azizstan.net/student_image/25522.jpg")</f>
        <v>https://azizstan.net/student_image/25522.jpg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 t="str">
        <f>IFERROR(__xludf.DUMMYFUNCTION("""COMPUTED_VALUE"""),"25564")</f>
        <v>25564</v>
      </c>
      <c r="B648" s="3" t="str">
        <f>IFERROR(__xludf.DUMMYFUNCTION("""COMPUTED_VALUE"""),"ด.ญ.นูรฟาติน มะตีเย๊าะ")</f>
        <v>ด.ญ.นูรฟาติน มะตีเย๊าะ</v>
      </c>
      <c r="C648" s="3" t="str">
        <f>IFERROR(__xludf.DUMMYFUNCTION("""COMPUTED_VALUE"""),"ม.2/4")</f>
        <v>ม.2/4</v>
      </c>
      <c r="D648" s="3" t="str">
        <f>IFERROR(__xludf.DUMMYFUNCTION("""COMPUTED_VALUE"""),"อก.1/4")</f>
        <v>อก.1/4</v>
      </c>
      <c r="E648" s="2" t="str">
        <f>IFERROR(__xludf.DUMMYFUNCTION("""COMPUTED_VALUE"""),"หญิง")</f>
        <v>หญิง</v>
      </c>
      <c r="F648" s="5" t="str">
        <f>IFERROR(__xludf.DUMMYFUNCTION("""COMPUTED_VALUE"""),"https://azizstan.net/student_image/25564.jpg")</f>
        <v>https://azizstan.net/student_image/25564.jpg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 t="str">
        <f>IFERROR(__xludf.DUMMYFUNCTION("""COMPUTED_VALUE"""),"25567")</f>
        <v>25567</v>
      </c>
      <c r="B649" s="3" t="str">
        <f>IFERROR(__xludf.DUMMYFUNCTION("""COMPUTED_VALUE"""),"ด.ญ.พิมรดา ชาอิด")</f>
        <v>ด.ญ.พิมรดา ชาอิด</v>
      </c>
      <c r="C649" s="3" t="str">
        <f>IFERROR(__xludf.DUMMYFUNCTION("""COMPUTED_VALUE"""),"ม.2/4")</f>
        <v>ม.2/4</v>
      </c>
      <c r="D649" s="3" t="str">
        <f>IFERROR(__xludf.DUMMYFUNCTION("""COMPUTED_VALUE"""),"อก.1/4")</f>
        <v>อก.1/4</v>
      </c>
      <c r="E649" s="2" t="str">
        <f>IFERROR(__xludf.DUMMYFUNCTION("""COMPUTED_VALUE"""),"หญิง")</f>
        <v>หญิง</v>
      </c>
      <c r="F649" s="5" t="str">
        <f>IFERROR(__xludf.DUMMYFUNCTION("""COMPUTED_VALUE"""),"https://azizstan.net/student_image/25567.jpg")</f>
        <v>https://azizstan.net/student_image/25567.jpg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 t="str">
        <f>IFERROR(__xludf.DUMMYFUNCTION("""COMPUTED_VALUE"""),"25593")</f>
        <v>25593</v>
      </c>
      <c r="B650" s="3" t="str">
        <f>IFERROR(__xludf.DUMMYFUNCTION("""COMPUTED_VALUE"""),"ด.ญ.นุรฟาตีมะฮ์ สะมาแอ")</f>
        <v>ด.ญ.นุรฟาตีมะฮ์ สะมาแอ</v>
      </c>
      <c r="C650" s="3" t="str">
        <f>IFERROR(__xludf.DUMMYFUNCTION("""COMPUTED_VALUE"""),"ม.2/4")</f>
        <v>ม.2/4</v>
      </c>
      <c r="D650" s="3" t="str">
        <f>IFERROR(__xludf.DUMMYFUNCTION("""COMPUTED_VALUE"""),"อก.1/4")</f>
        <v>อก.1/4</v>
      </c>
      <c r="E650" s="2" t="str">
        <f>IFERROR(__xludf.DUMMYFUNCTION("""COMPUTED_VALUE"""),"หญิง")</f>
        <v>หญิง</v>
      </c>
      <c r="F650" s="5" t="str">
        <f>IFERROR(__xludf.DUMMYFUNCTION("""COMPUTED_VALUE"""),"https://azizstan.net/student_image/25593.jpg")</f>
        <v>https://azizstan.net/student_image/25593.jpg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 t="str">
        <f>IFERROR(__xludf.DUMMYFUNCTION("""COMPUTED_VALUE"""),"25600")</f>
        <v>25600</v>
      </c>
      <c r="B651" s="3" t="str">
        <f>IFERROR(__xludf.DUMMYFUNCTION("""COMPUTED_VALUE"""),"ด.ญ.เรวดี ชูศรี")</f>
        <v>ด.ญ.เรวดี ชูศรี</v>
      </c>
      <c r="C651" s="3" t="str">
        <f>IFERROR(__xludf.DUMMYFUNCTION("""COMPUTED_VALUE"""),"ม.2/4")</f>
        <v>ม.2/4</v>
      </c>
      <c r="D651" s="3" t="str">
        <f>IFERROR(__xludf.DUMMYFUNCTION("""COMPUTED_VALUE"""),"อก.1/4")</f>
        <v>อก.1/4</v>
      </c>
      <c r="E651" s="2" t="str">
        <f>IFERROR(__xludf.DUMMYFUNCTION("""COMPUTED_VALUE"""),"หญิง")</f>
        <v>หญิง</v>
      </c>
      <c r="F651" s="5" t="str">
        <f>IFERROR(__xludf.DUMMYFUNCTION("""COMPUTED_VALUE"""),"https://azizstan.net/student_image/25600.jpg")</f>
        <v>https://azizstan.net/student_image/25600.jpg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 t="str">
        <f>IFERROR(__xludf.DUMMYFUNCTION("""COMPUTED_VALUE"""),"25607")</f>
        <v>25607</v>
      </c>
      <c r="B652" s="3" t="str">
        <f>IFERROR(__xludf.DUMMYFUNCTION("""COMPUTED_VALUE"""),"ด.ญ.ลาตีฟะห์ จะแหน")</f>
        <v>ด.ญ.ลาตีฟะห์ จะแหน</v>
      </c>
      <c r="C652" s="3" t="str">
        <f>IFERROR(__xludf.DUMMYFUNCTION("""COMPUTED_VALUE"""),"ม.2/4")</f>
        <v>ม.2/4</v>
      </c>
      <c r="D652" s="3" t="str">
        <f>IFERROR(__xludf.DUMMYFUNCTION("""COMPUTED_VALUE"""),"อก.1/4")</f>
        <v>อก.1/4</v>
      </c>
      <c r="E652" s="2" t="str">
        <f>IFERROR(__xludf.DUMMYFUNCTION("""COMPUTED_VALUE"""),"หญิง")</f>
        <v>หญิง</v>
      </c>
      <c r="F652" s="5" t="str">
        <f>IFERROR(__xludf.DUMMYFUNCTION("""COMPUTED_VALUE"""),"https://azizstan.net/student_image/25607.jpg")</f>
        <v>https://azizstan.net/student_image/25607.jpg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 t="str">
        <f>IFERROR(__xludf.DUMMYFUNCTION("""COMPUTED_VALUE"""),"25629")</f>
        <v>25629</v>
      </c>
      <c r="B653" s="3" t="str">
        <f>IFERROR(__xludf.DUMMYFUNCTION("""COMPUTED_VALUE"""),"ด.ญ.นุรอัยนี ตาเฮ")</f>
        <v>ด.ญ.นุรอัยนี ตาเฮ</v>
      </c>
      <c r="C653" s="3" t="str">
        <f>IFERROR(__xludf.DUMMYFUNCTION("""COMPUTED_VALUE"""),"ม.2/4")</f>
        <v>ม.2/4</v>
      </c>
      <c r="D653" s="3" t="str">
        <f>IFERROR(__xludf.DUMMYFUNCTION("""COMPUTED_VALUE"""),"อก.1/4")</f>
        <v>อก.1/4</v>
      </c>
      <c r="E653" s="2" t="str">
        <f>IFERROR(__xludf.DUMMYFUNCTION("""COMPUTED_VALUE"""),"หญิง")</f>
        <v>หญิง</v>
      </c>
      <c r="F653" s="5" t="str">
        <f>IFERROR(__xludf.DUMMYFUNCTION("""COMPUTED_VALUE"""),"https://azizstan.net/student_image/25629.jpg")</f>
        <v>https://azizstan.net/student_image/25629.jpg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 t="str">
        <f>IFERROR(__xludf.DUMMYFUNCTION("""COMPUTED_VALUE"""),"25633")</f>
        <v>25633</v>
      </c>
      <c r="B654" s="3" t="str">
        <f>IFERROR(__xludf.DUMMYFUNCTION("""COMPUTED_VALUE"""),"ด.ญ.นูรุลอินอาม ม่าเย็บ")</f>
        <v>ด.ญ.นูรุลอินอาม ม่าเย็บ</v>
      </c>
      <c r="C654" s="3" t="str">
        <f>IFERROR(__xludf.DUMMYFUNCTION("""COMPUTED_VALUE"""),"ม.2/4")</f>
        <v>ม.2/4</v>
      </c>
      <c r="D654" s="3" t="str">
        <f>IFERROR(__xludf.DUMMYFUNCTION("""COMPUTED_VALUE"""),"อก.1/4")</f>
        <v>อก.1/4</v>
      </c>
      <c r="E654" s="2" t="str">
        <f>IFERROR(__xludf.DUMMYFUNCTION("""COMPUTED_VALUE"""),"หญิง")</f>
        <v>หญิง</v>
      </c>
      <c r="F654" s="5" t="str">
        <f>IFERROR(__xludf.DUMMYFUNCTION("""COMPUTED_VALUE"""),"https://azizstan.net/student_image/25633.jpg")</f>
        <v>https://azizstan.net/student_image/25633.jpg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 t="str">
        <f>IFERROR(__xludf.DUMMYFUNCTION("""COMPUTED_VALUE"""),"25645")</f>
        <v>25645</v>
      </c>
      <c r="B655" s="3" t="str">
        <f>IFERROR(__xludf.DUMMYFUNCTION("""COMPUTED_VALUE"""),"ด.ญ.อนุสรา มะแซ")</f>
        <v>ด.ญ.อนุสรา มะแซ</v>
      </c>
      <c r="C655" s="3" t="str">
        <f>IFERROR(__xludf.DUMMYFUNCTION("""COMPUTED_VALUE"""),"ม.2/4")</f>
        <v>ม.2/4</v>
      </c>
      <c r="D655" s="3" t="str">
        <f>IFERROR(__xludf.DUMMYFUNCTION("""COMPUTED_VALUE"""),"อก.1/4")</f>
        <v>อก.1/4</v>
      </c>
      <c r="E655" s="2" t="str">
        <f>IFERROR(__xludf.DUMMYFUNCTION("""COMPUTED_VALUE"""),"หญิง")</f>
        <v>หญิง</v>
      </c>
      <c r="F655" s="5" t="str">
        <f>IFERROR(__xludf.DUMMYFUNCTION("""COMPUTED_VALUE"""),"https://azizstan.net/student_image/25645.jpg")</f>
        <v>https://azizstan.net/student_image/25645.jpg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 t="str">
        <f>IFERROR(__xludf.DUMMYFUNCTION("""COMPUTED_VALUE"""),"25717")</f>
        <v>25717</v>
      </c>
      <c r="B656" s="3" t="str">
        <f>IFERROR(__xludf.DUMMYFUNCTION("""COMPUTED_VALUE"""),"ด.ญ.นิสูไฮลา เจะแม")</f>
        <v>ด.ญ.นิสูไฮลา เจะแม</v>
      </c>
      <c r="C656" s="3" t="str">
        <f>IFERROR(__xludf.DUMMYFUNCTION("""COMPUTED_VALUE"""),"ม.2/4")</f>
        <v>ม.2/4</v>
      </c>
      <c r="D656" s="3" t="str">
        <f>IFERROR(__xludf.DUMMYFUNCTION("""COMPUTED_VALUE"""),"อก.1/4")</f>
        <v>อก.1/4</v>
      </c>
      <c r="E656" s="2" t="str">
        <f>IFERROR(__xludf.DUMMYFUNCTION("""COMPUTED_VALUE"""),"หญิง")</f>
        <v>หญิง</v>
      </c>
      <c r="F656" s="5" t="str">
        <f>IFERROR(__xludf.DUMMYFUNCTION("""COMPUTED_VALUE"""),"https://azizstan.net/student_image/25717.jpg")</f>
        <v>https://azizstan.net/student_image/25717.jpg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 t="str">
        <f>IFERROR(__xludf.DUMMYFUNCTION("""COMPUTED_VALUE"""),"25735")</f>
        <v>25735</v>
      </c>
      <c r="B657" s="3" t="str">
        <f>IFERROR(__xludf.DUMMYFUNCTION("""COMPUTED_VALUE"""),"ด.ญ.นูรไอนี บางปู")</f>
        <v>ด.ญ.นูรไอนี บางปู</v>
      </c>
      <c r="C657" s="3" t="str">
        <f>IFERROR(__xludf.DUMMYFUNCTION("""COMPUTED_VALUE"""),"ม.2/4")</f>
        <v>ม.2/4</v>
      </c>
      <c r="D657" s="3" t="str">
        <f>IFERROR(__xludf.DUMMYFUNCTION("""COMPUTED_VALUE"""),"อก.1/4")</f>
        <v>อก.1/4</v>
      </c>
      <c r="E657" s="2" t="str">
        <f>IFERROR(__xludf.DUMMYFUNCTION("""COMPUTED_VALUE"""),"หญิง")</f>
        <v>หญิง</v>
      </c>
      <c r="F657" s="5" t="str">
        <f>IFERROR(__xludf.DUMMYFUNCTION("""COMPUTED_VALUE"""),"https://azizstan.net/student_image/25735.jpg")</f>
        <v>https://azizstan.net/student_image/25735.jpg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 t="str">
        <f>IFERROR(__xludf.DUMMYFUNCTION("""COMPUTED_VALUE"""),"25738")</f>
        <v>25738</v>
      </c>
      <c r="B658" s="3" t="str">
        <f>IFERROR(__xludf.DUMMYFUNCTION("""COMPUTED_VALUE"""),"ด.ญ.นิทัศณี ภูมิภัทรญาณกูร")</f>
        <v>ด.ญ.นิทัศณี ภูมิภัทรญาณกูร</v>
      </c>
      <c r="C658" s="3" t="str">
        <f>IFERROR(__xludf.DUMMYFUNCTION("""COMPUTED_VALUE"""),"ม.2/4")</f>
        <v>ม.2/4</v>
      </c>
      <c r="D658" s="3" t="str">
        <f>IFERROR(__xludf.DUMMYFUNCTION("""COMPUTED_VALUE"""),"อก.1/4")</f>
        <v>อก.1/4</v>
      </c>
      <c r="E658" s="2" t="str">
        <f>IFERROR(__xludf.DUMMYFUNCTION("""COMPUTED_VALUE"""),"หญิง")</f>
        <v>หญิง</v>
      </c>
      <c r="F658" s="5" t="str">
        <f>IFERROR(__xludf.DUMMYFUNCTION("""COMPUTED_VALUE"""),"https://azizstan.net/student_image/25738.jpg")</f>
        <v>https://azizstan.net/student_image/25738.jpg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 t="str">
        <f>IFERROR(__xludf.DUMMYFUNCTION("""COMPUTED_VALUE"""),"25754")</f>
        <v>25754</v>
      </c>
      <c r="B659" s="3" t="str">
        <f>IFERROR(__xludf.DUMMYFUNCTION("""COMPUTED_VALUE"""),"ด.ญ.อามีนา หนิตำ")</f>
        <v>ด.ญ.อามีนา หนิตำ</v>
      </c>
      <c r="C659" s="3" t="str">
        <f>IFERROR(__xludf.DUMMYFUNCTION("""COMPUTED_VALUE"""),"ม.2/4")</f>
        <v>ม.2/4</v>
      </c>
      <c r="D659" s="3" t="str">
        <f>IFERROR(__xludf.DUMMYFUNCTION("""COMPUTED_VALUE"""),"อก.1/4")</f>
        <v>อก.1/4</v>
      </c>
      <c r="E659" s="2" t="str">
        <f>IFERROR(__xludf.DUMMYFUNCTION("""COMPUTED_VALUE"""),"หญิง")</f>
        <v>หญิง</v>
      </c>
      <c r="F659" s="5" t="str">
        <f>IFERROR(__xludf.DUMMYFUNCTION("""COMPUTED_VALUE"""),"https://azizstan.net/student_image/25754.jpg")</f>
        <v>https://azizstan.net/student_image/25754.jpg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 t="str">
        <f>IFERROR(__xludf.DUMMYFUNCTION("""COMPUTED_VALUE"""),"25767")</f>
        <v>25767</v>
      </c>
      <c r="B660" s="3" t="str">
        <f>IFERROR(__xludf.DUMMYFUNCTION("""COMPUTED_VALUE"""),"ด.ญ.นาเดีย สาเนาะ")</f>
        <v>ด.ญ.นาเดีย สาเนาะ</v>
      </c>
      <c r="C660" s="3" t="str">
        <f>IFERROR(__xludf.DUMMYFUNCTION("""COMPUTED_VALUE"""),"ม.2/4")</f>
        <v>ม.2/4</v>
      </c>
      <c r="D660" s="3" t="str">
        <f>IFERROR(__xludf.DUMMYFUNCTION("""COMPUTED_VALUE"""),"อก.1/4")</f>
        <v>อก.1/4</v>
      </c>
      <c r="E660" s="2" t="str">
        <f>IFERROR(__xludf.DUMMYFUNCTION("""COMPUTED_VALUE"""),"หญิง")</f>
        <v>หญิง</v>
      </c>
      <c r="F660" s="5" t="str">
        <f>IFERROR(__xludf.DUMMYFUNCTION("""COMPUTED_VALUE"""),"https://azizstan.net/student_image/25767.jpg")</f>
        <v>https://azizstan.net/student_image/25767.jpg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 t="str">
        <f>IFERROR(__xludf.DUMMYFUNCTION("""COMPUTED_VALUE"""),"25786")</f>
        <v>25786</v>
      </c>
      <c r="B661" s="3" t="str">
        <f>IFERROR(__xludf.DUMMYFUNCTION("""COMPUTED_VALUE"""),"ด.ญ.ธัญญ่า ดอกอ")</f>
        <v>ด.ญ.ธัญญ่า ดอกอ</v>
      </c>
      <c r="C661" s="3" t="str">
        <f>IFERROR(__xludf.DUMMYFUNCTION("""COMPUTED_VALUE"""),"ม.2/4")</f>
        <v>ม.2/4</v>
      </c>
      <c r="D661" s="3" t="str">
        <f>IFERROR(__xludf.DUMMYFUNCTION("""COMPUTED_VALUE"""),"อก.1/4")</f>
        <v>อก.1/4</v>
      </c>
      <c r="E661" s="2" t="str">
        <f>IFERROR(__xludf.DUMMYFUNCTION("""COMPUTED_VALUE"""),"หญิง")</f>
        <v>หญิง</v>
      </c>
      <c r="F661" s="5" t="str">
        <f>IFERROR(__xludf.DUMMYFUNCTION("""COMPUTED_VALUE"""),"https://azizstan.net/student_image/25786.jpg")</f>
        <v>https://azizstan.net/student_image/25786.jpg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 t="str">
        <f>IFERROR(__xludf.DUMMYFUNCTION("""COMPUTED_VALUE"""),"25787")</f>
        <v>25787</v>
      </c>
      <c r="B662" s="3" t="str">
        <f>IFERROR(__xludf.DUMMYFUNCTION("""COMPUTED_VALUE"""),"ด.ญ.รัตติกานต์ สาเมาะ")</f>
        <v>ด.ญ.รัตติกานต์ สาเมาะ</v>
      </c>
      <c r="C662" s="3" t="str">
        <f>IFERROR(__xludf.DUMMYFUNCTION("""COMPUTED_VALUE"""),"ม.2/4")</f>
        <v>ม.2/4</v>
      </c>
      <c r="D662" s="3" t="str">
        <f>IFERROR(__xludf.DUMMYFUNCTION("""COMPUTED_VALUE"""),"อก.1/4")</f>
        <v>อก.1/4</v>
      </c>
      <c r="E662" s="2" t="str">
        <f>IFERROR(__xludf.DUMMYFUNCTION("""COMPUTED_VALUE"""),"หญิง")</f>
        <v>หญิง</v>
      </c>
      <c r="F662" s="5" t="str">
        <f>IFERROR(__xludf.DUMMYFUNCTION("""COMPUTED_VALUE"""),"https://azizstan.net/student_image/25787.jpg")</f>
        <v>https://azizstan.net/student_image/25787.jpg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" t="str">
        <f>IFERROR(__xludf.DUMMYFUNCTION("""COMPUTED_VALUE"""),"25830")</f>
        <v>25830</v>
      </c>
      <c r="B663" s="3" t="str">
        <f>IFERROR(__xludf.DUMMYFUNCTION("""COMPUTED_VALUE"""),"ด.ญ.นูรุลฟาดีญา กาบูติ้ง")</f>
        <v>ด.ญ.นูรุลฟาดีญา กาบูติ้ง</v>
      </c>
      <c r="C663" s="3" t="str">
        <f>IFERROR(__xludf.DUMMYFUNCTION("""COMPUTED_VALUE"""),"ม.2/4")</f>
        <v>ม.2/4</v>
      </c>
      <c r="D663" s="3" t="str">
        <f>IFERROR(__xludf.DUMMYFUNCTION("""COMPUTED_VALUE"""),"อก.1/4")</f>
        <v>อก.1/4</v>
      </c>
      <c r="E663" s="2" t="str">
        <f>IFERROR(__xludf.DUMMYFUNCTION("""COMPUTED_VALUE"""),"หญิง")</f>
        <v>หญิง</v>
      </c>
      <c r="F663" s="5" t="str">
        <f>IFERROR(__xludf.DUMMYFUNCTION("""COMPUTED_VALUE"""),"https://azizstan.net/student_image/25830.jpg")</f>
        <v>https://azizstan.net/student_image/25830.jpg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" t="str">
        <f>IFERROR(__xludf.DUMMYFUNCTION("""COMPUTED_VALUE"""),"25858")</f>
        <v>25858</v>
      </c>
      <c r="B664" s="3" t="str">
        <f>IFERROR(__xludf.DUMMYFUNCTION("""COMPUTED_VALUE"""),"ด.ญ.นูรฟาดีละห์ ดือเระ")</f>
        <v>ด.ญ.นูรฟาดีละห์ ดือเระ</v>
      </c>
      <c r="C664" s="3" t="str">
        <f>IFERROR(__xludf.DUMMYFUNCTION("""COMPUTED_VALUE"""),"ม.2/4")</f>
        <v>ม.2/4</v>
      </c>
      <c r="D664" s="3" t="str">
        <f>IFERROR(__xludf.DUMMYFUNCTION("""COMPUTED_VALUE"""),"อก.1/4")</f>
        <v>อก.1/4</v>
      </c>
      <c r="E664" s="2" t="str">
        <f>IFERROR(__xludf.DUMMYFUNCTION("""COMPUTED_VALUE"""),"หญิง")</f>
        <v>หญิง</v>
      </c>
      <c r="F664" s="5" t="str">
        <f>IFERROR(__xludf.DUMMYFUNCTION("""COMPUTED_VALUE"""),"https://azizstan.net/student_image/25858.jpg")</f>
        <v>https://azizstan.net/student_image/25858.jpg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" t="str">
        <f>IFERROR(__xludf.DUMMYFUNCTION("""COMPUTED_VALUE"""),"25869")</f>
        <v>25869</v>
      </c>
      <c r="B665" s="3" t="str">
        <f>IFERROR(__xludf.DUMMYFUNCTION("""COMPUTED_VALUE"""),"ด.ญ.ตัสนิม ยง")</f>
        <v>ด.ญ.ตัสนิม ยง</v>
      </c>
      <c r="C665" s="3" t="str">
        <f>IFERROR(__xludf.DUMMYFUNCTION("""COMPUTED_VALUE"""),"ม.2/4")</f>
        <v>ม.2/4</v>
      </c>
      <c r="D665" s="3" t="str">
        <f>IFERROR(__xludf.DUMMYFUNCTION("""COMPUTED_VALUE"""),"อก.1/4")</f>
        <v>อก.1/4</v>
      </c>
      <c r="E665" s="2" t="str">
        <f>IFERROR(__xludf.DUMMYFUNCTION("""COMPUTED_VALUE"""),"หญิง")</f>
        <v>หญิง</v>
      </c>
      <c r="F665" s="5" t="str">
        <f>IFERROR(__xludf.DUMMYFUNCTION("""COMPUTED_VALUE"""),"https://azizstan.net/student_image/25869.jpg")</f>
        <v>https://azizstan.net/student_image/25869.jpg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" t="str">
        <f>IFERROR(__xludf.DUMMYFUNCTION("""COMPUTED_VALUE"""),"25887")</f>
        <v>25887</v>
      </c>
      <c r="B666" s="3" t="str">
        <f>IFERROR(__xludf.DUMMYFUNCTION("""COMPUTED_VALUE"""),"ด.ญ.อิมตีนาล ยูโซะ")</f>
        <v>ด.ญ.อิมตีนาล ยูโซะ</v>
      </c>
      <c r="C666" s="3" t="str">
        <f>IFERROR(__xludf.DUMMYFUNCTION("""COMPUTED_VALUE"""),"ม.2/4")</f>
        <v>ม.2/4</v>
      </c>
      <c r="D666" s="3" t="str">
        <f>IFERROR(__xludf.DUMMYFUNCTION("""COMPUTED_VALUE"""),"อก.1/4")</f>
        <v>อก.1/4</v>
      </c>
      <c r="E666" s="2" t="str">
        <f>IFERROR(__xludf.DUMMYFUNCTION("""COMPUTED_VALUE"""),"หญิง")</f>
        <v>หญิง</v>
      </c>
      <c r="F666" s="5" t="str">
        <f>IFERROR(__xludf.DUMMYFUNCTION("""COMPUTED_VALUE"""),"https://azizstan.net/student_image/25887.jpg")</f>
        <v>https://azizstan.net/student_image/25887.jpg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 t="str">
        <f>IFERROR(__xludf.DUMMYFUNCTION("""COMPUTED_VALUE"""),"25906")</f>
        <v>25906</v>
      </c>
      <c r="B667" s="3" t="str">
        <f>IFERROR(__xludf.DUMMYFUNCTION("""COMPUTED_VALUE"""),"ด.ญ.นูรีย์มาน กูนา")</f>
        <v>ด.ญ.นูรีย์มาน กูนา</v>
      </c>
      <c r="C667" s="3" t="str">
        <f>IFERROR(__xludf.DUMMYFUNCTION("""COMPUTED_VALUE"""),"ม.2/4")</f>
        <v>ม.2/4</v>
      </c>
      <c r="D667" s="3" t="str">
        <f>IFERROR(__xludf.DUMMYFUNCTION("""COMPUTED_VALUE"""),"อก.1/4")</f>
        <v>อก.1/4</v>
      </c>
      <c r="E667" s="2" t="str">
        <f>IFERROR(__xludf.DUMMYFUNCTION("""COMPUTED_VALUE"""),"หญิง")</f>
        <v>หญิง</v>
      </c>
      <c r="F667" s="5" t="str">
        <f>IFERROR(__xludf.DUMMYFUNCTION("""COMPUTED_VALUE"""),"https://azizstan.net/student_image/25906.jpg")</f>
        <v>https://azizstan.net/student_image/25906.jpg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 t="str">
        <f>IFERROR(__xludf.DUMMYFUNCTION("""COMPUTED_VALUE"""),"25918")</f>
        <v>25918</v>
      </c>
      <c r="B668" s="3" t="str">
        <f>IFERROR(__xludf.DUMMYFUNCTION("""COMPUTED_VALUE"""),"ด.ญ.อาริซตาร์ บาโด")</f>
        <v>ด.ญ.อาริซตาร์ บาโด</v>
      </c>
      <c r="C668" s="3" t="str">
        <f>IFERROR(__xludf.DUMMYFUNCTION("""COMPUTED_VALUE"""),"ม.2/4")</f>
        <v>ม.2/4</v>
      </c>
      <c r="D668" s="3" t="str">
        <f>IFERROR(__xludf.DUMMYFUNCTION("""COMPUTED_VALUE"""),"อก.1/4")</f>
        <v>อก.1/4</v>
      </c>
      <c r="E668" s="2" t="str">
        <f>IFERROR(__xludf.DUMMYFUNCTION("""COMPUTED_VALUE"""),"หญิง")</f>
        <v>หญิง</v>
      </c>
      <c r="F668" s="5" t="str">
        <f>IFERROR(__xludf.DUMMYFUNCTION("""COMPUTED_VALUE"""),"https://azizstan.net/student_image/25918.jpg")</f>
        <v>https://azizstan.net/student_image/25918.jpg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 t="str">
        <f>IFERROR(__xludf.DUMMYFUNCTION("""COMPUTED_VALUE"""),"25967")</f>
        <v>25967</v>
      </c>
      <c r="B669" s="3" t="str">
        <f>IFERROR(__xludf.DUMMYFUNCTION("""COMPUTED_VALUE"""),"ด.ญ.นูรอาฟิตเราะฮ์ ยา")</f>
        <v>ด.ญ.นูรอาฟิตเราะฮ์ ยา</v>
      </c>
      <c r="C669" s="3" t="str">
        <f>IFERROR(__xludf.DUMMYFUNCTION("""COMPUTED_VALUE"""),"ม.2/4")</f>
        <v>ม.2/4</v>
      </c>
      <c r="D669" s="3" t="str">
        <f>IFERROR(__xludf.DUMMYFUNCTION("""COMPUTED_VALUE"""),"อก.1/4")</f>
        <v>อก.1/4</v>
      </c>
      <c r="E669" s="2" t="str">
        <f>IFERROR(__xludf.DUMMYFUNCTION("""COMPUTED_VALUE"""),"หญิง")</f>
        <v>หญิง</v>
      </c>
      <c r="F669" s="5" t="str">
        <f>IFERROR(__xludf.DUMMYFUNCTION("""COMPUTED_VALUE"""),"https://azizstan.net/student_image/25967.jpg")</f>
        <v>https://azizstan.net/student_image/25967.jpg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 t="str">
        <f>IFERROR(__xludf.DUMMYFUNCTION("""COMPUTED_VALUE"""),"26129")</f>
        <v>26129</v>
      </c>
      <c r="B670" s="3" t="str">
        <f>IFERROR(__xludf.DUMMYFUNCTION("""COMPUTED_VALUE"""),"ด.ญ.นูรฟาฏิน จะปะกิยา")</f>
        <v>ด.ญ.นูรฟาฏิน จะปะกิยา</v>
      </c>
      <c r="C670" s="3" t="str">
        <f>IFERROR(__xludf.DUMMYFUNCTION("""COMPUTED_VALUE"""),"ม.2/4")</f>
        <v>ม.2/4</v>
      </c>
      <c r="D670" s="3" t="str">
        <f>IFERROR(__xludf.DUMMYFUNCTION("""COMPUTED_VALUE"""),"อก.1/4")</f>
        <v>อก.1/4</v>
      </c>
      <c r="E670" s="2" t="str">
        <f>IFERROR(__xludf.DUMMYFUNCTION("""COMPUTED_VALUE"""),"หญิง")</f>
        <v>หญิง</v>
      </c>
      <c r="F670" s="5" t="str">
        <f>IFERROR(__xludf.DUMMYFUNCTION("""COMPUTED_VALUE"""),"https://azizstan.net/student_image/26129.jpg")</f>
        <v>https://azizstan.net/student_image/26129.jpg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 t="str">
        <f>IFERROR(__xludf.DUMMYFUNCTION("""COMPUTED_VALUE"""),"26542")</f>
        <v>26542</v>
      </c>
      <c r="B671" s="3" t="str">
        <f>IFERROR(__xludf.DUMMYFUNCTION("""COMPUTED_VALUE"""),"ด.ญ.ศศิมา สะ")</f>
        <v>ด.ญ.ศศิมา สะ</v>
      </c>
      <c r="C671" s="3" t="str">
        <f>IFERROR(__xludf.DUMMYFUNCTION("""COMPUTED_VALUE"""),"ม.2/4")</f>
        <v>ม.2/4</v>
      </c>
      <c r="D671" s="3" t="str">
        <f>IFERROR(__xludf.DUMMYFUNCTION("""COMPUTED_VALUE"""),"อก.1/4")</f>
        <v>อก.1/4</v>
      </c>
      <c r="E671" s="2" t="str">
        <f>IFERROR(__xludf.DUMMYFUNCTION("""COMPUTED_VALUE"""),"หญิง")</f>
        <v>หญิง</v>
      </c>
      <c r="F671" s="5" t="str">
        <f>IFERROR(__xludf.DUMMYFUNCTION("""COMPUTED_VALUE"""),"https://azizstan.net/student_image/26542.jpg")</f>
        <v>https://azizstan.net/student_image/26542.jpg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" t="str">
        <f>IFERROR(__xludf.DUMMYFUNCTION("""COMPUTED_VALUE"""),"26719")</f>
        <v>26719</v>
      </c>
      <c r="B672" s="3" t="str">
        <f>IFERROR(__xludf.DUMMYFUNCTION("""COMPUTED_VALUE"""),"ด.ญ.อิมตีนาน กระเดื่องเดช")</f>
        <v>ด.ญ.อิมตีนาน กระเดื่องเดช</v>
      </c>
      <c r="C672" s="3" t="str">
        <f>IFERROR(__xludf.DUMMYFUNCTION("""COMPUTED_VALUE"""),"ม.2/4")</f>
        <v>ม.2/4</v>
      </c>
      <c r="D672" s="3" t="str">
        <f>IFERROR(__xludf.DUMMYFUNCTION("""COMPUTED_VALUE"""),"อก.1/4")</f>
        <v>อก.1/4</v>
      </c>
      <c r="E672" s="2" t="str">
        <f>IFERROR(__xludf.DUMMYFUNCTION("""COMPUTED_VALUE"""),"หญิง")</f>
        <v>หญิง</v>
      </c>
      <c r="F672" s="5" t="str">
        <f>IFERROR(__xludf.DUMMYFUNCTION("""COMPUTED_VALUE"""),"https://azizstan.net/student_image/26719.jpg")</f>
        <v>https://azizstan.net/student_image/26719.jpg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" t="str">
        <f>IFERROR(__xludf.DUMMYFUNCTION("""COMPUTED_VALUE"""),"25383")</f>
        <v>25383</v>
      </c>
      <c r="B673" s="3" t="str">
        <f>IFERROR(__xludf.DUMMYFUNCTION("""COMPUTED_VALUE"""),"ด.ญ.อามานิสา เส็นเหล็ม")</f>
        <v>ด.ญ.อามานิสา เส็นเหล็ม</v>
      </c>
      <c r="C673" s="3" t="str">
        <f>IFERROR(__xludf.DUMMYFUNCTION("""COMPUTED_VALUE"""),"ม.2/5")</f>
        <v>ม.2/5</v>
      </c>
      <c r="D673" s="3" t="str">
        <f>IFERROR(__xludf.DUMMYFUNCTION("""COMPUTED_VALUE"""),"อก.2/5")</f>
        <v>อก.2/5</v>
      </c>
      <c r="E673" s="2" t="str">
        <f>IFERROR(__xludf.DUMMYFUNCTION("""COMPUTED_VALUE"""),"หญิง")</f>
        <v>หญิง</v>
      </c>
      <c r="F673" s="5" t="str">
        <f>IFERROR(__xludf.DUMMYFUNCTION("""COMPUTED_VALUE"""),"https://azizstan.net/student_image/25383.jpg")</f>
        <v>https://azizstan.net/student_image/25383.jpg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 t="str">
        <f>IFERROR(__xludf.DUMMYFUNCTION("""COMPUTED_VALUE"""),"25409")</f>
        <v>25409</v>
      </c>
      <c r="B674" s="3" t="str">
        <f>IFERROR(__xludf.DUMMYFUNCTION("""COMPUTED_VALUE"""),"ด.ญ.อะห์ลาม แปแนะ")</f>
        <v>ด.ญ.อะห์ลาม แปแนะ</v>
      </c>
      <c r="C674" s="3" t="str">
        <f>IFERROR(__xludf.DUMMYFUNCTION("""COMPUTED_VALUE"""),"ม.2/5")</f>
        <v>ม.2/5</v>
      </c>
      <c r="D674" s="3" t="str">
        <f>IFERROR(__xludf.DUMMYFUNCTION("""COMPUTED_VALUE"""),"อก.2/5")</f>
        <v>อก.2/5</v>
      </c>
      <c r="E674" s="2" t="str">
        <f>IFERROR(__xludf.DUMMYFUNCTION("""COMPUTED_VALUE"""),"หญิง")</f>
        <v>หญิง</v>
      </c>
      <c r="F674" s="5" t="str">
        <f>IFERROR(__xludf.DUMMYFUNCTION("""COMPUTED_VALUE"""),"https://azizstan.net/student_image/25409.jpg")</f>
        <v>https://azizstan.net/student_image/25409.jpg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" t="str">
        <f>IFERROR(__xludf.DUMMYFUNCTION("""COMPUTED_VALUE"""),"25416")</f>
        <v>25416</v>
      </c>
      <c r="B675" s="3" t="str">
        <f>IFERROR(__xludf.DUMMYFUNCTION("""COMPUTED_VALUE"""),"ด.ญ.ซูเฟีย บาโงสะตา")</f>
        <v>ด.ญ.ซูเฟีย บาโงสะตา</v>
      </c>
      <c r="C675" s="3" t="str">
        <f>IFERROR(__xludf.DUMMYFUNCTION("""COMPUTED_VALUE"""),"ม.2/5")</f>
        <v>ม.2/5</v>
      </c>
      <c r="D675" s="3" t="str">
        <f>IFERROR(__xludf.DUMMYFUNCTION("""COMPUTED_VALUE"""),"อก.2/5")</f>
        <v>อก.2/5</v>
      </c>
      <c r="E675" s="2" t="str">
        <f>IFERROR(__xludf.DUMMYFUNCTION("""COMPUTED_VALUE"""),"หญิง")</f>
        <v>หญิง</v>
      </c>
      <c r="F675" s="5" t="str">
        <f>IFERROR(__xludf.DUMMYFUNCTION("""COMPUTED_VALUE"""),"https://azizstan.net/student_image/25416.jpg")</f>
        <v>https://azizstan.net/student_image/25416.jpg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" t="str">
        <f>IFERROR(__xludf.DUMMYFUNCTION("""COMPUTED_VALUE"""),"25437")</f>
        <v>25437</v>
      </c>
      <c r="B676" s="3" t="str">
        <f>IFERROR(__xludf.DUMMYFUNCTION("""COMPUTED_VALUE"""),"ด.ญ.รินรดา ทิพย์แลหมัน")</f>
        <v>ด.ญ.รินรดา ทิพย์แลหมัน</v>
      </c>
      <c r="C676" s="3" t="str">
        <f>IFERROR(__xludf.DUMMYFUNCTION("""COMPUTED_VALUE"""),"ม.2/5")</f>
        <v>ม.2/5</v>
      </c>
      <c r="D676" s="3" t="str">
        <f>IFERROR(__xludf.DUMMYFUNCTION("""COMPUTED_VALUE"""),"อก.2/5")</f>
        <v>อก.2/5</v>
      </c>
      <c r="E676" s="2" t="str">
        <f>IFERROR(__xludf.DUMMYFUNCTION("""COMPUTED_VALUE"""),"หญิง")</f>
        <v>หญิง</v>
      </c>
      <c r="F676" s="5" t="str">
        <f>IFERROR(__xludf.DUMMYFUNCTION("""COMPUTED_VALUE"""),"https://azizstan.net/student_image/25437.jpg")</f>
        <v>https://azizstan.net/student_image/25437.jpg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" t="str">
        <f>IFERROR(__xludf.DUMMYFUNCTION("""COMPUTED_VALUE"""),"25455")</f>
        <v>25455</v>
      </c>
      <c r="B677" s="3" t="str">
        <f>IFERROR(__xludf.DUMMYFUNCTION("""COMPUTED_VALUE"""),"ด.ช.กษิดิศ อินทร์สุไว")</f>
        <v>ด.ช.กษิดิศ อินทร์สุไว</v>
      </c>
      <c r="C677" s="3" t="str">
        <f>IFERROR(__xludf.DUMMYFUNCTION("""COMPUTED_VALUE"""),"ม.2/5")</f>
        <v>ม.2/5</v>
      </c>
      <c r="D677" s="3" t="str">
        <f>IFERROR(__xludf.DUMMYFUNCTION("""COMPUTED_VALUE"""),"อก.2/5")</f>
        <v>อก.2/5</v>
      </c>
      <c r="E677" s="2" t="str">
        <f>IFERROR(__xludf.DUMMYFUNCTION("""COMPUTED_VALUE"""),"ชาย")</f>
        <v>ชาย</v>
      </c>
      <c r="F677" s="5" t="str">
        <f>IFERROR(__xludf.DUMMYFUNCTION("""COMPUTED_VALUE"""),"https://azizstan.net/student_image/25455.jpg")</f>
        <v>https://azizstan.net/student_image/25455.jpg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" t="str">
        <f>IFERROR(__xludf.DUMMYFUNCTION("""COMPUTED_VALUE"""),"25469")</f>
        <v>25469</v>
      </c>
      <c r="B678" s="3" t="str">
        <f>IFERROR(__xludf.DUMMYFUNCTION("""COMPUTED_VALUE"""),"ด.ญ.อานีสซาเฟีย หะยียูโซะ")</f>
        <v>ด.ญ.อานีสซาเฟีย หะยียูโซะ</v>
      </c>
      <c r="C678" s="3" t="str">
        <f>IFERROR(__xludf.DUMMYFUNCTION("""COMPUTED_VALUE"""),"ม.2/5")</f>
        <v>ม.2/5</v>
      </c>
      <c r="D678" s="3" t="str">
        <f>IFERROR(__xludf.DUMMYFUNCTION("""COMPUTED_VALUE"""),"อก.2/5")</f>
        <v>อก.2/5</v>
      </c>
      <c r="E678" s="2" t="str">
        <f>IFERROR(__xludf.DUMMYFUNCTION("""COMPUTED_VALUE"""),"หญิง")</f>
        <v>หญิง</v>
      </c>
      <c r="F678" s="5" t="str">
        <f>IFERROR(__xludf.DUMMYFUNCTION("""COMPUTED_VALUE"""),"https://azizstan.net/student_image/25469.jpg")</f>
        <v>https://azizstan.net/student_image/25469.jpg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 t="str">
        <f>IFERROR(__xludf.DUMMYFUNCTION("""COMPUTED_VALUE"""),"25473")</f>
        <v>25473</v>
      </c>
      <c r="B679" s="3" t="str">
        <f>IFERROR(__xludf.DUMMYFUNCTION("""COMPUTED_VALUE"""),"ด.ช.กูอริสมันต์ สาแลหมัน")</f>
        <v>ด.ช.กูอริสมันต์ สาแลหมัน</v>
      </c>
      <c r="C679" s="3" t="str">
        <f>IFERROR(__xludf.DUMMYFUNCTION("""COMPUTED_VALUE"""),"ม.2/5")</f>
        <v>ม.2/5</v>
      </c>
      <c r="D679" s="3" t="str">
        <f>IFERROR(__xludf.DUMMYFUNCTION("""COMPUTED_VALUE"""),"อก.2/5")</f>
        <v>อก.2/5</v>
      </c>
      <c r="E679" s="2" t="str">
        <f>IFERROR(__xludf.DUMMYFUNCTION("""COMPUTED_VALUE"""),"ชาย")</f>
        <v>ชาย</v>
      </c>
      <c r="F679" s="5" t="str">
        <f>IFERROR(__xludf.DUMMYFUNCTION("""COMPUTED_VALUE"""),"https://azizstan.net/student_image/25473.jpg")</f>
        <v>https://azizstan.net/student_image/25473.jpg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" t="str">
        <f>IFERROR(__xludf.DUMMYFUNCTION("""COMPUTED_VALUE"""),"25478")</f>
        <v>25478</v>
      </c>
      <c r="B680" s="3" t="str">
        <f>IFERROR(__xludf.DUMMYFUNCTION("""COMPUTED_VALUE"""),"ด.ญ.นูรฮายาตี สาเล็ง")</f>
        <v>ด.ญ.นูรฮายาตี สาเล็ง</v>
      </c>
      <c r="C680" s="3" t="str">
        <f>IFERROR(__xludf.DUMMYFUNCTION("""COMPUTED_VALUE"""),"ม.2/5")</f>
        <v>ม.2/5</v>
      </c>
      <c r="D680" s="3" t="str">
        <f>IFERROR(__xludf.DUMMYFUNCTION("""COMPUTED_VALUE"""),"อก.2/5")</f>
        <v>อก.2/5</v>
      </c>
      <c r="E680" s="2" t="str">
        <f>IFERROR(__xludf.DUMMYFUNCTION("""COMPUTED_VALUE"""),"หญิง")</f>
        <v>หญิง</v>
      </c>
      <c r="F680" s="5" t="str">
        <f>IFERROR(__xludf.DUMMYFUNCTION("""COMPUTED_VALUE"""),"https://azizstan.net/student_image/25478.jpg")</f>
        <v>https://azizstan.net/student_image/25478.jpg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" t="str">
        <f>IFERROR(__xludf.DUMMYFUNCTION("""COMPUTED_VALUE"""),"25479")</f>
        <v>25479</v>
      </c>
      <c r="B681" s="3" t="str">
        <f>IFERROR(__xludf.DUMMYFUNCTION("""COMPUTED_VALUE"""),"ด.ญ.นูรอัฟละห์ ดอเลาะ")</f>
        <v>ด.ญ.นูรอัฟละห์ ดอเลาะ</v>
      </c>
      <c r="C681" s="3" t="str">
        <f>IFERROR(__xludf.DUMMYFUNCTION("""COMPUTED_VALUE"""),"ม.2/5")</f>
        <v>ม.2/5</v>
      </c>
      <c r="D681" s="3" t="str">
        <f>IFERROR(__xludf.DUMMYFUNCTION("""COMPUTED_VALUE"""),"อก.2/5")</f>
        <v>อก.2/5</v>
      </c>
      <c r="E681" s="2" t="str">
        <f>IFERROR(__xludf.DUMMYFUNCTION("""COMPUTED_VALUE"""),"หญิง")</f>
        <v>หญิง</v>
      </c>
      <c r="F681" s="5" t="str">
        <f>IFERROR(__xludf.DUMMYFUNCTION("""COMPUTED_VALUE"""),"https://azizstan.net/student_image/25479.jpg")</f>
        <v>https://azizstan.net/student_image/25479.jpg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" t="str">
        <f>IFERROR(__xludf.DUMMYFUNCTION("""COMPUTED_VALUE"""),"25489")</f>
        <v>25489</v>
      </c>
      <c r="B682" s="3" t="str">
        <f>IFERROR(__xludf.DUMMYFUNCTION("""COMPUTED_VALUE"""),"ด.ช.มูฮัมหมัดซอรีฟ กาหลง")</f>
        <v>ด.ช.มูฮัมหมัดซอรีฟ กาหลง</v>
      </c>
      <c r="C682" s="3" t="str">
        <f>IFERROR(__xludf.DUMMYFUNCTION("""COMPUTED_VALUE"""),"ม.2/5")</f>
        <v>ม.2/5</v>
      </c>
      <c r="D682" s="3" t="str">
        <f>IFERROR(__xludf.DUMMYFUNCTION("""COMPUTED_VALUE"""),"อก.2/5")</f>
        <v>อก.2/5</v>
      </c>
      <c r="E682" s="2" t="str">
        <f>IFERROR(__xludf.DUMMYFUNCTION("""COMPUTED_VALUE"""),"ชาย")</f>
        <v>ชาย</v>
      </c>
      <c r="F682" s="5" t="str">
        <f>IFERROR(__xludf.DUMMYFUNCTION("""COMPUTED_VALUE"""),"https://azizstan.net/student_image/25489.jpg")</f>
        <v>https://azizstan.net/student_image/25489.jpg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 t="str">
        <f>IFERROR(__xludf.DUMMYFUNCTION("""COMPUTED_VALUE"""),"25494")</f>
        <v>25494</v>
      </c>
      <c r="B683" s="3" t="str">
        <f>IFERROR(__xludf.DUMMYFUNCTION("""COMPUTED_VALUE"""),"ด.ช.ฟารดี เบ็ญนูรดีน")</f>
        <v>ด.ช.ฟารดี เบ็ญนูรดีน</v>
      </c>
      <c r="C683" s="3" t="str">
        <f>IFERROR(__xludf.DUMMYFUNCTION("""COMPUTED_VALUE"""),"ม.2/5")</f>
        <v>ม.2/5</v>
      </c>
      <c r="D683" s="3" t="str">
        <f>IFERROR(__xludf.DUMMYFUNCTION("""COMPUTED_VALUE"""),"อก.2/5")</f>
        <v>อก.2/5</v>
      </c>
      <c r="E683" s="2" t="str">
        <f>IFERROR(__xludf.DUMMYFUNCTION("""COMPUTED_VALUE"""),"ชาย")</f>
        <v>ชาย</v>
      </c>
      <c r="F683" s="5" t="str">
        <f>IFERROR(__xludf.DUMMYFUNCTION("""COMPUTED_VALUE"""),"https://azizstan.net/student_image/25494.jpg")</f>
        <v>https://azizstan.net/student_image/25494.jpg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 t="str">
        <f>IFERROR(__xludf.DUMMYFUNCTION("""COMPUTED_VALUE"""),"25525")</f>
        <v>25525</v>
      </c>
      <c r="B684" s="3" t="str">
        <f>IFERROR(__xludf.DUMMYFUNCTION("""COMPUTED_VALUE"""),"ด.ญ.ศิริน มะเกะ")</f>
        <v>ด.ญ.ศิริน มะเกะ</v>
      </c>
      <c r="C684" s="3" t="str">
        <f>IFERROR(__xludf.DUMMYFUNCTION("""COMPUTED_VALUE"""),"ม.2/5")</f>
        <v>ม.2/5</v>
      </c>
      <c r="D684" s="3" t="str">
        <f>IFERROR(__xludf.DUMMYFUNCTION("""COMPUTED_VALUE"""),"อก.2/5")</f>
        <v>อก.2/5</v>
      </c>
      <c r="E684" s="2" t="str">
        <f>IFERROR(__xludf.DUMMYFUNCTION("""COMPUTED_VALUE"""),"หญิง")</f>
        <v>หญิง</v>
      </c>
      <c r="F684" s="5" t="str">
        <f>IFERROR(__xludf.DUMMYFUNCTION("""COMPUTED_VALUE"""),"https://azizstan.net/student_image/25525.jpg")</f>
        <v>https://azizstan.net/student_image/25525.jpg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 t="str">
        <f>IFERROR(__xludf.DUMMYFUNCTION("""COMPUTED_VALUE"""),"25528")</f>
        <v>25528</v>
      </c>
      <c r="B685" s="3" t="str">
        <f>IFERROR(__xludf.DUMMYFUNCTION("""COMPUTED_VALUE"""),"ด.ช.อัยมีน หลีดีใจ")</f>
        <v>ด.ช.อัยมีน หลีดีใจ</v>
      </c>
      <c r="C685" s="3" t="str">
        <f>IFERROR(__xludf.DUMMYFUNCTION("""COMPUTED_VALUE"""),"ม.2/5")</f>
        <v>ม.2/5</v>
      </c>
      <c r="D685" s="3" t="str">
        <f>IFERROR(__xludf.DUMMYFUNCTION("""COMPUTED_VALUE"""),"อก.2/5")</f>
        <v>อก.2/5</v>
      </c>
      <c r="E685" s="2" t="str">
        <f>IFERROR(__xludf.DUMMYFUNCTION("""COMPUTED_VALUE"""),"ชาย")</f>
        <v>ชาย</v>
      </c>
      <c r="F685" s="5" t="str">
        <f>IFERROR(__xludf.DUMMYFUNCTION("""COMPUTED_VALUE"""),"https://azizstan.net/student_image/25528.jpg")</f>
        <v>https://azizstan.net/student_image/25528.jpg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 t="str">
        <f>IFERROR(__xludf.DUMMYFUNCTION("""COMPUTED_VALUE"""),"25556")</f>
        <v>25556</v>
      </c>
      <c r="B686" s="3" t="str">
        <f>IFERROR(__xludf.DUMMYFUNCTION("""COMPUTED_VALUE"""),"ด.ญ.นินาดา สะมาลา")</f>
        <v>ด.ญ.นินาดา สะมาลา</v>
      </c>
      <c r="C686" s="3" t="str">
        <f>IFERROR(__xludf.DUMMYFUNCTION("""COMPUTED_VALUE"""),"ม.2/5")</f>
        <v>ม.2/5</v>
      </c>
      <c r="D686" s="3" t="str">
        <f>IFERROR(__xludf.DUMMYFUNCTION("""COMPUTED_VALUE"""),"อก.2/5")</f>
        <v>อก.2/5</v>
      </c>
      <c r="E686" s="2" t="str">
        <f>IFERROR(__xludf.DUMMYFUNCTION("""COMPUTED_VALUE"""),"หญิง")</f>
        <v>หญิง</v>
      </c>
      <c r="F686" s="5" t="str">
        <f>IFERROR(__xludf.DUMMYFUNCTION("""COMPUTED_VALUE"""),"https://azizstan.net/student_image/25556.jpg")</f>
        <v>https://azizstan.net/student_image/25556.jpg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 t="str">
        <f>IFERROR(__xludf.DUMMYFUNCTION("""COMPUTED_VALUE"""),"25576")</f>
        <v>25576</v>
      </c>
      <c r="B687" s="3" t="str">
        <f>IFERROR(__xludf.DUMMYFUNCTION("""COMPUTED_VALUE"""),"ด.ญ.ดาเนีย หมีนกาด้า")</f>
        <v>ด.ญ.ดาเนีย หมีนกาด้า</v>
      </c>
      <c r="C687" s="3" t="str">
        <f>IFERROR(__xludf.DUMMYFUNCTION("""COMPUTED_VALUE"""),"ม.2/5")</f>
        <v>ม.2/5</v>
      </c>
      <c r="D687" s="3" t="str">
        <f>IFERROR(__xludf.DUMMYFUNCTION("""COMPUTED_VALUE"""),"อก.2/5")</f>
        <v>อก.2/5</v>
      </c>
      <c r="E687" s="2" t="str">
        <f>IFERROR(__xludf.DUMMYFUNCTION("""COMPUTED_VALUE"""),"หญิง")</f>
        <v>หญิง</v>
      </c>
      <c r="F687" s="5" t="str">
        <f>IFERROR(__xludf.DUMMYFUNCTION("""COMPUTED_VALUE"""),"https://azizstan.net/student_image/25576.jpg")</f>
        <v>https://azizstan.net/student_image/25576.jpg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 t="str">
        <f>IFERROR(__xludf.DUMMYFUNCTION("""COMPUTED_VALUE"""),"25594")</f>
        <v>25594</v>
      </c>
      <c r="B688" s="3" t="str">
        <f>IFERROR(__xludf.DUMMYFUNCTION("""COMPUTED_VALUE"""),"ด.ญ.ณัฐณิชา แวววันจิต")</f>
        <v>ด.ญ.ณัฐณิชา แวววันจิต</v>
      </c>
      <c r="C688" s="3" t="str">
        <f>IFERROR(__xludf.DUMMYFUNCTION("""COMPUTED_VALUE"""),"ม.2/5")</f>
        <v>ม.2/5</v>
      </c>
      <c r="D688" s="3" t="str">
        <f>IFERROR(__xludf.DUMMYFUNCTION("""COMPUTED_VALUE"""),"อก.2/5")</f>
        <v>อก.2/5</v>
      </c>
      <c r="E688" s="2" t="str">
        <f>IFERROR(__xludf.DUMMYFUNCTION("""COMPUTED_VALUE"""),"หญิง")</f>
        <v>หญิง</v>
      </c>
      <c r="F688" s="5" t="str">
        <f>IFERROR(__xludf.DUMMYFUNCTION("""COMPUTED_VALUE"""),"https://azizstan.net/student_image/25594.jpg")</f>
        <v>https://azizstan.net/student_image/25594.jpg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 t="str">
        <f>IFERROR(__xludf.DUMMYFUNCTION("""COMPUTED_VALUE"""),"25603")</f>
        <v>25603</v>
      </c>
      <c r="B689" s="3" t="str">
        <f>IFERROR(__xludf.DUMMYFUNCTION("""COMPUTED_VALUE"""),"ด.ญ.โซเฟีย เลรักมาน")</f>
        <v>ด.ญ.โซเฟีย เลรักมาน</v>
      </c>
      <c r="C689" s="3" t="str">
        <f>IFERROR(__xludf.DUMMYFUNCTION("""COMPUTED_VALUE"""),"ม.2/5")</f>
        <v>ม.2/5</v>
      </c>
      <c r="D689" s="3" t="str">
        <f>IFERROR(__xludf.DUMMYFUNCTION("""COMPUTED_VALUE"""),"อก.2/5")</f>
        <v>อก.2/5</v>
      </c>
      <c r="E689" s="2" t="str">
        <f>IFERROR(__xludf.DUMMYFUNCTION("""COMPUTED_VALUE"""),"หญิง")</f>
        <v>หญิง</v>
      </c>
      <c r="F689" s="5" t="str">
        <f>IFERROR(__xludf.DUMMYFUNCTION("""COMPUTED_VALUE"""),"https://azizstan.net/student_image/25603.jpg")</f>
        <v>https://azizstan.net/student_image/25603.jpg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" t="str">
        <f>IFERROR(__xludf.DUMMYFUNCTION("""COMPUTED_VALUE"""),"25615")</f>
        <v>25615</v>
      </c>
      <c r="B690" s="3" t="str">
        <f>IFERROR(__xludf.DUMMYFUNCTION("""COMPUTED_VALUE"""),"ด.ช.นากีบ สาฮะ")</f>
        <v>ด.ช.นากีบ สาฮะ</v>
      </c>
      <c r="C690" s="3" t="str">
        <f>IFERROR(__xludf.DUMMYFUNCTION("""COMPUTED_VALUE"""),"ม.2/5")</f>
        <v>ม.2/5</v>
      </c>
      <c r="D690" s="3" t="str">
        <f>IFERROR(__xludf.DUMMYFUNCTION("""COMPUTED_VALUE"""),"อก.2/5")</f>
        <v>อก.2/5</v>
      </c>
      <c r="E690" s="2" t="str">
        <f>IFERROR(__xludf.DUMMYFUNCTION("""COMPUTED_VALUE"""),"ชาย")</f>
        <v>ชาย</v>
      </c>
      <c r="F690" s="5" t="str">
        <f>IFERROR(__xludf.DUMMYFUNCTION("""COMPUTED_VALUE"""),"https://azizstan.net/student_image/25615.jpg")</f>
        <v>https://azizstan.net/student_image/25615.jpg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" t="str">
        <f>IFERROR(__xludf.DUMMYFUNCTION("""COMPUTED_VALUE"""),"25619")</f>
        <v>25619</v>
      </c>
      <c r="B691" s="3" t="str">
        <f>IFERROR(__xludf.DUMMYFUNCTION("""COMPUTED_VALUE"""),"ด.ญ.ชูฮาดา เจ๊ะปอ")</f>
        <v>ด.ญ.ชูฮาดา เจ๊ะปอ</v>
      </c>
      <c r="C691" s="3" t="str">
        <f>IFERROR(__xludf.DUMMYFUNCTION("""COMPUTED_VALUE"""),"ม.2/5")</f>
        <v>ม.2/5</v>
      </c>
      <c r="D691" s="3" t="str">
        <f>IFERROR(__xludf.DUMMYFUNCTION("""COMPUTED_VALUE"""),"อก.2/5")</f>
        <v>อก.2/5</v>
      </c>
      <c r="E691" s="2" t="str">
        <f>IFERROR(__xludf.DUMMYFUNCTION("""COMPUTED_VALUE"""),"หญิง")</f>
        <v>หญิง</v>
      </c>
      <c r="F691" s="5" t="str">
        <f>IFERROR(__xludf.DUMMYFUNCTION("""COMPUTED_VALUE"""),"https://azizstan.net/student_image/25619.jpg")</f>
        <v>https://azizstan.net/student_image/25619.jpg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" t="str">
        <f>IFERROR(__xludf.DUMMYFUNCTION("""COMPUTED_VALUE"""),"25646")</f>
        <v>25646</v>
      </c>
      <c r="B692" s="3" t="str">
        <f>IFERROR(__xludf.DUMMYFUNCTION("""COMPUTED_VALUE"""),"ด.ญ.ฟัยรูซ หมะอะ")</f>
        <v>ด.ญ.ฟัยรูซ หมะอะ</v>
      </c>
      <c r="C692" s="3" t="str">
        <f>IFERROR(__xludf.DUMMYFUNCTION("""COMPUTED_VALUE"""),"ม.2/5")</f>
        <v>ม.2/5</v>
      </c>
      <c r="D692" s="3" t="str">
        <f>IFERROR(__xludf.DUMMYFUNCTION("""COMPUTED_VALUE"""),"อก.2/5")</f>
        <v>อก.2/5</v>
      </c>
      <c r="E692" s="2" t="str">
        <f>IFERROR(__xludf.DUMMYFUNCTION("""COMPUTED_VALUE"""),"หญิง")</f>
        <v>หญิง</v>
      </c>
      <c r="F692" s="5" t="str">
        <f>IFERROR(__xludf.DUMMYFUNCTION("""COMPUTED_VALUE"""),"https://azizstan.net/student_image/25646.jpg")</f>
        <v>https://azizstan.net/student_image/25646.jpg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 t="str">
        <f>IFERROR(__xludf.DUMMYFUNCTION("""COMPUTED_VALUE"""),"25647")</f>
        <v>25647</v>
      </c>
      <c r="B693" s="3" t="str">
        <f>IFERROR(__xludf.DUMMYFUNCTION("""COMPUTED_VALUE"""),"ด.ญ.นารีมาลย์ แวเดร์")</f>
        <v>ด.ญ.นารีมาลย์ แวเดร์</v>
      </c>
      <c r="C693" s="3" t="str">
        <f>IFERROR(__xludf.DUMMYFUNCTION("""COMPUTED_VALUE"""),"ม.2/5")</f>
        <v>ม.2/5</v>
      </c>
      <c r="D693" s="3" t="str">
        <f>IFERROR(__xludf.DUMMYFUNCTION("""COMPUTED_VALUE"""),"อก.2/5")</f>
        <v>อก.2/5</v>
      </c>
      <c r="E693" s="2" t="str">
        <f>IFERROR(__xludf.DUMMYFUNCTION("""COMPUTED_VALUE"""),"หญิง")</f>
        <v>หญิง</v>
      </c>
      <c r="F693" s="5" t="str">
        <f>IFERROR(__xludf.DUMMYFUNCTION("""COMPUTED_VALUE"""),"https://azizstan.net/student_image/25647.jpg")</f>
        <v>https://azizstan.net/student_image/25647.jpg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 t="str">
        <f>IFERROR(__xludf.DUMMYFUNCTION("""COMPUTED_VALUE"""),"25662")</f>
        <v>25662</v>
      </c>
      <c r="B694" s="3" t="str">
        <f>IFERROR(__xludf.DUMMYFUNCTION("""COMPUTED_VALUE"""),"ด.ช.นกิ๊บ เล๊ะนุ๊")</f>
        <v>ด.ช.นกิ๊บ เล๊ะนุ๊</v>
      </c>
      <c r="C694" s="3" t="str">
        <f>IFERROR(__xludf.DUMMYFUNCTION("""COMPUTED_VALUE"""),"ม.2/5")</f>
        <v>ม.2/5</v>
      </c>
      <c r="D694" s="3" t="str">
        <f>IFERROR(__xludf.DUMMYFUNCTION("""COMPUTED_VALUE"""),"อก.2/5")</f>
        <v>อก.2/5</v>
      </c>
      <c r="E694" s="2" t="str">
        <f>IFERROR(__xludf.DUMMYFUNCTION("""COMPUTED_VALUE"""),"ชาย")</f>
        <v>ชาย</v>
      </c>
      <c r="F694" s="5" t="str">
        <f>IFERROR(__xludf.DUMMYFUNCTION("""COMPUTED_VALUE"""),"https://azizstan.net/student_image/25662.jpg")</f>
        <v>https://azizstan.net/student_image/25662.jpg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 t="str">
        <f>IFERROR(__xludf.DUMMYFUNCTION("""COMPUTED_VALUE"""),"25664")</f>
        <v>25664</v>
      </c>
      <c r="B695" s="3" t="str">
        <f>IFERROR(__xludf.DUMMYFUNCTION("""COMPUTED_VALUE"""),"ด.ช.มูฮัมหมัดไฟศอล หะยีวามิส")</f>
        <v>ด.ช.มูฮัมหมัดไฟศอล หะยีวามิส</v>
      </c>
      <c r="C695" s="3" t="str">
        <f>IFERROR(__xludf.DUMMYFUNCTION("""COMPUTED_VALUE"""),"ม.2/5")</f>
        <v>ม.2/5</v>
      </c>
      <c r="D695" s="3" t="str">
        <f>IFERROR(__xludf.DUMMYFUNCTION("""COMPUTED_VALUE"""),"อก.2/5")</f>
        <v>อก.2/5</v>
      </c>
      <c r="E695" s="2" t="str">
        <f>IFERROR(__xludf.DUMMYFUNCTION("""COMPUTED_VALUE"""),"ชาย")</f>
        <v>ชาย</v>
      </c>
      <c r="F695" s="5" t="str">
        <f>IFERROR(__xludf.DUMMYFUNCTION("""COMPUTED_VALUE"""),"https://azizstan.net/student_image/25664.jpg")</f>
        <v>https://azizstan.net/student_image/25664.jpg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 t="str">
        <f>IFERROR(__xludf.DUMMYFUNCTION("""COMPUTED_VALUE"""),"25687")</f>
        <v>25687</v>
      </c>
      <c r="B696" s="3" t="str">
        <f>IFERROR(__xludf.DUMMYFUNCTION("""COMPUTED_VALUE"""),"ด.ญ.นาดียา โดยหมะ")</f>
        <v>ด.ญ.นาดียา โดยหมะ</v>
      </c>
      <c r="C696" s="3" t="str">
        <f>IFERROR(__xludf.DUMMYFUNCTION("""COMPUTED_VALUE"""),"ม.2/5")</f>
        <v>ม.2/5</v>
      </c>
      <c r="D696" s="3" t="str">
        <f>IFERROR(__xludf.DUMMYFUNCTION("""COMPUTED_VALUE"""),"อก.2/5")</f>
        <v>อก.2/5</v>
      </c>
      <c r="E696" s="2" t="str">
        <f>IFERROR(__xludf.DUMMYFUNCTION("""COMPUTED_VALUE"""),"หญิง")</f>
        <v>หญิง</v>
      </c>
      <c r="F696" s="5" t="str">
        <f>IFERROR(__xludf.DUMMYFUNCTION("""COMPUTED_VALUE"""),"https://azizstan.net/student_image/25687.jpg")</f>
        <v>https://azizstan.net/student_image/25687.jpg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" t="str">
        <f>IFERROR(__xludf.DUMMYFUNCTION("""COMPUTED_VALUE"""),"25712")</f>
        <v>25712</v>
      </c>
      <c r="B697" s="3" t="str">
        <f>IFERROR(__xludf.DUMMYFUNCTION("""COMPUTED_VALUE"""),"ด.ญ.มัสนานี เหมอุดม")</f>
        <v>ด.ญ.มัสนานี เหมอุดม</v>
      </c>
      <c r="C697" s="3" t="str">
        <f>IFERROR(__xludf.DUMMYFUNCTION("""COMPUTED_VALUE"""),"ม.2/5")</f>
        <v>ม.2/5</v>
      </c>
      <c r="D697" s="3" t="str">
        <f>IFERROR(__xludf.DUMMYFUNCTION("""COMPUTED_VALUE"""),"อก.2/5")</f>
        <v>อก.2/5</v>
      </c>
      <c r="E697" s="2" t="str">
        <f>IFERROR(__xludf.DUMMYFUNCTION("""COMPUTED_VALUE"""),"หญิง")</f>
        <v>หญิง</v>
      </c>
      <c r="F697" s="5" t="str">
        <f>IFERROR(__xludf.DUMMYFUNCTION("""COMPUTED_VALUE"""),"https://azizstan.net/student_image/25712.jpg")</f>
        <v>https://azizstan.net/student_image/25712.jpg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" t="str">
        <f>IFERROR(__xludf.DUMMYFUNCTION("""COMPUTED_VALUE"""),"25819")</f>
        <v>25819</v>
      </c>
      <c r="B698" s="3" t="str">
        <f>IFERROR(__xludf.DUMMYFUNCTION("""COMPUTED_VALUE"""),"ด.ญ.อารีณี ดาเระมูซอ")</f>
        <v>ด.ญ.อารีณี ดาเระมูซอ</v>
      </c>
      <c r="C698" s="3" t="str">
        <f>IFERROR(__xludf.DUMMYFUNCTION("""COMPUTED_VALUE"""),"ม.2/5")</f>
        <v>ม.2/5</v>
      </c>
      <c r="D698" s="3" t="str">
        <f>IFERROR(__xludf.DUMMYFUNCTION("""COMPUTED_VALUE"""),"อก.2/5")</f>
        <v>อก.2/5</v>
      </c>
      <c r="E698" s="2" t="str">
        <f>IFERROR(__xludf.DUMMYFUNCTION("""COMPUTED_VALUE"""),"หญิง")</f>
        <v>หญิง</v>
      </c>
      <c r="F698" s="5" t="str">
        <f>IFERROR(__xludf.DUMMYFUNCTION("""COMPUTED_VALUE"""),"https://azizstan.net/student_image/25819.jpg")</f>
        <v>https://azizstan.net/student_image/25819.jpg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" t="str">
        <f>IFERROR(__xludf.DUMMYFUNCTION("""COMPUTED_VALUE"""),"25836")</f>
        <v>25836</v>
      </c>
      <c r="B699" s="3" t="str">
        <f>IFERROR(__xludf.DUMMYFUNCTION("""COMPUTED_VALUE"""),"ด.ช.ฟารุก ดอเล็ง")</f>
        <v>ด.ช.ฟารุก ดอเล็ง</v>
      </c>
      <c r="C699" s="3" t="str">
        <f>IFERROR(__xludf.DUMMYFUNCTION("""COMPUTED_VALUE"""),"ม.2/5")</f>
        <v>ม.2/5</v>
      </c>
      <c r="D699" s="3" t="str">
        <f>IFERROR(__xludf.DUMMYFUNCTION("""COMPUTED_VALUE"""),"อก.2/5")</f>
        <v>อก.2/5</v>
      </c>
      <c r="E699" s="2" t="str">
        <f>IFERROR(__xludf.DUMMYFUNCTION("""COMPUTED_VALUE"""),"ชาย")</f>
        <v>ชาย</v>
      </c>
      <c r="F699" s="5" t="str">
        <f>IFERROR(__xludf.DUMMYFUNCTION("""COMPUTED_VALUE"""),"https://azizstan.net/student_image/25836.jpg")</f>
        <v>https://azizstan.net/student_image/25836.jpg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" t="str">
        <f>IFERROR(__xludf.DUMMYFUNCTION("""COMPUTED_VALUE"""),"25917")</f>
        <v>25917</v>
      </c>
      <c r="B700" s="3" t="str">
        <f>IFERROR(__xludf.DUMMYFUNCTION("""COMPUTED_VALUE"""),"ด.ญ.อามาณี เจะสนิ")</f>
        <v>ด.ญ.อามาณี เจะสนิ</v>
      </c>
      <c r="C700" s="3" t="str">
        <f>IFERROR(__xludf.DUMMYFUNCTION("""COMPUTED_VALUE"""),"ม.2/5")</f>
        <v>ม.2/5</v>
      </c>
      <c r="D700" s="3" t="str">
        <f>IFERROR(__xludf.DUMMYFUNCTION("""COMPUTED_VALUE"""),"อก.2/5")</f>
        <v>อก.2/5</v>
      </c>
      <c r="E700" s="2" t="str">
        <f>IFERROR(__xludf.DUMMYFUNCTION("""COMPUTED_VALUE"""),"หญิง")</f>
        <v>หญิง</v>
      </c>
      <c r="F700" s="5" t="str">
        <f>IFERROR(__xludf.DUMMYFUNCTION("""COMPUTED_VALUE"""),"https://azizstan.net/student_image/25917.jpg")</f>
        <v>https://azizstan.net/student_image/25917.jpg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 t="str">
        <f>IFERROR(__xludf.DUMMYFUNCTION("""COMPUTED_VALUE"""),"25934")</f>
        <v>25934</v>
      </c>
      <c r="B701" s="3" t="str">
        <f>IFERROR(__xludf.DUMMYFUNCTION("""COMPUTED_VALUE"""),"ด.ญ.ฮัซวานี มูละ")</f>
        <v>ด.ญ.ฮัซวานี มูละ</v>
      </c>
      <c r="C701" s="3" t="str">
        <f>IFERROR(__xludf.DUMMYFUNCTION("""COMPUTED_VALUE"""),"ม.2/5")</f>
        <v>ม.2/5</v>
      </c>
      <c r="D701" s="3" t="str">
        <f>IFERROR(__xludf.DUMMYFUNCTION("""COMPUTED_VALUE"""),"อก.2/5")</f>
        <v>อก.2/5</v>
      </c>
      <c r="E701" s="2" t="str">
        <f>IFERROR(__xludf.DUMMYFUNCTION("""COMPUTED_VALUE"""),"หญิง")</f>
        <v>หญิง</v>
      </c>
      <c r="F701" s="5" t="str">
        <f>IFERROR(__xludf.DUMMYFUNCTION("""COMPUTED_VALUE"""),"https://azizstan.net/student_image/25934.jpg")</f>
        <v>https://azizstan.net/student_image/25934.jpg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 t="str">
        <f>IFERROR(__xludf.DUMMYFUNCTION("""COMPUTED_VALUE"""),"25942")</f>
        <v>25942</v>
      </c>
      <c r="B702" s="3" t="str">
        <f>IFERROR(__xludf.DUMMYFUNCTION("""COMPUTED_VALUE"""),"ด.ญ.บัฎรีญา เงดฉูนุ้ย")</f>
        <v>ด.ญ.บัฎรีญา เงดฉูนุ้ย</v>
      </c>
      <c r="C702" s="3" t="str">
        <f>IFERROR(__xludf.DUMMYFUNCTION("""COMPUTED_VALUE"""),"ม.2/5")</f>
        <v>ม.2/5</v>
      </c>
      <c r="D702" s="3" t="str">
        <f>IFERROR(__xludf.DUMMYFUNCTION("""COMPUTED_VALUE"""),"อก.2/5")</f>
        <v>อก.2/5</v>
      </c>
      <c r="E702" s="2" t="str">
        <f>IFERROR(__xludf.DUMMYFUNCTION("""COMPUTED_VALUE"""),"หญิง")</f>
        <v>หญิง</v>
      </c>
      <c r="F702" s="5" t="str">
        <f>IFERROR(__xludf.DUMMYFUNCTION("""COMPUTED_VALUE"""),"https://azizstan.net/student_image/25942.jpg")</f>
        <v>https://azizstan.net/student_image/25942.jpg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 t="str">
        <f>IFERROR(__xludf.DUMMYFUNCTION("""COMPUTED_VALUE"""),"25950")</f>
        <v>25950</v>
      </c>
      <c r="B703" s="3" t="str">
        <f>IFERROR(__xludf.DUMMYFUNCTION("""COMPUTED_VALUE"""),"ด.ญ.นาบีลา บือราเฮง")</f>
        <v>ด.ญ.นาบีลา บือราเฮง</v>
      </c>
      <c r="C703" s="3" t="str">
        <f>IFERROR(__xludf.DUMMYFUNCTION("""COMPUTED_VALUE"""),"ม.2/5")</f>
        <v>ม.2/5</v>
      </c>
      <c r="D703" s="3" t="str">
        <f>IFERROR(__xludf.DUMMYFUNCTION("""COMPUTED_VALUE"""),"อก.2/5")</f>
        <v>อก.2/5</v>
      </c>
      <c r="E703" s="2" t="str">
        <f>IFERROR(__xludf.DUMMYFUNCTION("""COMPUTED_VALUE"""),"หญิง")</f>
        <v>หญิง</v>
      </c>
      <c r="F703" s="5" t="str">
        <f>IFERROR(__xludf.DUMMYFUNCTION("""COMPUTED_VALUE"""),"https://azizstan.net/student_image/25950.jpg")</f>
        <v>https://azizstan.net/student_image/25950.jpg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 t="str">
        <f>IFERROR(__xludf.DUMMYFUNCTION("""COMPUTED_VALUE"""),"25970")</f>
        <v>25970</v>
      </c>
      <c r="B704" s="3" t="str">
        <f>IFERROR(__xludf.DUMMYFUNCTION("""COMPUTED_VALUE"""),"ด.ช.อับดุลอาซิซ ส่าหนิ")</f>
        <v>ด.ช.อับดุลอาซิซ ส่าหนิ</v>
      </c>
      <c r="C704" s="3" t="str">
        <f>IFERROR(__xludf.DUMMYFUNCTION("""COMPUTED_VALUE"""),"ม.2/5")</f>
        <v>ม.2/5</v>
      </c>
      <c r="D704" s="3" t="str">
        <f>IFERROR(__xludf.DUMMYFUNCTION("""COMPUTED_VALUE"""),"อก.2/5")</f>
        <v>อก.2/5</v>
      </c>
      <c r="E704" s="2" t="str">
        <f>IFERROR(__xludf.DUMMYFUNCTION("""COMPUTED_VALUE"""),"ชาย")</f>
        <v>ชาย</v>
      </c>
      <c r="F704" s="5" t="str">
        <f>IFERROR(__xludf.DUMMYFUNCTION("""COMPUTED_VALUE"""),"https://azizstan.net/student_image/25970.jpg")</f>
        <v>https://azizstan.net/student_image/25970.jpg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 t="str">
        <f>IFERROR(__xludf.DUMMYFUNCTION("""COMPUTED_VALUE"""),"26813")</f>
        <v>26813</v>
      </c>
      <c r="B705" s="3" t="str">
        <f>IFERROR(__xludf.DUMMYFUNCTION("""COMPUTED_VALUE"""),"ด.ช.ซัรฮาน ปะจู")</f>
        <v>ด.ช.ซัรฮาน ปะจู</v>
      </c>
      <c r="C705" s="3" t="str">
        <f>IFERROR(__xludf.DUMMYFUNCTION("""COMPUTED_VALUE"""),"ม.2/5")</f>
        <v>ม.2/5</v>
      </c>
      <c r="D705" s="3" t="str">
        <f>IFERROR(__xludf.DUMMYFUNCTION("""COMPUTED_VALUE"""),"อก.2/5")</f>
        <v>อก.2/5</v>
      </c>
      <c r="E705" s="2" t="str">
        <f>IFERROR(__xludf.DUMMYFUNCTION("""COMPUTED_VALUE"""),"ชาย")</f>
        <v>ชาย</v>
      </c>
      <c r="F705" s="5" t="str">
        <f>IFERROR(__xludf.DUMMYFUNCTION("""COMPUTED_VALUE"""),"https://azizstan.net/student_image/26813.jpg")</f>
        <v>https://azizstan.net/student_image/26813.jpg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 t="str">
        <f>IFERROR(__xludf.DUMMYFUNCTION("""COMPUTED_VALUE"""),"25351")</f>
        <v>25351</v>
      </c>
      <c r="B706" s="3" t="str">
        <f>IFERROR(__xludf.DUMMYFUNCTION("""COMPUTED_VALUE"""),"ด.ญ.อาตีนุช แมวาโซะ")</f>
        <v>ด.ญ.อาตีนุช แมวาโซะ</v>
      </c>
      <c r="C706" s="3" t="str">
        <f>IFERROR(__xludf.DUMMYFUNCTION("""COMPUTED_VALUE"""),"ม.2/6")</f>
        <v>ม.2/6</v>
      </c>
      <c r="D706" s="3" t="str">
        <f>IFERROR(__xludf.DUMMYFUNCTION("""COMPUTED_VALUE"""),"อก.1/6")</f>
        <v>อก.1/6</v>
      </c>
      <c r="E706" s="2" t="str">
        <f>IFERROR(__xludf.DUMMYFUNCTION("""COMPUTED_VALUE"""),"หญิง")</f>
        <v>หญิง</v>
      </c>
      <c r="F706" s="5" t="str">
        <f>IFERROR(__xludf.DUMMYFUNCTION("""COMPUTED_VALUE"""),"https://azizstan.net/student_image/25351.jpg")</f>
        <v>https://azizstan.net/student_image/25351.jpg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 t="str">
        <f>IFERROR(__xludf.DUMMYFUNCTION("""COMPUTED_VALUE"""),"25363")</f>
        <v>25363</v>
      </c>
      <c r="B707" s="3" t="str">
        <f>IFERROR(__xludf.DUMMYFUNCTION("""COMPUTED_VALUE"""),"ด.ญ.ซาเรีย หมัดเหร็ม")</f>
        <v>ด.ญ.ซาเรีย หมัดเหร็ม</v>
      </c>
      <c r="C707" s="3" t="str">
        <f>IFERROR(__xludf.DUMMYFUNCTION("""COMPUTED_VALUE"""),"ม.2/6")</f>
        <v>ม.2/6</v>
      </c>
      <c r="D707" s="3" t="str">
        <f>IFERROR(__xludf.DUMMYFUNCTION("""COMPUTED_VALUE"""),"อก.1/6")</f>
        <v>อก.1/6</v>
      </c>
      <c r="E707" s="2" t="str">
        <f>IFERROR(__xludf.DUMMYFUNCTION("""COMPUTED_VALUE"""),"หญิง")</f>
        <v>หญิง</v>
      </c>
      <c r="F707" s="5" t="str">
        <f>IFERROR(__xludf.DUMMYFUNCTION("""COMPUTED_VALUE"""),"https://azizstan.net/student_image/25363.jpg")</f>
        <v>https://azizstan.net/student_image/25363.jpg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 t="str">
        <f>IFERROR(__xludf.DUMMYFUNCTION("""COMPUTED_VALUE"""),"25385")</f>
        <v>25385</v>
      </c>
      <c r="B708" s="3" t="str">
        <f>IFERROR(__xludf.DUMMYFUNCTION("""COMPUTED_VALUE"""),"ด.ญ.นูรีน มูนีมูสี")</f>
        <v>ด.ญ.นูรีน มูนีมูสี</v>
      </c>
      <c r="C708" s="3" t="str">
        <f>IFERROR(__xludf.DUMMYFUNCTION("""COMPUTED_VALUE"""),"ม.2/6")</f>
        <v>ม.2/6</v>
      </c>
      <c r="D708" s="3" t="str">
        <f>IFERROR(__xludf.DUMMYFUNCTION("""COMPUTED_VALUE"""),"อก.1/6")</f>
        <v>อก.1/6</v>
      </c>
      <c r="E708" s="2" t="str">
        <f>IFERROR(__xludf.DUMMYFUNCTION("""COMPUTED_VALUE"""),"หญิง")</f>
        <v>หญิง</v>
      </c>
      <c r="F708" s="5" t="str">
        <f>IFERROR(__xludf.DUMMYFUNCTION("""COMPUTED_VALUE"""),"https://azizstan.net/student_image/25385.jpg")</f>
        <v>https://azizstan.net/student_image/25385.jpg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 t="str">
        <f>IFERROR(__xludf.DUMMYFUNCTION("""COMPUTED_VALUE"""),"25394")</f>
        <v>25394</v>
      </c>
      <c r="B709" s="3" t="str">
        <f>IFERROR(__xludf.DUMMYFUNCTION("""COMPUTED_VALUE"""),"ด.ญ.ตอยยีบะห์ ล่อเต๊ะ")</f>
        <v>ด.ญ.ตอยยีบะห์ ล่อเต๊ะ</v>
      </c>
      <c r="C709" s="3" t="str">
        <f>IFERROR(__xludf.DUMMYFUNCTION("""COMPUTED_VALUE"""),"ม.2/6")</f>
        <v>ม.2/6</v>
      </c>
      <c r="D709" s="3" t="str">
        <f>IFERROR(__xludf.DUMMYFUNCTION("""COMPUTED_VALUE"""),"อก.1/6")</f>
        <v>อก.1/6</v>
      </c>
      <c r="E709" s="2" t="str">
        <f>IFERROR(__xludf.DUMMYFUNCTION("""COMPUTED_VALUE"""),"หญิง")</f>
        <v>หญิง</v>
      </c>
      <c r="F709" s="5" t="str">
        <f>IFERROR(__xludf.DUMMYFUNCTION("""COMPUTED_VALUE"""),"https://azizstan.net/student_image/25394.jpg")</f>
        <v>https://azizstan.net/student_image/25394.jpg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 t="str">
        <f>IFERROR(__xludf.DUMMYFUNCTION("""COMPUTED_VALUE"""),"25408")</f>
        <v>25408</v>
      </c>
      <c r="B710" s="3" t="str">
        <f>IFERROR(__xludf.DUMMYFUNCTION("""COMPUTED_VALUE"""),"ด.ญ.ซูฮัยลา สะหนิ")</f>
        <v>ด.ญ.ซูฮัยลา สะหนิ</v>
      </c>
      <c r="C710" s="3" t="str">
        <f>IFERROR(__xludf.DUMMYFUNCTION("""COMPUTED_VALUE"""),"ม.2/6")</f>
        <v>ม.2/6</v>
      </c>
      <c r="D710" s="3" t="str">
        <f>IFERROR(__xludf.DUMMYFUNCTION("""COMPUTED_VALUE"""),"อก.1/6")</f>
        <v>อก.1/6</v>
      </c>
      <c r="E710" s="2" t="str">
        <f>IFERROR(__xludf.DUMMYFUNCTION("""COMPUTED_VALUE"""),"หญิง")</f>
        <v>หญิง</v>
      </c>
      <c r="F710" s="5" t="str">
        <f>IFERROR(__xludf.DUMMYFUNCTION("""COMPUTED_VALUE"""),"https://azizstan.net/student_image/25408.jpg")</f>
        <v>https://azizstan.net/student_image/25408.jpg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 t="str">
        <f>IFERROR(__xludf.DUMMYFUNCTION("""COMPUTED_VALUE"""),"25410")</f>
        <v>25410</v>
      </c>
      <c r="B711" s="3" t="str">
        <f>IFERROR(__xludf.DUMMYFUNCTION("""COMPUTED_VALUE"""),"ด.ญ.นุรนาซูฮา หนิเด")</f>
        <v>ด.ญ.นุรนาซูฮา หนิเด</v>
      </c>
      <c r="C711" s="3" t="str">
        <f>IFERROR(__xludf.DUMMYFUNCTION("""COMPUTED_VALUE"""),"ม.2/6")</f>
        <v>ม.2/6</v>
      </c>
      <c r="D711" s="3" t="str">
        <f>IFERROR(__xludf.DUMMYFUNCTION("""COMPUTED_VALUE"""),"อก.1/6")</f>
        <v>อก.1/6</v>
      </c>
      <c r="E711" s="2" t="str">
        <f>IFERROR(__xludf.DUMMYFUNCTION("""COMPUTED_VALUE"""),"หญิง")</f>
        <v>หญิง</v>
      </c>
      <c r="F711" s="5" t="str">
        <f>IFERROR(__xludf.DUMMYFUNCTION("""COMPUTED_VALUE"""),"https://azizstan.net/student_image/25410.jpg")</f>
        <v>https://azizstan.net/student_image/25410.jpg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 t="str">
        <f>IFERROR(__xludf.DUMMYFUNCTION("""COMPUTED_VALUE"""),"25436")</f>
        <v>25436</v>
      </c>
      <c r="B712" s="3" t="str">
        <f>IFERROR(__xludf.DUMMYFUNCTION("""COMPUTED_VALUE"""),"ด.ญ.วนันยา เจ๊ะโอ๊ะห์")</f>
        <v>ด.ญ.วนันยา เจ๊ะโอ๊ะห์</v>
      </c>
      <c r="C712" s="3" t="str">
        <f>IFERROR(__xludf.DUMMYFUNCTION("""COMPUTED_VALUE"""),"ม.2/6")</f>
        <v>ม.2/6</v>
      </c>
      <c r="D712" s="3" t="str">
        <f>IFERROR(__xludf.DUMMYFUNCTION("""COMPUTED_VALUE"""),"อก.1/6")</f>
        <v>อก.1/6</v>
      </c>
      <c r="E712" s="2" t="str">
        <f>IFERROR(__xludf.DUMMYFUNCTION("""COMPUTED_VALUE"""),"หญิง")</f>
        <v>หญิง</v>
      </c>
      <c r="F712" s="5" t="str">
        <f>IFERROR(__xludf.DUMMYFUNCTION("""COMPUTED_VALUE"""),"https://azizstan.net/student_image/25436.jpg")</f>
        <v>https://azizstan.net/student_image/25436.jpg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 t="str">
        <f>IFERROR(__xludf.DUMMYFUNCTION("""COMPUTED_VALUE"""),"25447")</f>
        <v>25447</v>
      </c>
      <c r="B713" s="3" t="str">
        <f>IFERROR(__xludf.DUMMYFUNCTION("""COMPUTED_VALUE"""),"ด.ญ.นูรอารีซัน ตาเยะ")</f>
        <v>ด.ญ.นูรอารีซัน ตาเยะ</v>
      </c>
      <c r="C713" s="3" t="str">
        <f>IFERROR(__xludf.DUMMYFUNCTION("""COMPUTED_VALUE"""),"ม.2/6")</f>
        <v>ม.2/6</v>
      </c>
      <c r="D713" s="3" t="str">
        <f>IFERROR(__xludf.DUMMYFUNCTION("""COMPUTED_VALUE"""),"อก.1/6")</f>
        <v>อก.1/6</v>
      </c>
      <c r="E713" s="2" t="str">
        <f>IFERROR(__xludf.DUMMYFUNCTION("""COMPUTED_VALUE"""),"หญิง")</f>
        <v>หญิง</v>
      </c>
      <c r="F713" s="5" t="str">
        <f>IFERROR(__xludf.DUMMYFUNCTION("""COMPUTED_VALUE"""),"https://azizstan.net/student_image/25447.jpg")</f>
        <v>https://azizstan.net/student_image/25447.jpg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 t="str">
        <f>IFERROR(__xludf.DUMMYFUNCTION("""COMPUTED_VALUE"""),"25452")</f>
        <v>25452</v>
      </c>
      <c r="B714" s="3" t="str">
        <f>IFERROR(__xludf.DUMMYFUNCTION("""COMPUTED_VALUE"""),"ด.ญ.นูรไลลา ยามา")</f>
        <v>ด.ญ.นูรไลลา ยามา</v>
      </c>
      <c r="C714" s="3" t="str">
        <f>IFERROR(__xludf.DUMMYFUNCTION("""COMPUTED_VALUE"""),"ม.2/6")</f>
        <v>ม.2/6</v>
      </c>
      <c r="D714" s="3" t="str">
        <f>IFERROR(__xludf.DUMMYFUNCTION("""COMPUTED_VALUE"""),"อก.1/6")</f>
        <v>อก.1/6</v>
      </c>
      <c r="E714" s="2" t="str">
        <f>IFERROR(__xludf.DUMMYFUNCTION("""COMPUTED_VALUE"""),"หญิง")</f>
        <v>หญิง</v>
      </c>
      <c r="F714" s="5" t="str">
        <f>IFERROR(__xludf.DUMMYFUNCTION("""COMPUTED_VALUE"""),"https://azizstan.net/student_image/25452.jpg")</f>
        <v>https://azizstan.net/student_image/25452.jpg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 t="str">
        <f>IFERROR(__xludf.DUMMYFUNCTION("""COMPUTED_VALUE"""),"25477")</f>
        <v>25477</v>
      </c>
      <c r="B715" s="3" t="str">
        <f>IFERROR(__xludf.DUMMYFUNCTION("""COMPUTED_VALUE"""),"ด.ญ.อังฟาล ระแว้ง")</f>
        <v>ด.ญ.อังฟาล ระแว้ง</v>
      </c>
      <c r="C715" s="3" t="str">
        <f>IFERROR(__xludf.DUMMYFUNCTION("""COMPUTED_VALUE"""),"ม.2/6")</f>
        <v>ม.2/6</v>
      </c>
      <c r="D715" s="3" t="str">
        <f>IFERROR(__xludf.DUMMYFUNCTION("""COMPUTED_VALUE"""),"อก.1/6")</f>
        <v>อก.1/6</v>
      </c>
      <c r="E715" s="2" t="str">
        <f>IFERROR(__xludf.DUMMYFUNCTION("""COMPUTED_VALUE"""),"หญิง")</f>
        <v>หญิง</v>
      </c>
      <c r="F715" s="5" t="str">
        <f>IFERROR(__xludf.DUMMYFUNCTION("""COMPUTED_VALUE"""),"https://azizstan.net/student_image/25477.jpg")</f>
        <v>https://azizstan.net/student_image/25477.jpg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 t="str">
        <f>IFERROR(__xludf.DUMMYFUNCTION("""COMPUTED_VALUE"""),"25502")</f>
        <v>25502</v>
      </c>
      <c r="B716" s="3" t="str">
        <f>IFERROR(__xludf.DUMMYFUNCTION("""COMPUTED_VALUE"""),"ด.ญ.นูรอาฟานี สะอูน")</f>
        <v>ด.ญ.นูรอาฟานี สะอูน</v>
      </c>
      <c r="C716" s="3" t="str">
        <f>IFERROR(__xludf.DUMMYFUNCTION("""COMPUTED_VALUE"""),"ม.2/6")</f>
        <v>ม.2/6</v>
      </c>
      <c r="D716" s="3" t="str">
        <f>IFERROR(__xludf.DUMMYFUNCTION("""COMPUTED_VALUE"""),"อก.1/6")</f>
        <v>อก.1/6</v>
      </c>
      <c r="E716" s="2" t="str">
        <f>IFERROR(__xludf.DUMMYFUNCTION("""COMPUTED_VALUE"""),"หญิง")</f>
        <v>หญิง</v>
      </c>
      <c r="F716" s="5" t="str">
        <f>IFERROR(__xludf.DUMMYFUNCTION("""COMPUTED_VALUE"""),"https://azizstan.net/student_image/25502.jpg")</f>
        <v>https://azizstan.net/student_image/25502.jpg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 t="str">
        <f>IFERROR(__xludf.DUMMYFUNCTION("""COMPUTED_VALUE"""),"25512")</f>
        <v>25512</v>
      </c>
      <c r="B717" s="3" t="str">
        <f>IFERROR(__xludf.DUMMYFUNCTION("""COMPUTED_VALUE"""),"ด.ญ.นิลาวัล นิเดหะ")</f>
        <v>ด.ญ.นิลาวัล นิเดหะ</v>
      </c>
      <c r="C717" s="3" t="str">
        <f>IFERROR(__xludf.DUMMYFUNCTION("""COMPUTED_VALUE"""),"ม.2/6")</f>
        <v>ม.2/6</v>
      </c>
      <c r="D717" s="3" t="str">
        <f>IFERROR(__xludf.DUMMYFUNCTION("""COMPUTED_VALUE"""),"อก.1/6")</f>
        <v>อก.1/6</v>
      </c>
      <c r="E717" s="2" t="str">
        <f>IFERROR(__xludf.DUMMYFUNCTION("""COMPUTED_VALUE"""),"หญิง")</f>
        <v>หญิง</v>
      </c>
      <c r="F717" s="5" t="str">
        <f>IFERROR(__xludf.DUMMYFUNCTION("""COMPUTED_VALUE"""),"https://azizstan.net/student_image/25512.jpg")</f>
        <v>https://azizstan.net/student_image/25512.jpg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 t="str">
        <f>IFERROR(__xludf.DUMMYFUNCTION("""COMPUTED_VALUE"""),"25523")</f>
        <v>25523</v>
      </c>
      <c r="B718" s="3" t="str">
        <f>IFERROR(__xludf.DUMMYFUNCTION("""COMPUTED_VALUE"""),"ด.ญ.นิตัสนีม สะมะแอ")</f>
        <v>ด.ญ.นิตัสนีม สะมะแอ</v>
      </c>
      <c r="C718" s="3" t="str">
        <f>IFERROR(__xludf.DUMMYFUNCTION("""COMPUTED_VALUE"""),"ม.2/6")</f>
        <v>ม.2/6</v>
      </c>
      <c r="D718" s="3" t="str">
        <f>IFERROR(__xludf.DUMMYFUNCTION("""COMPUTED_VALUE"""),"อก.1/6")</f>
        <v>อก.1/6</v>
      </c>
      <c r="E718" s="2" t="str">
        <f>IFERROR(__xludf.DUMMYFUNCTION("""COMPUTED_VALUE"""),"หญิง")</f>
        <v>หญิง</v>
      </c>
      <c r="F718" s="5" t="str">
        <f>IFERROR(__xludf.DUMMYFUNCTION("""COMPUTED_VALUE"""),"https://azizstan.net/student_image/25523.jpg")</f>
        <v>https://azizstan.net/student_image/25523.jpg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 t="str">
        <f>IFERROR(__xludf.DUMMYFUNCTION("""COMPUTED_VALUE"""),"25533")</f>
        <v>25533</v>
      </c>
      <c r="B719" s="3" t="str">
        <f>IFERROR(__xludf.DUMMYFUNCTION("""COMPUTED_VALUE"""),"ด.ญ.มาดีฮะห์ โต๊ะกาเตะ")</f>
        <v>ด.ญ.มาดีฮะห์ โต๊ะกาเตะ</v>
      </c>
      <c r="C719" s="3" t="str">
        <f>IFERROR(__xludf.DUMMYFUNCTION("""COMPUTED_VALUE"""),"ม.2/6")</f>
        <v>ม.2/6</v>
      </c>
      <c r="D719" s="3" t="str">
        <f>IFERROR(__xludf.DUMMYFUNCTION("""COMPUTED_VALUE"""),"อก.1/6")</f>
        <v>อก.1/6</v>
      </c>
      <c r="E719" s="2" t="str">
        <f>IFERROR(__xludf.DUMMYFUNCTION("""COMPUTED_VALUE"""),"หญิง")</f>
        <v>หญิง</v>
      </c>
      <c r="F719" s="5" t="str">
        <f>IFERROR(__xludf.DUMMYFUNCTION("""COMPUTED_VALUE"""),"https://azizstan.net/student_image/25533.jpg")</f>
        <v>https://azizstan.net/student_image/25533.jpg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 t="str">
        <f>IFERROR(__xludf.DUMMYFUNCTION("""COMPUTED_VALUE"""),"25560")</f>
        <v>25560</v>
      </c>
      <c r="B720" s="3" t="str">
        <f>IFERROR(__xludf.DUMMYFUNCTION("""COMPUTED_VALUE"""),"ด.ญ.ซอฟาวาตี ดาโอะ")</f>
        <v>ด.ญ.ซอฟาวาตี ดาโอะ</v>
      </c>
      <c r="C720" s="3" t="str">
        <f>IFERROR(__xludf.DUMMYFUNCTION("""COMPUTED_VALUE"""),"ม.2/6")</f>
        <v>ม.2/6</v>
      </c>
      <c r="D720" s="3" t="str">
        <f>IFERROR(__xludf.DUMMYFUNCTION("""COMPUTED_VALUE"""),"อก.1/6")</f>
        <v>อก.1/6</v>
      </c>
      <c r="E720" s="2" t="str">
        <f>IFERROR(__xludf.DUMMYFUNCTION("""COMPUTED_VALUE"""),"หญิง")</f>
        <v>หญิง</v>
      </c>
      <c r="F720" s="5" t="str">
        <f>IFERROR(__xludf.DUMMYFUNCTION("""COMPUTED_VALUE"""),"https://azizstan.net/student_image/25560.jpg")</f>
        <v>https://azizstan.net/student_image/25560.jpg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 t="str">
        <f>IFERROR(__xludf.DUMMYFUNCTION("""COMPUTED_VALUE"""),"25587")</f>
        <v>25587</v>
      </c>
      <c r="B721" s="3" t="str">
        <f>IFERROR(__xludf.DUMMYFUNCTION("""COMPUTED_VALUE"""),"ด.ญ.อาดีละห์ เจะแฮ")</f>
        <v>ด.ญ.อาดีละห์ เจะแฮ</v>
      </c>
      <c r="C721" s="3" t="str">
        <f>IFERROR(__xludf.DUMMYFUNCTION("""COMPUTED_VALUE"""),"ม.2/6")</f>
        <v>ม.2/6</v>
      </c>
      <c r="D721" s="3" t="str">
        <f>IFERROR(__xludf.DUMMYFUNCTION("""COMPUTED_VALUE"""),"อก.1/6")</f>
        <v>อก.1/6</v>
      </c>
      <c r="E721" s="2" t="str">
        <f>IFERROR(__xludf.DUMMYFUNCTION("""COMPUTED_VALUE"""),"หญิง")</f>
        <v>หญิง</v>
      </c>
      <c r="F721" s="5" t="str">
        <f>IFERROR(__xludf.DUMMYFUNCTION("""COMPUTED_VALUE"""),"https://azizstan.net/student_image/25587.jpg")</f>
        <v>https://azizstan.net/student_image/25587.jpg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 t="str">
        <f>IFERROR(__xludf.DUMMYFUNCTION("""COMPUTED_VALUE"""),"25612")</f>
        <v>25612</v>
      </c>
      <c r="B722" s="3" t="str">
        <f>IFERROR(__xludf.DUMMYFUNCTION("""COMPUTED_VALUE"""),"ด.ญ.นูรฮีดายะห์ หะยีสะมะแอ")</f>
        <v>ด.ญ.นูรฮีดายะห์ หะยีสะมะแอ</v>
      </c>
      <c r="C722" s="3" t="str">
        <f>IFERROR(__xludf.DUMMYFUNCTION("""COMPUTED_VALUE"""),"ม.2/6")</f>
        <v>ม.2/6</v>
      </c>
      <c r="D722" s="3" t="str">
        <f>IFERROR(__xludf.DUMMYFUNCTION("""COMPUTED_VALUE"""),"อก.1/6")</f>
        <v>อก.1/6</v>
      </c>
      <c r="E722" s="2" t="str">
        <f>IFERROR(__xludf.DUMMYFUNCTION("""COMPUTED_VALUE"""),"หญิง")</f>
        <v>หญิง</v>
      </c>
      <c r="F722" s="5" t="str">
        <f>IFERROR(__xludf.DUMMYFUNCTION("""COMPUTED_VALUE"""),"https://azizstan.net/student_image/25612.jpg")</f>
        <v>https://azizstan.net/student_image/25612.jpg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" t="str">
        <f>IFERROR(__xludf.DUMMYFUNCTION("""COMPUTED_VALUE"""),"25620")</f>
        <v>25620</v>
      </c>
      <c r="B723" s="3" t="str">
        <f>IFERROR(__xludf.DUMMYFUNCTION("""COMPUTED_VALUE"""),"ด.ญ.นูรฟาเดียร์ ฮาแวมาเนาะ")</f>
        <v>ด.ญ.นูรฟาเดียร์ ฮาแวมาเนาะ</v>
      </c>
      <c r="C723" s="3" t="str">
        <f>IFERROR(__xludf.DUMMYFUNCTION("""COMPUTED_VALUE"""),"ม.2/6")</f>
        <v>ม.2/6</v>
      </c>
      <c r="D723" s="3" t="str">
        <f>IFERROR(__xludf.DUMMYFUNCTION("""COMPUTED_VALUE"""),"อก.1/6")</f>
        <v>อก.1/6</v>
      </c>
      <c r="E723" s="2" t="str">
        <f>IFERROR(__xludf.DUMMYFUNCTION("""COMPUTED_VALUE"""),"หญิง")</f>
        <v>หญิง</v>
      </c>
      <c r="F723" s="5" t="str">
        <f>IFERROR(__xludf.DUMMYFUNCTION("""COMPUTED_VALUE"""),"https://azizstan.net/student_image/25620.jpg")</f>
        <v>https://azizstan.net/student_image/25620.jpg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" t="str">
        <f>IFERROR(__xludf.DUMMYFUNCTION("""COMPUTED_VALUE"""),"25641")</f>
        <v>25641</v>
      </c>
      <c r="B724" s="3" t="str">
        <f>IFERROR(__xludf.DUMMYFUNCTION("""COMPUTED_VALUE"""),"ด.ญ.นุรอัยน่า มะนอสะ")</f>
        <v>ด.ญ.นุรอัยน่า มะนอสะ</v>
      </c>
      <c r="C724" s="3" t="str">
        <f>IFERROR(__xludf.DUMMYFUNCTION("""COMPUTED_VALUE"""),"ม.2/6")</f>
        <v>ม.2/6</v>
      </c>
      <c r="D724" s="3" t="str">
        <f>IFERROR(__xludf.DUMMYFUNCTION("""COMPUTED_VALUE"""),"อก.1/6")</f>
        <v>อก.1/6</v>
      </c>
      <c r="E724" s="2" t="str">
        <f>IFERROR(__xludf.DUMMYFUNCTION("""COMPUTED_VALUE"""),"หญิง")</f>
        <v>หญิง</v>
      </c>
      <c r="F724" s="5" t="str">
        <f>IFERROR(__xludf.DUMMYFUNCTION("""COMPUTED_VALUE"""),"https://azizstan.net/student_image/25641.jpg")</f>
        <v>https://azizstan.net/student_image/25641.jpg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" t="str">
        <f>IFERROR(__xludf.DUMMYFUNCTION("""COMPUTED_VALUE"""),"25649")</f>
        <v>25649</v>
      </c>
      <c r="B725" s="3" t="str">
        <f>IFERROR(__xludf.DUMMYFUNCTION("""COMPUTED_VALUE"""),"ด.ญ.กัลยาณี สาหลำ")</f>
        <v>ด.ญ.กัลยาณี สาหลำ</v>
      </c>
      <c r="C725" s="3" t="str">
        <f>IFERROR(__xludf.DUMMYFUNCTION("""COMPUTED_VALUE"""),"ม.2/6")</f>
        <v>ม.2/6</v>
      </c>
      <c r="D725" s="3" t="str">
        <f>IFERROR(__xludf.DUMMYFUNCTION("""COMPUTED_VALUE"""),"อก.1/6")</f>
        <v>อก.1/6</v>
      </c>
      <c r="E725" s="2" t="str">
        <f>IFERROR(__xludf.DUMMYFUNCTION("""COMPUTED_VALUE"""),"หญิง")</f>
        <v>หญิง</v>
      </c>
      <c r="F725" s="5" t="str">
        <f>IFERROR(__xludf.DUMMYFUNCTION("""COMPUTED_VALUE"""),"https://azizstan.net/student_image/25649.jpg")</f>
        <v>https://azizstan.net/student_image/25649.jpg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 t="str">
        <f>IFERROR(__xludf.DUMMYFUNCTION("""COMPUTED_VALUE"""),"25659")</f>
        <v>25659</v>
      </c>
      <c r="B726" s="3" t="str">
        <f>IFERROR(__xludf.DUMMYFUNCTION("""COMPUTED_VALUE"""),"ด.ญ.นัจญวา กาเดร์")</f>
        <v>ด.ญ.นัจญวา กาเดร์</v>
      </c>
      <c r="C726" s="3" t="str">
        <f>IFERROR(__xludf.DUMMYFUNCTION("""COMPUTED_VALUE"""),"ม.2/6")</f>
        <v>ม.2/6</v>
      </c>
      <c r="D726" s="3" t="str">
        <f>IFERROR(__xludf.DUMMYFUNCTION("""COMPUTED_VALUE"""),"อก.1/6")</f>
        <v>อก.1/6</v>
      </c>
      <c r="E726" s="2" t="str">
        <f>IFERROR(__xludf.DUMMYFUNCTION("""COMPUTED_VALUE"""),"หญิง")</f>
        <v>หญิง</v>
      </c>
      <c r="F726" s="5" t="str">
        <f>IFERROR(__xludf.DUMMYFUNCTION("""COMPUTED_VALUE"""),"https://azizstan.net/student_image/25659.jpg")</f>
        <v>https://azizstan.net/student_image/25659.jpg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 t="str">
        <f>IFERROR(__xludf.DUMMYFUNCTION("""COMPUTED_VALUE"""),"25666")</f>
        <v>25666</v>
      </c>
      <c r="B727" s="3" t="str">
        <f>IFERROR(__xludf.DUMMYFUNCTION("""COMPUTED_VALUE"""),"ด.ญ.นูรูลรีฟา ดอเล๊าะ")</f>
        <v>ด.ญ.นูรูลรีฟา ดอเล๊าะ</v>
      </c>
      <c r="C727" s="3" t="str">
        <f>IFERROR(__xludf.DUMMYFUNCTION("""COMPUTED_VALUE"""),"ม.2/6")</f>
        <v>ม.2/6</v>
      </c>
      <c r="D727" s="3" t="str">
        <f>IFERROR(__xludf.DUMMYFUNCTION("""COMPUTED_VALUE"""),"อก.1/6")</f>
        <v>อก.1/6</v>
      </c>
      <c r="E727" s="2" t="str">
        <f>IFERROR(__xludf.DUMMYFUNCTION("""COMPUTED_VALUE"""),"หญิง")</f>
        <v>หญิง</v>
      </c>
      <c r="F727" s="5" t="str">
        <f>IFERROR(__xludf.DUMMYFUNCTION("""COMPUTED_VALUE"""),"https://azizstan.net/student_image/25666.jpg")</f>
        <v>https://azizstan.net/student_image/25666.jpg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 t="str">
        <f>IFERROR(__xludf.DUMMYFUNCTION("""COMPUTED_VALUE"""),"25672")</f>
        <v>25672</v>
      </c>
      <c r="B728" s="3" t="str">
        <f>IFERROR(__xludf.DUMMYFUNCTION("""COMPUTED_VALUE"""),"ด.ญ.อินอาม บริพันธ์")</f>
        <v>ด.ญ.อินอาม บริพันธ์</v>
      </c>
      <c r="C728" s="3" t="str">
        <f>IFERROR(__xludf.DUMMYFUNCTION("""COMPUTED_VALUE"""),"ม.2/6")</f>
        <v>ม.2/6</v>
      </c>
      <c r="D728" s="3" t="str">
        <f>IFERROR(__xludf.DUMMYFUNCTION("""COMPUTED_VALUE"""),"อก.1/6")</f>
        <v>อก.1/6</v>
      </c>
      <c r="E728" s="2" t="str">
        <f>IFERROR(__xludf.DUMMYFUNCTION("""COMPUTED_VALUE"""),"หญิง")</f>
        <v>หญิง</v>
      </c>
      <c r="F728" s="5" t="str">
        <f>IFERROR(__xludf.DUMMYFUNCTION("""COMPUTED_VALUE"""),"https://azizstan.net/student_image/25672.jpg")</f>
        <v>https://azizstan.net/student_image/25672.jpg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 t="str">
        <f>IFERROR(__xludf.DUMMYFUNCTION("""COMPUTED_VALUE"""),"25676")</f>
        <v>25676</v>
      </c>
      <c r="B729" s="3" t="str">
        <f>IFERROR(__xludf.DUMMYFUNCTION("""COMPUTED_VALUE"""),"ด.ญ.ซอฟาวาตี มามะ")</f>
        <v>ด.ญ.ซอฟาวาตี มามะ</v>
      </c>
      <c r="C729" s="3" t="str">
        <f>IFERROR(__xludf.DUMMYFUNCTION("""COMPUTED_VALUE"""),"ม.2/6")</f>
        <v>ม.2/6</v>
      </c>
      <c r="D729" s="3" t="str">
        <f>IFERROR(__xludf.DUMMYFUNCTION("""COMPUTED_VALUE"""),"อก.1/6")</f>
        <v>อก.1/6</v>
      </c>
      <c r="E729" s="2" t="str">
        <f>IFERROR(__xludf.DUMMYFUNCTION("""COMPUTED_VALUE"""),"หญิง")</f>
        <v>หญิง</v>
      </c>
      <c r="F729" s="5" t="str">
        <f>IFERROR(__xludf.DUMMYFUNCTION("""COMPUTED_VALUE"""),"https://azizstan.net/student_image/25676.jpg")</f>
        <v>https://azizstan.net/student_image/25676.jpg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 t="str">
        <f>IFERROR(__xludf.DUMMYFUNCTION("""COMPUTED_VALUE"""),"25699")</f>
        <v>25699</v>
      </c>
      <c r="B730" s="3" t="str">
        <f>IFERROR(__xludf.DUMMYFUNCTION("""COMPUTED_VALUE"""),"ด.ญ.นูรุนนิดดา เจ๊ะเหาะ")</f>
        <v>ด.ญ.นูรุนนิดดา เจ๊ะเหาะ</v>
      </c>
      <c r="C730" s="3" t="str">
        <f>IFERROR(__xludf.DUMMYFUNCTION("""COMPUTED_VALUE"""),"ม.2/6")</f>
        <v>ม.2/6</v>
      </c>
      <c r="D730" s="3" t="str">
        <f>IFERROR(__xludf.DUMMYFUNCTION("""COMPUTED_VALUE"""),"อก.1/6")</f>
        <v>อก.1/6</v>
      </c>
      <c r="E730" s="2" t="str">
        <f>IFERROR(__xludf.DUMMYFUNCTION("""COMPUTED_VALUE"""),"หญิง")</f>
        <v>หญิง</v>
      </c>
      <c r="F730" s="5" t="str">
        <f>IFERROR(__xludf.DUMMYFUNCTION("""COMPUTED_VALUE"""),"https://azizstan.net/student_image/25699.jpg")</f>
        <v>https://azizstan.net/student_image/25699.jpg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 t="str">
        <f>IFERROR(__xludf.DUMMYFUNCTION("""COMPUTED_VALUE"""),"25732")</f>
        <v>25732</v>
      </c>
      <c r="B731" s="3" t="str">
        <f>IFERROR(__xludf.DUMMYFUNCTION("""COMPUTED_VALUE"""),"ด.ญ.นูรฮาลีซา ดอเลาะ")</f>
        <v>ด.ญ.นูรฮาลีซา ดอเลาะ</v>
      </c>
      <c r="C731" s="3" t="str">
        <f>IFERROR(__xludf.DUMMYFUNCTION("""COMPUTED_VALUE"""),"ม.2/6")</f>
        <v>ม.2/6</v>
      </c>
      <c r="D731" s="3" t="str">
        <f>IFERROR(__xludf.DUMMYFUNCTION("""COMPUTED_VALUE"""),"อก.1/6")</f>
        <v>อก.1/6</v>
      </c>
      <c r="E731" s="2" t="str">
        <f>IFERROR(__xludf.DUMMYFUNCTION("""COMPUTED_VALUE"""),"หญิง")</f>
        <v>หญิง</v>
      </c>
      <c r="F731" s="5" t="str">
        <f>IFERROR(__xludf.DUMMYFUNCTION("""COMPUTED_VALUE"""),"https://azizstan.net/student_image/25732.jpg")</f>
        <v>https://azizstan.net/student_image/25732.jpg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 t="str">
        <f>IFERROR(__xludf.DUMMYFUNCTION("""COMPUTED_VALUE"""),"25761")</f>
        <v>25761</v>
      </c>
      <c r="B732" s="3" t="str">
        <f>IFERROR(__xludf.DUMMYFUNCTION("""COMPUTED_VALUE"""),"ด.ญ.อารีนี มะเด็ง")</f>
        <v>ด.ญ.อารีนี มะเด็ง</v>
      </c>
      <c r="C732" s="3" t="str">
        <f>IFERROR(__xludf.DUMMYFUNCTION("""COMPUTED_VALUE"""),"ม.2/6")</f>
        <v>ม.2/6</v>
      </c>
      <c r="D732" s="3" t="str">
        <f>IFERROR(__xludf.DUMMYFUNCTION("""COMPUTED_VALUE"""),"อก.1/6")</f>
        <v>อก.1/6</v>
      </c>
      <c r="E732" s="2" t="str">
        <f>IFERROR(__xludf.DUMMYFUNCTION("""COMPUTED_VALUE"""),"หญิง")</f>
        <v>หญิง</v>
      </c>
      <c r="F732" s="5" t="str">
        <f>IFERROR(__xludf.DUMMYFUNCTION("""COMPUTED_VALUE"""),"https://azizstan.net/student_image/25761.jpg")</f>
        <v>https://azizstan.net/student_image/25761.jpg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 t="str">
        <f>IFERROR(__xludf.DUMMYFUNCTION("""COMPUTED_VALUE"""),"25791")</f>
        <v>25791</v>
      </c>
      <c r="B733" s="3" t="str">
        <f>IFERROR(__xludf.DUMMYFUNCTION("""COMPUTED_VALUE"""),"ด.ญ.ฏอยยีบะห์ เจ๊ะแวดอเล๊าะ")</f>
        <v>ด.ญ.ฏอยยีบะห์ เจ๊ะแวดอเล๊าะ</v>
      </c>
      <c r="C733" s="3" t="str">
        <f>IFERROR(__xludf.DUMMYFUNCTION("""COMPUTED_VALUE"""),"ม.2/6")</f>
        <v>ม.2/6</v>
      </c>
      <c r="D733" s="3" t="str">
        <f>IFERROR(__xludf.DUMMYFUNCTION("""COMPUTED_VALUE"""),"อก.1/6")</f>
        <v>อก.1/6</v>
      </c>
      <c r="E733" s="2" t="str">
        <f>IFERROR(__xludf.DUMMYFUNCTION("""COMPUTED_VALUE"""),"หญิง")</f>
        <v>หญิง</v>
      </c>
      <c r="F733" s="5" t="str">
        <f>IFERROR(__xludf.DUMMYFUNCTION("""COMPUTED_VALUE"""),"https://azizstan.net/student_image/25791.jpg")</f>
        <v>https://azizstan.net/student_image/25791.jpg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 t="str">
        <f>IFERROR(__xludf.DUMMYFUNCTION("""COMPUTED_VALUE"""),"25799")</f>
        <v>25799</v>
      </c>
      <c r="B734" s="3" t="str">
        <f>IFERROR(__xludf.DUMMYFUNCTION("""COMPUTED_VALUE"""),"ด.ญ.อัฟนาน ลาเตะ")</f>
        <v>ด.ญ.อัฟนาน ลาเตะ</v>
      </c>
      <c r="C734" s="3" t="str">
        <f>IFERROR(__xludf.DUMMYFUNCTION("""COMPUTED_VALUE"""),"ม.2/6")</f>
        <v>ม.2/6</v>
      </c>
      <c r="D734" s="3" t="str">
        <f>IFERROR(__xludf.DUMMYFUNCTION("""COMPUTED_VALUE"""),"อก.1/6")</f>
        <v>อก.1/6</v>
      </c>
      <c r="E734" s="2" t="str">
        <f>IFERROR(__xludf.DUMMYFUNCTION("""COMPUTED_VALUE"""),"หญิง")</f>
        <v>หญิง</v>
      </c>
      <c r="F734" s="5" t="str">
        <f>IFERROR(__xludf.DUMMYFUNCTION("""COMPUTED_VALUE"""),"https://azizstan.net/student_image/25799.jpg")</f>
        <v>https://azizstan.net/student_image/25799.jpg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 t="str">
        <f>IFERROR(__xludf.DUMMYFUNCTION("""COMPUTED_VALUE"""),"25832")</f>
        <v>25832</v>
      </c>
      <c r="B735" s="3" t="str">
        <f>IFERROR(__xludf.DUMMYFUNCTION("""COMPUTED_VALUE"""),"ด.ญ.นูรนาซีฟา มาซา")</f>
        <v>ด.ญ.นูรนาซีฟา มาซา</v>
      </c>
      <c r="C735" s="3" t="str">
        <f>IFERROR(__xludf.DUMMYFUNCTION("""COMPUTED_VALUE"""),"ม.2/6")</f>
        <v>ม.2/6</v>
      </c>
      <c r="D735" s="3" t="str">
        <f>IFERROR(__xludf.DUMMYFUNCTION("""COMPUTED_VALUE"""),"อก.1/6")</f>
        <v>อก.1/6</v>
      </c>
      <c r="E735" s="2" t="str">
        <f>IFERROR(__xludf.DUMMYFUNCTION("""COMPUTED_VALUE"""),"หญิง")</f>
        <v>หญิง</v>
      </c>
      <c r="F735" s="5" t="str">
        <f>IFERROR(__xludf.DUMMYFUNCTION("""COMPUTED_VALUE"""),"https://azizstan.net/student_image/25832.jpg")</f>
        <v>https://azizstan.net/student_image/25832.jpg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 t="str">
        <f>IFERROR(__xludf.DUMMYFUNCTION("""COMPUTED_VALUE"""),"25844")</f>
        <v>25844</v>
      </c>
      <c r="B736" s="3" t="str">
        <f>IFERROR(__xludf.DUMMYFUNCTION("""COMPUTED_VALUE"""),"ด.ญ.นาริน สะแลแม็ง")</f>
        <v>ด.ญ.นาริน สะแลแม็ง</v>
      </c>
      <c r="C736" s="3" t="str">
        <f>IFERROR(__xludf.DUMMYFUNCTION("""COMPUTED_VALUE"""),"ม.2/6")</f>
        <v>ม.2/6</v>
      </c>
      <c r="D736" s="3" t="str">
        <f>IFERROR(__xludf.DUMMYFUNCTION("""COMPUTED_VALUE"""),"อก.1/6")</f>
        <v>อก.1/6</v>
      </c>
      <c r="E736" s="2" t="str">
        <f>IFERROR(__xludf.DUMMYFUNCTION("""COMPUTED_VALUE"""),"หญิง")</f>
        <v>หญิง</v>
      </c>
      <c r="F736" s="5" t="str">
        <f>IFERROR(__xludf.DUMMYFUNCTION("""COMPUTED_VALUE"""),"https://azizstan.net/student_image/25844.jpg")</f>
        <v>https://azizstan.net/student_image/25844.jpg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 t="str">
        <f>IFERROR(__xludf.DUMMYFUNCTION("""COMPUTED_VALUE"""),"25849")</f>
        <v>25849</v>
      </c>
      <c r="B737" s="3" t="str">
        <f>IFERROR(__xludf.DUMMYFUNCTION("""COMPUTED_VALUE"""),"ด.ญ.ซากีเราะห์ ปูเต๊ะ")</f>
        <v>ด.ญ.ซากีเราะห์ ปูเต๊ะ</v>
      </c>
      <c r="C737" s="3" t="str">
        <f>IFERROR(__xludf.DUMMYFUNCTION("""COMPUTED_VALUE"""),"ม.2/6")</f>
        <v>ม.2/6</v>
      </c>
      <c r="D737" s="3" t="str">
        <f>IFERROR(__xludf.DUMMYFUNCTION("""COMPUTED_VALUE"""),"อก.1/6")</f>
        <v>อก.1/6</v>
      </c>
      <c r="E737" s="2" t="str">
        <f>IFERROR(__xludf.DUMMYFUNCTION("""COMPUTED_VALUE"""),"หญิง")</f>
        <v>หญิง</v>
      </c>
      <c r="F737" s="5" t="str">
        <f>IFERROR(__xludf.DUMMYFUNCTION("""COMPUTED_VALUE"""),"https://azizstan.net/student_image/25849.jpg")</f>
        <v>https://azizstan.net/student_image/25849.jpg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 t="str">
        <f>IFERROR(__xludf.DUMMYFUNCTION("""COMPUTED_VALUE"""),"25866")</f>
        <v>25866</v>
      </c>
      <c r="B738" s="3" t="str">
        <f>IFERROR(__xludf.DUMMYFUNCTION("""COMPUTED_VALUE"""),"ด.ญ.อามานี เองตาร์")</f>
        <v>ด.ญ.อามานี เองตาร์</v>
      </c>
      <c r="C738" s="3" t="str">
        <f>IFERROR(__xludf.DUMMYFUNCTION("""COMPUTED_VALUE"""),"ม.2/6")</f>
        <v>ม.2/6</v>
      </c>
      <c r="D738" s="3" t="str">
        <f>IFERROR(__xludf.DUMMYFUNCTION("""COMPUTED_VALUE"""),"อก.1/6")</f>
        <v>อก.1/6</v>
      </c>
      <c r="E738" s="2" t="str">
        <f>IFERROR(__xludf.DUMMYFUNCTION("""COMPUTED_VALUE"""),"หญิง")</f>
        <v>หญิง</v>
      </c>
      <c r="F738" s="5" t="str">
        <f>IFERROR(__xludf.DUMMYFUNCTION("""COMPUTED_VALUE"""),"https://azizstan.net/student_image/25866.jpg")</f>
        <v>https://azizstan.net/student_image/25866.jpg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 t="str">
        <f>IFERROR(__xludf.DUMMYFUNCTION("""COMPUTED_VALUE"""),"25870")</f>
        <v>25870</v>
      </c>
      <c r="B739" s="3" t="str">
        <f>IFERROR(__xludf.DUMMYFUNCTION("""COMPUTED_VALUE"""),"ด.ญ.มัยดีญา ดาโอ๊ะมุสอ")</f>
        <v>ด.ญ.มัยดีญา ดาโอ๊ะมุสอ</v>
      </c>
      <c r="C739" s="3" t="str">
        <f>IFERROR(__xludf.DUMMYFUNCTION("""COMPUTED_VALUE"""),"ม.2/6")</f>
        <v>ม.2/6</v>
      </c>
      <c r="D739" s="3" t="str">
        <f>IFERROR(__xludf.DUMMYFUNCTION("""COMPUTED_VALUE"""),"อก.1/6")</f>
        <v>อก.1/6</v>
      </c>
      <c r="E739" s="2" t="str">
        <f>IFERROR(__xludf.DUMMYFUNCTION("""COMPUTED_VALUE"""),"หญิง")</f>
        <v>หญิง</v>
      </c>
      <c r="F739" s="5" t="str">
        <f>IFERROR(__xludf.DUMMYFUNCTION("""COMPUTED_VALUE"""),"https://azizstan.net/student_image/25870.jpg")</f>
        <v>https://azizstan.net/student_image/25870.jpg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 t="str">
        <f>IFERROR(__xludf.DUMMYFUNCTION("""COMPUTED_VALUE"""),"25875")</f>
        <v>25875</v>
      </c>
      <c r="B740" s="3" t="str">
        <f>IFERROR(__xludf.DUMMYFUNCTION("""COMPUTED_VALUE"""),"ด.ญ.นูรีซา เจะเลาะ")</f>
        <v>ด.ญ.นูรีซา เจะเลาะ</v>
      </c>
      <c r="C740" s="3" t="str">
        <f>IFERROR(__xludf.DUMMYFUNCTION("""COMPUTED_VALUE"""),"ม.2/6")</f>
        <v>ม.2/6</v>
      </c>
      <c r="D740" s="3" t="str">
        <f>IFERROR(__xludf.DUMMYFUNCTION("""COMPUTED_VALUE"""),"อก.1/6")</f>
        <v>อก.1/6</v>
      </c>
      <c r="E740" s="2" t="str">
        <f>IFERROR(__xludf.DUMMYFUNCTION("""COMPUTED_VALUE"""),"หญิง")</f>
        <v>หญิง</v>
      </c>
      <c r="F740" s="5" t="str">
        <f>IFERROR(__xludf.DUMMYFUNCTION("""COMPUTED_VALUE"""),"https://azizstan.net/student_image/25875.jpg")</f>
        <v>https://azizstan.net/student_image/25875.jpg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 t="str">
        <f>IFERROR(__xludf.DUMMYFUNCTION("""COMPUTED_VALUE"""),"25948")</f>
        <v>25948</v>
      </c>
      <c r="B741" s="3" t="str">
        <f>IFERROR(__xludf.DUMMYFUNCTION("""COMPUTED_VALUE"""),"ด.ญ.สุวรรณา มะหลี")</f>
        <v>ด.ญ.สุวรรณา มะหลี</v>
      </c>
      <c r="C741" s="3" t="str">
        <f>IFERROR(__xludf.DUMMYFUNCTION("""COMPUTED_VALUE"""),"ม.2/6")</f>
        <v>ม.2/6</v>
      </c>
      <c r="D741" s="3" t="str">
        <f>IFERROR(__xludf.DUMMYFUNCTION("""COMPUTED_VALUE"""),"อก.1/6")</f>
        <v>อก.1/6</v>
      </c>
      <c r="E741" s="2" t="str">
        <f>IFERROR(__xludf.DUMMYFUNCTION("""COMPUTED_VALUE"""),"หญิง")</f>
        <v>หญิง</v>
      </c>
      <c r="F741" s="5" t="str">
        <f>IFERROR(__xludf.DUMMYFUNCTION("""COMPUTED_VALUE"""),"https://azizstan.net/student_image/25948.jpg")</f>
        <v>https://azizstan.net/student_image/25948.jpg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 t="str">
        <f>IFERROR(__xludf.DUMMYFUNCTION("""COMPUTED_VALUE"""),"25960")</f>
        <v>25960</v>
      </c>
      <c r="B742" s="3" t="str">
        <f>IFERROR(__xludf.DUMMYFUNCTION("""COMPUTED_VALUE"""),"ด.ญ.นิฮัสนี สิเดะ")</f>
        <v>ด.ญ.นิฮัสนี สิเดะ</v>
      </c>
      <c r="C742" s="3" t="str">
        <f>IFERROR(__xludf.DUMMYFUNCTION("""COMPUTED_VALUE"""),"ม.2/6")</f>
        <v>ม.2/6</v>
      </c>
      <c r="D742" s="3" t="str">
        <f>IFERROR(__xludf.DUMMYFUNCTION("""COMPUTED_VALUE"""),"อก.1/6")</f>
        <v>อก.1/6</v>
      </c>
      <c r="E742" s="2" t="str">
        <f>IFERROR(__xludf.DUMMYFUNCTION("""COMPUTED_VALUE"""),"หญิง")</f>
        <v>หญิง</v>
      </c>
      <c r="F742" s="5" t="str">
        <f>IFERROR(__xludf.DUMMYFUNCTION("""COMPUTED_VALUE"""),"https://azizstan.net/student_image/25960.jpg")</f>
        <v>https://azizstan.net/student_image/25960.jpg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 t="str">
        <f>IFERROR(__xludf.DUMMYFUNCTION("""COMPUTED_VALUE"""),"25964")</f>
        <v>25964</v>
      </c>
      <c r="B743" s="3" t="str">
        <f>IFERROR(__xludf.DUMMYFUNCTION("""COMPUTED_VALUE"""),"ด.ญ.นิฟาเดีย หะยียูโซะ")</f>
        <v>ด.ญ.นิฟาเดีย หะยียูโซะ</v>
      </c>
      <c r="C743" s="3" t="str">
        <f>IFERROR(__xludf.DUMMYFUNCTION("""COMPUTED_VALUE"""),"ม.2/6")</f>
        <v>ม.2/6</v>
      </c>
      <c r="D743" s="3" t="str">
        <f>IFERROR(__xludf.DUMMYFUNCTION("""COMPUTED_VALUE"""),"อก.1/6")</f>
        <v>อก.1/6</v>
      </c>
      <c r="E743" s="2" t="str">
        <f>IFERROR(__xludf.DUMMYFUNCTION("""COMPUTED_VALUE"""),"หญิง")</f>
        <v>หญิง</v>
      </c>
      <c r="F743" s="5" t="str">
        <f>IFERROR(__xludf.DUMMYFUNCTION("""COMPUTED_VALUE"""),"https://azizstan.net/student_image/25964.jpg")</f>
        <v>https://azizstan.net/student_image/25964.jpg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 t="str">
        <f>IFERROR(__xludf.DUMMYFUNCTION("""COMPUTED_VALUE"""),"25976")</f>
        <v>25976</v>
      </c>
      <c r="B744" s="3" t="str">
        <f>IFERROR(__xludf.DUMMYFUNCTION("""COMPUTED_VALUE"""),"ด.ญ.ฮานีฟา มะมิง")</f>
        <v>ด.ญ.ฮานีฟา มะมิง</v>
      </c>
      <c r="C744" s="3" t="str">
        <f>IFERROR(__xludf.DUMMYFUNCTION("""COMPUTED_VALUE"""),"ม.2/6")</f>
        <v>ม.2/6</v>
      </c>
      <c r="D744" s="3" t="str">
        <f>IFERROR(__xludf.DUMMYFUNCTION("""COMPUTED_VALUE"""),"อก.1/6")</f>
        <v>อก.1/6</v>
      </c>
      <c r="E744" s="2" t="str">
        <f>IFERROR(__xludf.DUMMYFUNCTION("""COMPUTED_VALUE"""),"หญิง")</f>
        <v>หญิง</v>
      </c>
      <c r="F744" s="5" t="str">
        <f>IFERROR(__xludf.DUMMYFUNCTION("""COMPUTED_VALUE"""),"https://azizstan.net/student_image/25976.jpg")</f>
        <v>https://azizstan.net/student_image/25976.jpg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 t="str">
        <f>IFERROR(__xludf.DUMMYFUNCTION("""COMPUTED_VALUE"""),"25977")</f>
        <v>25977</v>
      </c>
      <c r="B745" s="3" t="str">
        <f>IFERROR(__xludf.DUMMYFUNCTION("""COMPUTED_VALUE"""),"ด.ญ.นูรฮาฟีซา อามีน")</f>
        <v>ด.ญ.นูรฮาฟีซา อามีน</v>
      </c>
      <c r="C745" s="3" t="str">
        <f>IFERROR(__xludf.DUMMYFUNCTION("""COMPUTED_VALUE"""),"ม.2/6")</f>
        <v>ม.2/6</v>
      </c>
      <c r="D745" s="3" t="str">
        <f>IFERROR(__xludf.DUMMYFUNCTION("""COMPUTED_VALUE"""),"อก.1/6")</f>
        <v>อก.1/6</v>
      </c>
      <c r="E745" s="2" t="str">
        <f>IFERROR(__xludf.DUMMYFUNCTION("""COMPUTED_VALUE"""),"หญิง")</f>
        <v>หญิง</v>
      </c>
      <c r="F745" s="5" t="str">
        <f>IFERROR(__xludf.DUMMYFUNCTION("""COMPUTED_VALUE"""),"https://azizstan.net/student_image/25977.jpg")</f>
        <v>https://azizstan.net/student_image/25977.jpg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 t="str">
        <f>IFERROR(__xludf.DUMMYFUNCTION("""COMPUTED_VALUE"""),"25984")</f>
        <v>25984</v>
      </c>
      <c r="B746" s="3" t="str">
        <f>IFERROR(__xludf.DUMMYFUNCTION("""COMPUTED_VALUE"""),"ด.ญ.สุไวบะห์ สะแลบอกอ")</f>
        <v>ด.ญ.สุไวบะห์ สะแลบอกอ</v>
      </c>
      <c r="C746" s="3" t="str">
        <f>IFERROR(__xludf.DUMMYFUNCTION("""COMPUTED_VALUE"""),"ม.2/6")</f>
        <v>ม.2/6</v>
      </c>
      <c r="D746" s="3" t="str">
        <f>IFERROR(__xludf.DUMMYFUNCTION("""COMPUTED_VALUE"""),"อก.1/6")</f>
        <v>อก.1/6</v>
      </c>
      <c r="E746" s="2" t="str">
        <f>IFERROR(__xludf.DUMMYFUNCTION("""COMPUTED_VALUE"""),"หญิง")</f>
        <v>หญิง</v>
      </c>
      <c r="F746" s="5" t="str">
        <f>IFERROR(__xludf.DUMMYFUNCTION("""COMPUTED_VALUE"""),"https://azizstan.net/student_image/25984.jpg")</f>
        <v>https://azizstan.net/student_image/25984.jpg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 t="str">
        <f>IFERROR(__xludf.DUMMYFUNCTION("""COMPUTED_VALUE"""),"26008")</f>
        <v>26008</v>
      </c>
      <c r="B747" s="3" t="str">
        <f>IFERROR(__xludf.DUMMYFUNCTION("""COMPUTED_VALUE"""),"ด.ญ.นูรญันนะฮ์ กองบก")</f>
        <v>ด.ญ.นูรญันนะฮ์ กองบก</v>
      </c>
      <c r="C747" s="3" t="str">
        <f>IFERROR(__xludf.DUMMYFUNCTION("""COMPUTED_VALUE"""),"ม.2/6")</f>
        <v>ม.2/6</v>
      </c>
      <c r="D747" s="3" t="str">
        <f>IFERROR(__xludf.DUMMYFUNCTION("""COMPUTED_VALUE"""),"อก.1/6")</f>
        <v>อก.1/6</v>
      </c>
      <c r="E747" s="2" t="str">
        <f>IFERROR(__xludf.DUMMYFUNCTION("""COMPUTED_VALUE"""),"หญิง")</f>
        <v>หญิง</v>
      </c>
      <c r="F747" s="5" t="str">
        <f>IFERROR(__xludf.DUMMYFUNCTION("""COMPUTED_VALUE"""),"https://azizstan.net/student_image/26008.jpg")</f>
        <v>https://azizstan.net/student_image/26008.jpg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 t="str">
        <f>IFERROR(__xludf.DUMMYFUNCTION("""COMPUTED_VALUE"""),"26012")</f>
        <v>26012</v>
      </c>
      <c r="B748" s="3" t="str">
        <f>IFERROR(__xludf.DUMMYFUNCTION("""COMPUTED_VALUE"""),"ด.ญ.แอมมีร่า เกื้อศิลป์")</f>
        <v>ด.ญ.แอมมีร่า เกื้อศิลป์</v>
      </c>
      <c r="C748" s="3" t="str">
        <f>IFERROR(__xludf.DUMMYFUNCTION("""COMPUTED_VALUE"""),"ม.2/6")</f>
        <v>ม.2/6</v>
      </c>
      <c r="D748" s="3" t="str">
        <f>IFERROR(__xludf.DUMMYFUNCTION("""COMPUTED_VALUE"""),"อก.1/6")</f>
        <v>อก.1/6</v>
      </c>
      <c r="E748" s="2" t="str">
        <f>IFERROR(__xludf.DUMMYFUNCTION("""COMPUTED_VALUE"""),"หญิง")</f>
        <v>หญิง</v>
      </c>
      <c r="F748" s="5" t="str">
        <f>IFERROR(__xludf.DUMMYFUNCTION("""COMPUTED_VALUE"""),"https://azizstan.net/student_image/26012.jpg")</f>
        <v>https://azizstan.net/student_image/26012.jpg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" t="str">
        <f>IFERROR(__xludf.DUMMYFUNCTION("""COMPUTED_VALUE"""),"26066")</f>
        <v>26066</v>
      </c>
      <c r="B749" s="3" t="str">
        <f>IFERROR(__xludf.DUMMYFUNCTION("""COMPUTED_VALUE"""),"ด.ญ.นูรฮีดายะห์ มะสารี")</f>
        <v>ด.ญ.นูรฮีดายะห์ มะสารี</v>
      </c>
      <c r="C749" s="3" t="str">
        <f>IFERROR(__xludf.DUMMYFUNCTION("""COMPUTED_VALUE"""),"ม.2/6")</f>
        <v>ม.2/6</v>
      </c>
      <c r="D749" s="3" t="str">
        <f>IFERROR(__xludf.DUMMYFUNCTION("""COMPUTED_VALUE"""),"อก.1/6")</f>
        <v>อก.1/6</v>
      </c>
      <c r="E749" s="2" t="str">
        <f>IFERROR(__xludf.DUMMYFUNCTION("""COMPUTED_VALUE"""),"หญิง")</f>
        <v>หญิง</v>
      </c>
      <c r="F749" s="5" t="str">
        <f>IFERROR(__xludf.DUMMYFUNCTION("""COMPUTED_VALUE"""),"https://azizstan.net/student_image/26066.jpg")</f>
        <v>https://azizstan.net/student_image/26066.jpg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" t="str">
        <f>IFERROR(__xludf.DUMMYFUNCTION("""COMPUTED_VALUE"""),"26671")</f>
        <v>26671</v>
      </c>
      <c r="B750" s="3" t="str">
        <f>IFERROR(__xludf.DUMMYFUNCTION("""COMPUTED_VALUE"""),"ด.ญ.ต่วนอามีนา แซแร")</f>
        <v>ด.ญ.ต่วนอามีนา แซแร</v>
      </c>
      <c r="C750" s="3" t="str">
        <f>IFERROR(__xludf.DUMMYFUNCTION("""COMPUTED_VALUE"""),"ม.2/6")</f>
        <v>ม.2/6</v>
      </c>
      <c r="D750" s="3" t="str">
        <f>IFERROR(__xludf.DUMMYFUNCTION("""COMPUTED_VALUE"""),"อก.1/6")</f>
        <v>อก.1/6</v>
      </c>
      <c r="E750" s="2" t="str">
        <f>IFERROR(__xludf.DUMMYFUNCTION("""COMPUTED_VALUE"""),"หญิง")</f>
        <v>หญิง</v>
      </c>
      <c r="F750" s="5" t="str">
        <f>IFERROR(__xludf.DUMMYFUNCTION("""COMPUTED_VALUE"""),"https://azizstan.net/student_image/26671.jpg")</f>
        <v>https://azizstan.net/student_image/26671.jpg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 t="str">
        <f>IFERROR(__xludf.DUMMYFUNCTION("""COMPUTED_VALUE"""),"25372")</f>
        <v>25372</v>
      </c>
      <c r="B751" s="3" t="str">
        <f>IFERROR(__xludf.DUMMYFUNCTION("""COMPUTED_VALUE"""),"ด.ญ.โซฟียะห์ มิเร็ม")</f>
        <v>ด.ญ.โซฟียะห์ มิเร็ม</v>
      </c>
      <c r="C751" s="3" t="str">
        <f>IFERROR(__xludf.DUMMYFUNCTION("""COMPUTED_VALUE"""),"ม.2/7")</f>
        <v>ม.2/7</v>
      </c>
      <c r="D751" s="3" t="str">
        <f>IFERROR(__xludf.DUMMYFUNCTION("""COMPUTED_VALUE"""),"อก.1/7")</f>
        <v>อก.1/7</v>
      </c>
      <c r="E751" s="2" t="str">
        <f>IFERROR(__xludf.DUMMYFUNCTION("""COMPUTED_VALUE"""),"หญิง")</f>
        <v>หญิง</v>
      </c>
      <c r="F751" s="5" t="str">
        <f>IFERROR(__xludf.DUMMYFUNCTION("""COMPUTED_VALUE"""),"https://azizstan.net/student_image/25372.jpg")</f>
        <v>https://azizstan.net/student_image/25372.jpg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 t="str">
        <f>IFERROR(__xludf.DUMMYFUNCTION("""COMPUTED_VALUE"""),"25387")</f>
        <v>25387</v>
      </c>
      <c r="B752" s="3" t="str">
        <f>IFERROR(__xludf.DUMMYFUNCTION("""COMPUTED_VALUE"""),"ด.ญ.ศิริญญา เจะโซะ")</f>
        <v>ด.ญ.ศิริญญา เจะโซะ</v>
      </c>
      <c r="C752" s="3" t="str">
        <f>IFERROR(__xludf.DUMMYFUNCTION("""COMPUTED_VALUE"""),"ม.2/7")</f>
        <v>ม.2/7</v>
      </c>
      <c r="D752" s="3" t="str">
        <f>IFERROR(__xludf.DUMMYFUNCTION("""COMPUTED_VALUE"""),"อก.1/7")</f>
        <v>อก.1/7</v>
      </c>
      <c r="E752" s="2" t="str">
        <f>IFERROR(__xludf.DUMMYFUNCTION("""COMPUTED_VALUE"""),"หญิง")</f>
        <v>หญิง</v>
      </c>
      <c r="F752" s="5" t="str">
        <f>IFERROR(__xludf.DUMMYFUNCTION("""COMPUTED_VALUE"""),"https://azizstan.net/student_image/25387.jpg")</f>
        <v>https://azizstan.net/student_image/25387.jpg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 t="str">
        <f>IFERROR(__xludf.DUMMYFUNCTION("""COMPUTED_VALUE"""),"25448")</f>
        <v>25448</v>
      </c>
      <c r="B753" s="3" t="str">
        <f>IFERROR(__xludf.DUMMYFUNCTION("""COMPUTED_VALUE"""),"ด.ญ.นูรอาลีซา ยูโซะ")</f>
        <v>ด.ญ.นูรอาลีซา ยูโซะ</v>
      </c>
      <c r="C753" s="3" t="str">
        <f>IFERROR(__xludf.DUMMYFUNCTION("""COMPUTED_VALUE"""),"ม.2/7")</f>
        <v>ม.2/7</v>
      </c>
      <c r="D753" s="3" t="str">
        <f>IFERROR(__xludf.DUMMYFUNCTION("""COMPUTED_VALUE"""),"อก.1/7")</f>
        <v>อก.1/7</v>
      </c>
      <c r="E753" s="2" t="str">
        <f>IFERROR(__xludf.DUMMYFUNCTION("""COMPUTED_VALUE"""),"หญิง")</f>
        <v>หญิง</v>
      </c>
      <c r="F753" s="5" t="str">
        <f>IFERROR(__xludf.DUMMYFUNCTION("""COMPUTED_VALUE"""),"https://azizstan.net/student_image/25448.jpg")</f>
        <v>https://azizstan.net/student_image/25448.jpg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 t="str">
        <f>IFERROR(__xludf.DUMMYFUNCTION("""COMPUTED_VALUE"""),"25475")</f>
        <v>25475</v>
      </c>
      <c r="B754" s="3" t="str">
        <f>IFERROR(__xludf.DUMMYFUNCTION("""COMPUTED_VALUE"""),"ด.ญ.ซอฟีรา แซมา")</f>
        <v>ด.ญ.ซอฟีรา แซมา</v>
      </c>
      <c r="C754" s="3" t="str">
        <f>IFERROR(__xludf.DUMMYFUNCTION("""COMPUTED_VALUE"""),"ม.2/7")</f>
        <v>ม.2/7</v>
      </c>
      <c r="D754" s="3" t="str">
        <f>IFERROR(__xludf.DUMMYFUNCTION("""COMPUTED_VALUE"""),"อก.1/7")</f>
        <v>อก.1/7</v>
      </c>
      <c r="E754" s="2" t="str">
        <f>IFERROR(__xludf.DUMMYFUNCTION("""COMPUTED_VALUE"""),"หญิง")</f>
        <v>หญิง</v>
      </c>
      <c r="F754" s="5" t="str">
        <f>IFERROR(__xludf.DUMMYFUNCTION("""COMPUTED_VALUE"""),"https://azizstan.net/student_image/25475.jpg")</f>
        <v>https://azizstan.net/student_image/25475.jpg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 t="str">
        <f>IFERROR(__xludf.DUMMYFUNCTION("""COMPUTED_VALUE"""),"25491")</f>
        <v>25491</v>
      </c>
      <c r="B755" s="3" t="str">
        <f>IFERROR(__xludf.DUMMYFUNCTION("""COMPUTED_VALUE"""),"ด.ญ.นูรอายน์ นิอารียา")</f>
        <v>ด.ญ.นูรอายน์ นิอารียา</v>
      </c>
      <c r="C755" s="3" t="str">
        <f>IFERROR(__xludf.DUMMYFUNCTION("""COMPUTED_VALUE"""),"ม.2/7")</f>
        <v>ม.2/7</v>
      </c>
      <c r="D755" s="3" t="str">
        <f>IFERROR(__xludf.DUMMYFUNCTION("""COMPUTED_VALUE"""),"อก.1/7")</f>
        <v>อก.1/7</v>
      </c>
      <c r="E755" s="2" t="str">
        <f>IFERROR(__xludf.DUMMYFUNCTION("""COMPUTED_VALUE"""),"หญิง")</f>
        <v>หญิง</v>
      </c>
      <c r="F755" s="5" t="str">
        <f>IFERROR(__xludf.DUMMYFUNCTION("""COMPUTED_VALUE"""),"https://azizstan.net/student_image/25491.jpg")</f>
        <v>https://azizstan.net/student_image/25491.jpg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 t="str">
        <f>IFERROR(__xludf.DUMMYFUNCTION("""COMPUTED_VALUE"""),"25513")</f>
        <v>25513</v>
      </c>
      <c r="B756" s="3" t="str">
        <f>IFERROR(__xludf.DUMMYFUNCTION("""COMPUTED_VALUE"""),"ด.ญ.นูรุลอัฮลาม มูซอ")</f>
        <v>ด.ญ.นูรุลอัฮลาม มูซอ</v>
      </c>
      <c r="C756" s="3" t="str">
        <f>IFERROR(__xludf.DUMMYFUNCTION("""COMPUTED_VALUE"""),"ม.2/7")</f>
        <v>ม.2/7</v>
      </c>
      <c r="D756" s="3" t="str">
        <f>IFERROR(__xludf.DUMMYFUNCTION("""COMPUTED_VALUE"""),"อก.1/7")</f>
        <v>อก.1/7</v>
      </c>
      <c r="E756" s="2" t="str">
        <f>IFERROR(__xludf.DUMMYFUNCTION("""COMPUTED_VALUE"""),"หญิง")</f>
        <v>หญิง</v>
      </c>
      <c r="F756" s="5" t="str">
        <f>IFERROR(__xludf.DUMMYFUNCTION("""COMPUTED_VALUE"""),"https://azizstan.net/student_image/25513.jpg")</f>
        <v>https://azizstan.net/student_image/25513.jpg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 t="str">
        <f>IFERROR(__xludf.DUMMYFUNCTION("""COMPUTED_VALUE"""),"25569")</f>
        <v>25569</v>
      </c>
      <c r="B757" s="3" t="str">
        <f>IFERROR(__xludf.DUMMYFUNCTION("""COMPUTED_VALUE"""),"ด.ญ.นุรอซิกีน อาแด")</f>
        <v>ด.ญ.นุรอซิกีน อาแด</v>
      </c>
      <c r="C757" s="3" t="str">
        <f>IFERROR(__xludf.DUMMYFUNCTION("""COMPUTED_VALUE"""),"ม.2/7")</f>
        <v>ม.2/7</v>
      </c>
      <c r="D757" s="3" t="str">
        <f>IFERROR(__xludf.DUMMYFUNCTION("""COMPUTED_VALUE"""),"อก.1/7")</f>
        <v>อก.1/7</v>
      </c>
      <c r="E757" s="2" t="str">
        <f>IFERROR(__xludf.DUMMYFUNCTION("""COMPUTED_VALUE"""),"หญิง")</f>
        <v>หญิง</v>
      </c>
      <c r="F757" s="5" t="str">
        <f>IFERROR(__xludf.DUMMYFUNCTION("""COMPUTED_VALUE"""),"https://azizstan.net/student_image/25569.jpg")</f>
        <v>https://azizstan.net/student_image/25569.jpg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" t="str">
        <f>IFERROR(__xludf.DUMMYFUNCTION("""COMPUTED_VALUE"""),"25574")</f>
        <v>25574</v>
      </c>
      <c r="B758" s="3" t="str">
        <f>IFERROR(__xludf.DUMMYFUNCTION("""COMPUTED_VALUE"""),"ด.ญ.ปริญญา สาหลำ")</f>
        <v>ด.ญ.ปริญญา สาหลำ</v>
      </c>
      <c r="C758" s="3" t="str">
        <f>IFERROR(__xludf.DUMMYFUNCTION("""COMPUTED_VALUE"""),"ม.2/7")</f>
        <v>ม.2/7</v>
      </c>
      <c r="D758" s="3" t="str">
        <f>IFERROR(__xludf.DUMMYFUNCTION("""COMPUTED_VALUE"""),"อก.1/7")</f>
        <v>อก.1/7</v>
      </c>
      <c r="E758" s="2" t="str">
        <f>IFERROR(__xludf.DUMMYFUNCTION("""COMPUTED_VALUE"""),"หญิง")</f>
        <v>หญิง</v>
      </c>
      <c r="F758" s="5" t="str">
        <f>IFERROR(__xludf.DUMMYFUNCTION("""COMPUTED_VALUE"""),"https://azizstan.net/student_image/25574.jpg")</f>
        <v>https://azizstan.net/student_image/25574.jpg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" t="str">
        <f>IFERROR(__xludf.DUMMYFUNCTION("""COMPUTED_VALUE"""),"25578")</f>
        <v>25578</v>
      </c>
      <c r="B759" s="3" t="str">
        <f>IFERROR(__xludf.DUMMYFUNCTION("""COMPUTED_VALUE"""),"ด.ญ.นูรฮาซีกีน แวหะยี")</f>
        <v>ด.ญ.นูรฮาซีกีน แวหะยี</v>
      </c>
      <c r="C759" s="3" t="str">
        <f>IFERROR(__xludf.DUMMYFUNCTION("""COMPUTED_VALUE"""),"ม.2/7")</f>
        <v>ม.2/7</v>
      </c>
      <c r="D759" s="3" t="str">
        <f>IFERROR(__xludf.DUMMYFUNCTION("""COMPUTED_VALUE"""),"อก.1/7")</f>
        <v>อก.1/7</v>
      </c>
      <c r="E759" s="2" t="str">
        <f>IFERROR(__xludf.DUMMYFUNCTION("""COMPUTED_VALUE"""),"หญิง")</f>
        <v>หญิง</v>
      </c>
      <c r="F759" s="5" t="str">
        <f>IFERROR(__xludf.DUMMYFUNCTION("""COMPUTED_VALUE"""),"https://azizstan.net/student_image/25578.jpg")</f>
        <v>https://azizstan.net/student_image/25578.jpg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" t="str">
        <f>IFERROR(__xludf.DUMMYFUNCTION("""COMPUTED_VALUE"""),"25596")</f>
        <v>25596</v>
      </c>
      <c r="B760" s="3" t="str">
        <f>IFERROR(__xludf.DUMMYFUNCTION("""COMPUTED_VALUE"""),"ด.ญ.ฟาฏอรอนี โต๊ะหลาง")</f>
        <v>ด.ญ.ฟาฏอรอนี โต๊ะหลาง</v>
      </c>
      <c r="C760" s="3" t="str">
        <f>IFERROR(__xludf.DUMMYFUNCTION("""COMPUTED_VALUE"""),"ม.2/7")</f>
        <v>ม.2/7</v>
      </c>
      <c r="D760" s="3" t="str">
        <f>IFERROR(__xludf.DUMMYFUNCTION("""COMPUTED_VALUE"""),"อก.1/7")</f>
        <v>อก.1/7</v>
      </c>
      <c r="E760" s="2" t="str">
        <f>IFERROR(__xludf.DUMMYFUNCTION("""COMPUTED_VALUE"""),"หญิง")</f>
        <v>หญิง</v>
      </c>
      <c r="F760" s="5" t="str">
        <f>IFERROR(__xludf.DUMMYFUNCTION("""COMPUTED_VALUE"""),"https://azizstan.net/student_image/25596.jpg")</f>
        <v>https://azizstan.net/student_image/25596.jpg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" t="str">
        <f>IFERROR(__xludf.DUMMYFUNCTION("""COMPUTED_VALUE"""),"25609")</f>
        <v>25609</v>
      </c>
      <c r="B761" s="3" t="str">
        <f>IFERROR(__xludf.DUMMYFUNCTION("""COMPUTED_VALUE"""),"ด.ญ.นูรูลฮูดา มะลี")</f>
        <v>ด.ญ.นูรูลฮูดา มะลี</v>
      </c>
      <c r="C761" s="3" t="str">
        <f>IFERROR(__xludf.DUMMYFUNCTION("""COMPUTED_VALUE"""),"ม.2/7")</f>
        <v>ม.2/7</v>
      </c>
      <c r="D761" s="3" t="str">
        <f>IFERROR(__xludf.DUMMYFUNCTION("""COMPUTED_VALUE"""),"อก.1/7")</f>
        <v>อก.1/7</v>
      </c>
      <c r="E761" s="2" t="str">
        <f>IFERROR(__xludf.DUMMYFUNCTION("""COMPUTED_VALUE"""),"หญิง")</f>
        <v>หญิง</v>
      </c>
      <c r="F761" s="5" t="str">
        <f>IFERROR(__xludf.DUMMYFUNCTION("""COMPUTED_VALUE"""),"https://azizstan.net/student_image/25609.jpg")</f>
        <v>https://azizstan.net/student_image/25609.jpg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" t="str">
        <f>IFERROR(__xludf.DUMMYFUNCTION("""COMPUTED_VALUE"""),"25610")</f>
        <v>25610</v>
      </c>
      <c r="B762" s="3" t="str">
        <f>IFERROR(__xludf.DUMMYFUNCTION("""COMPUTED_VALUE"""),"ด.ญ.ยิ่งลักษณ์ สิงสาโร")</f>
        <v>ด.ญ.ยิ่งลักษณ์ สิงสาโร</v>
      </c>
      <c r="C762" s="3" t="str">
        <f>IFERROR(__xludf.DUMMYFUNCTION("""COMPUTED_VALUE"""),"ม.2/7")</f>
        <v>ม.2/7</v>
      </c>
      <c r="D762" s="3" t="str">
        <f>IFERROR(__xludf.DUMMYFUNCTION("""COMPUTED_VALUE"""),"อก.1/7")</f>
        <v>อก.1/7</v>
      </c>
      <c r="E762" s="2" t="str">
        <f>IFERROR(__xludf.DUMMYFUNCTION("""COMPUTED_VALUE"""),"หญิง")</f>
        <v>หญิง</v>
      </c>
      <c r="F762" s="5" t="str">
        <f>IFERROR(__xludf.DUMMYFUNCTION("""COMPUTED_VALUE"""),"https://azizstan.net/student_image/25610.jpg")</f>
        <v>https://azizstan.net/student_image/25610.jpg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 t="str">
        <f>IFERROR(__xludf.DUMMYFUNCTION("""COMPUTED_VALUE"""),"25611")</f>
        <v>25611</v>
      </c>
      <c r="B763" s="3" t="str">
        <f>IFERROR(__xludf.DUMMYFUNCTION("""COMPUTED_VALUE"""),"ด.ญ.อัซวานา สาเล็ง")</f>
        <v>ด.ญ.อัซวานา สาเล็ง</v>
      </c>
      <c r="C763" s="3" t="str">
        <f>IFERROR(__xludf.DUMMYFUNCTION("""COMPUTED_VALUE"""),"ม.2/7")</f>
        <v>ม.2/7</v>
      </c>
      <c r="D763" s="3" t="str">
        <f>IFERROR(__xludf.DUMMYFUNCTION("""COMPUTED_VALUE"""),"อก.1/7")</f>
        <v>อก.1/7</v>
      </c>
      <c r="E763" s="2" t="str">
        <f>IFERROR(__xludf.DUMMYFUNCTION("""COMPUTED_VALUE"""),"หญิง")</f>
        <v>หญิง</v>
      </c>
      <c r="F763" s="5" t="str">
        <f>IFERROR(__xludf.DUMMYFUNCTION("""COMPUTED_VALUE"""),"https://azizstan.net/student_image/25611.jpg")</f>
        <v>https://azizstan.net/student_image/25611.jpg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 t="str">
        <f>IFERROR(__xludf.DUMMYFUNCTION("""COMPUTED_VALUE"""),"25614")</f>
        <v>25614</v>
      </c>
      <c r="B764" s="3" t="str">
        <f>IFERROR(__xludf.DUMMYFUNCTION("""COMPUTED_VALUE"""),"ด.ญ.ซัลวานีย์ มะเส็น")</f>
        <v>ด.ญ.ซัลวานีย์ มะเส็น</v>
      </c>
      <c r="C764" s="3" t="str">
        <f>IFERROR(__xludf.DUMMYFUNCTION("""COMPUTED_VALUE"""),"ม.2/7")</f>
        <v>ม.2/7</v>
      </c>
      <c r="D764" s="3" t="str">
        <f>IFERROR(__xludf.DUMMYFUNCTION("""COMPUTED_VALUE"""),"อก.1/7")</f>
        <v>อก.1/7</v>
      </c>
      <c r="E764" s="2" t="str">
        <f>IFERROR(__xludf.DUMMYFUNCTION("""COMPUTED_VALUE"""),"หญิง")</f>
        <v>หญิง</v>
      </c>
      <c r="F764" s="5" t="str">
        <f>IFERROR(__xludf.DUMMYFUNCTION("""COMPUTED_VALUE"""),"https://azizstan.net/student_image/25614.jpg")</f>
        <v>https://azizstan.net/student_image/25614.jpg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" t="str">
        <f>IFERROR(__xludf.DUMMYFUNCTION("""COMPUTED_VALUE"""),"25617")</f>
        <v>25617</v>
      </c>
      <c r="B765" s="3" t="str">
        <f>IFERROR(__xludf.DUMMYFUNCTION("""COMPUTED_VALUE"""),"ด.ญ.นูรมา ยามา")</f>
        <v>ด.ญ.นูรมา ยามา</v>
      </c>
      <c r="C765" s="3" t="str">
        <f>IFERROR(__xludf.DUMMYFUNCTION("""COMPUTED_VALUE"""),"ม.2/7")</f>
        <v>ม.2/7</v>
      </c>
      <c r="D765" s="3" t="str">
        <f>IFERROR(__xludf.DUMMYFUNCTION("""COMPUTED_VALUE"""),"อก.1/7")</f>
        <v>อก.1/7</v>
      </c>
      <c r="E765" s="2" t="str">
        <f>IFERROR(__xludf.DUMMYFUNCTION("""COMPUTED_VALUE"""),"หญิง")</f>
        <v>หญิง</v>
      </c>
      <c r="F765" s="5" t="str">
        <f>IFERROR(__xludf.DUMMYFUNCTION("""COMPUTED_VALUE"""),"https://azizstan.net/student_image/25617.jpg")</f>
        <v>https://azizstan.net/student_image/25617.jpg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" t="str">
        <f>IFERROR(__xludf.DUMMYFUNCTION("""COMPUTED_VALUE"""),"25627")</f>
        <v>25627</v>
      </c>
      <c r="B766" s="3" t="str">
        <f>IFERROR(__xludf.DUMMYFUNCTION("""COMPUTED_VALUE"""),"ด.ญ.รุสดา ดือเฆะ")</f>
        <v>ด.ญ.รุสดา ดือเฆะ</v>
      </c>
      <c r="C766" s="3" t="str">
        <f>IFERROR(__xludf.DUMMYFUNCTION("""COMPUTED_VALUE"""),"ม.2/7")</f>
        <v>ม.2/7</v>
      </c>
      <c r="D766" s="3" t="str">
        <f>IFERROR(__xludf.DUMMYFUNCTION("""COMPUTED_VALUE"""),"อก.1/7")</f>
        <v>อก.1/7</v>
      </c>
      <c r="E766" s="2" t="str">
        <f>IFERROR(__xludf.DUMMYFUNCTION("""COMPUTED_VALUE"""),"หญิง")</f>
        <v>หญิง</v>
      </c>
      <c r="F766" s="5" t="str">
        <f>IFERROR(__xludf.DUMMYFUNCTION("""COMPUTED_VALUE"""),"https://azizstan.net/student_image/25627.jpg")</f>
        <v>https://azizstan.net/student_image/25627.jpg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" t="str">
        <f>IFERROR(__xludf.DUMMYFUNCTION("""COMPUTED_VALUE"""),"25630")</f>
        <v>25630</v>
      </c>
      <c r="B767" s="3" t="str">
        <f>IFERROR(__xludf.DUMMYFUNCTION("""COMPUTED_VALUE"""),"ด.ญ.อิมตีนาน เจะเลง")</f>
        <v>ด.ญ.อิมตีนาน เจะเลง</v>
      </c>
      <c r="C767" s="3" t="str">
        <f>IFERROR(__xludf.DUMMYFUNCTION("""COMPUTED_VALUE"""),"ม.2/7")</f>
        <v>ม.2/7</v>
      </c>
      <c r="D767" s="3" t="str">
        <f>IFERROR(__xludf.DUMMYFUNCTION("""COMPUTED_VALUE"""),"อก.1/7")</f>
        <v>อก.1/7</v>
      </c>
      <c r="E767" s="2" t="str">
        <f>IFERROR(__xludf.DUMMYFUNCTION("""COMPUTED_VALUE"""),"หญิง")</f>
        <v>หญิง</v>
      </c>
      <c r="F767" s="5" t="str">
        <f>IFERROR(__xludf.DUMMYFUNCTION("""COMPUTED_VALUE"""),"https://azizstan.net/student_image/25630.jpg")</f>
        <v>https://azizstan.net/student_image/25630.jpg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" t="str">
        <f>IFERROR(__xludf.DUMMYFUNCTION("""COMPUTED_VALUE"""),"25679")</f>
        <v>25679</v>
      </c>
      <c r="B768" s="3" t="str">
        <f>IFERROR(__xludf.DUMMYFUNCTION("""COMPUTED_VALUE"""),"ด.ญ.นูรฟิตดาว มูซอ")</f>
        <v>ด.ญ.นูรฟิตดาว มูซอ</v>
      </c>
      <c r="C768" s="3" t="str">
        <f>IFERROR(__xludf.DUMMYFUNCTION("""COMPUTED_VALUE"""),"ม.2/7")</f>
        <v>ม.2/7</v>
      </c>
      <c r="D768" s="3" t="str">
        <f>IFERROR(__xludf.DUMMYFUNCTION("""COMPUTED_VALUE"""),"อก.1/7")</f>
        <v>อก.1/7</v>
      </c>
      <c r="E768" s="2" t="str">
        <f>IFERROR(__xludf.DUMMYFUNCTION("""COMPUTED_VALUE"""),"หญิง")</f>
        <v>หญิง</v>
      </c>
      <c r="F768" s="5" t="str">
        <f>IFERROR(__xludf.DUMMYFUNCTION("""COMPUTED_VALUE"""),"https://azizstan.net/student_image/25679.jpg")</f>
        <v>https://azizstan.net/student_image/25679.jpg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" t="str">
        <f>IFERROR(__xludf.DUMMYFUNCTION("""COMPUTED_VALUE"""),"25684")</f>
        <v>25684</v>
      </c>
      <c r="B769" s="3" t="str">
        <f>IFERROR(__xludf.DUMMYFUNCTION("""COMPUTED_VALUE"""),"ด.ญ.บีสมินลา มะเย็ง")</f>
        <v>ด.ญ.บีสมินลา มะเย็ง</v>
      </c>
      <c r="C769" s="3" t="str">
        <f>IFERROR(__xludf.DUMMYFUNCTION("""COMPUTED_VALUE"""),"ม.2/7")</f>
        <v>ม.2/7</v>
      </c>
      <c r="D769" s="3" t="str">
        <f>IFERROR(__xludf.DUMMYFUNCTION("""COMPUTED_VALUE"""),"อก.1/7")</f>
        <v>อก.1/7</v>
      </c>
      <c r="E769" s="2" t="str">
        <f>IFERROR(__xludf.DUMMYFUNCTION("""COMPUTED_VALUE"""),"หญิง")</f>
        <v>หญิง</v>
      </c>
      <c r="F769" s="5" t="str">
        <f>IFERROR(__xludf.DUMMYFUNCTION("""COMPUTED_VALUE"""),"https://azizstan.net/student_image/25684.jpg")</f>
        <v>https://azizstan.net/student_image/25684.jpg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 t="str">
        <f>IFERROR(__xludf.DUMMYFUNCTION("""COMPUTED_VALUE"""),"25685")</f>
        <v>25685</v>
      </c>
      <c r="B770" s="3" t="str">
        <f>IFERROR(__xludf.DUMMYFUNCTION("""COMPUTED_VALUE"""),"ด.ญ.นุไอนี บากา")</f>
        <v>ด.ญ.นุไอนี บากา</v>
      </c>
      <c r="C770" s="3" t="str">
        <f>IFERROR(__xludf.DUMMYFUNCTION("""COMPUTED_VALUE"""),"ม.2/7")</f>
        <v>ม.2/7</v>
      </c>
      <c r="D770" s="3" t="str">
        <f>IFERROR(__xludf.DUMMYFUNCTION("""COMPUTED_VALUE"""),"อก.1/7")</f>
        <v>อก.1/7</v>
      </c>
      <c r="E770" s="2" t="str">
        <f>IFERROR(__xludf.DUMMYFUNCTION("""COMPUTED_VALUE"""),"หญิง")</f>
        <v>หญิง</v>
      </c>
      <c r="F770" s="5" t="str">
        <f>IFERROR(__xludf.DUMMYFUNCTION("""COMPUTED_VALUE"""),"https://azizstan.net/student_image/25685.jpg")</f>
        <v>https://azizstan.net/student_image/25685.jpg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 t="str">
        <f>IFERROR(__xludf.DUMMYFUNCTION("""COMPUTED_VALUE"""),"25686")</f>
        <v>25686</v>
      </c>
      <c r="B771" s="3" t="str">
        <f>IFERROR(__xludf.DUMMYFUNCTION("""COMPUTED_VALUE"""),"ด.ญ.นูไรฮัน ยูโซะ")</f>
        <v>ด.ญ.นูไรฮัน ยูโซะ</v>
      </c>
      <c r="C771" s="3" t="str">
        <f>IFERROR(__xludf.DUMMYFUNCTION("""COMPUTED_VALUE"""),"ม.2/7")</f>
        <v>ม.2/7</v>
      </c>
      <c r="D771" s="3" t="str">
        <f>IFERROR(__xludf.DUMMYFUNCTION("""COMPUTED_VALUE"""),"อก.1/7")</f>
        <v>อก.1/7</v>
      </c>
      <c r="E771" s="2" t="str">
        <f>IFERROR(__xludf.DUMMYFUNCTION("""COMPUTED_VALUE"""),"หญิง")</f>
        <v>หญิง</v>
      </c>
      <c r="F771" s="5" t="str">
        <f>IFERROR(__xludf.DUMMYFUNCTION("""COMPUTED_VALUE"""),"https://azizstan.net/student_image/25686.jpg")</f>
        <v>https://azizstan.net/student_image/25686.jpg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 t="str">
        <f>IFERROR(__xludf.DUMMYFUNCTION("""COMPUTED_VALUE"""),"25692")</f>
        <v>25692</v>
      </c>
      <c r="B772" s="3" t="str">
        <f>IFERROR(__xludf.DUMMYFUNCTION("""COMPUTED_VALUE"""),"ด.ญ.ฟิรดาว หะมิ")</f>
        <v>ด.ญ.ฟิรดาว หะมิ</v>
      </c>
      <c r="C772" s="3" t="str">
        <f>IFERROR(__xludf.DUMMYFUNCTION("""COMPUTED_VALUE"""),"ม.2/7")</f>
        <v>ม.2/7</v>
      </c>
      <c r="D772" s="3" t="str">
        <f>IFERROR(__xludf.DUMMYFUNCTION("""COMPUTED_VALUE"""),"อก.1/7")</f>
        <v>อก.1/7</v>
      </c>
      <c r="E772" s="2" t="str">
        <f>IFERROR(__xludf.DUMMYFUNCTION("""COMPUTED_VALUE"""),"หญิง")</f>
        <v>หญิง</v>
      </c>
      <c r="F772" s="5" t="str">
        <f>IFERROR(__xludf.DUMMYFUNCTION("""COMPUTED_VALUE"""),"https://azizstan.net/student_image/25692.jpg")</f>
        <v>https://azizstan.net/student_image/25692.jpg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 t="str">
        <f>IFERROR(__xludf.DUMMYFUNCTION("""COMPUTED_VALUE"""),"25705")</f>
        <v>25705</v>
      </c>
      <c r="B773" s="3" t="str">
        <f>IFERROR(__xludf.DUMMYFUNCTION("""COMPUTED_VALUE"""),"ด.ญ.ฟารีดา หวังบู")</f>
        <v>ด.ญ.ฟารีดา หวังบู</v>
      </c>
      <c r="C773" s="3" t="str">
        <f>IFERROR(__xludf.DUMMYFUNCTION("""COMPUTED_VALUE"""),"ม.2/7")</f>
        <v>ม.2/7</v>
      </c>
      <c r="D773" s="3" t="str">
        <f>IFERROR(__xludf.DUMMYFUNCTION("""COMPUTED_VALUE"""),"อก.1/7")</f>
        <v>อก.1/7</v>
      </c>
      <c r="E773" s="2" t="str">
        <f>IFERROR(__xludf.DUMMYFUNCTION("""COMPUTED_VALUE"""),"หญิง")</f>
        <v>หญิง</v>
      </c>
      <c r="F773" s="5" t="str">
        <f>IFERROR(__xludf.DUMMYFUNCTION("""COMPUTED_VALUE"""),"https://azizstan.net/student_image/25705.jpg")</f>
        <v>https://azizstan.net/student_image/25705.jpg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" t="str">
        <f>IFERROR(__xludf.DUMMYFUNCTION("""COMPUTED_VALUE"""),"25718")</f>
        <v>25718</v>
      </c>
      <c r="B774" s="3" t="str">
        <f>IFERROR(__xludf.DUMMYFUNCTION("""COMPUTED_VALUE"""),"ด.ญ.สุดารัตน์ เจ๊ะกอม๊ะ")</f>
        <v>ด.ญ.สุดารัตน์ เจ๊ะกอม๊ะ</v>
      </c>
      <c r="C774" s="3" t="str">
        <f>IFERROR(__xludf.DUMMYFUNCTION("""COMPUTED_VALUE"""),"ม.2/7")</f>
        <v>ม.2/7</v>
      </c>
      <c r="D774" s="3" t="str">
        <f>IFERROR(__xludf.DUMMYFUNCTION("""COMPUTED_VALUE"""),"อก.1/7")</f>
        <v>อก.1/7</v>
      </c>
      <c r="E774" s="2" t="str">
        <f>IFERROR(__xludf.DUMMYFUNCTION("""COMPUTED_VALUE"""),"หญิง")</f>
        <v>หญิง</v>
      </c>
      <c r="F774" s="5" t="str">
        <f>IFERROR(__xludf.DUMMYFUNCTION("""COMPUTED_VALUE"""),"https://azizstan.net/student_image/25718.jpg")</f>
        <v>https://azizstan.net/student_image/25718.jpg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" t="str">
        <f>IFERROR(__xludf.DUMMYFUNCTION("""COMPUTED_VALUE"""),"25726")</f>
        <v>25726</v>
      </c>
      <c r="B775" s="3" t="str">
        <f>IFERROR(__xludf.DUMMYFUNCTION("""COMPUTED_VALUE"""),"ด.ญ.กัสวานี ซอมิง")</f>
        <v>ด.ญ.กัสวานี ซอมิง</v>
      </c>
      <c r="C775" s="3" t="str">
        <f>IFERROR(__xludf.DUMMYFUNCTION("""COMPUTED_VALUE"""),"ม.2/7")</f>
        <v>ม.2/7</v>
      </c>
      <c r="D775" s="3" t="str">
        <f>IFERROR(__xludf.DUMMYFUNCTION("""COMPUTED_VALUE"""),"อก.1/7")</f>
        <v>อก.1/7</v>
      </c>
      <c r="E775" s="2" t="str">
        <f>IFERROR(__xludf.DUMMYFUNCTION("""COMPUTED_VALUE"""),"หญิง")</f>
        <v>หญิง</v>
      </c>
      <c r="F775" s="5" t="str">
        <f>IFERROR(__xludf.DUMMYFUNCTION("""COMPUTED_VALUE"""),"https://azizstan.net/student_image/25726.jpg")</f>
        <v>https://azizstan.net/student_image/25726.jpg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 t="str">
        <f>IFERROR(__xludf.DUMMYFUNCTION("""COMPUTED_VALUE"""),"25736")</f>
        <v>25736</v>
      </c>
      <c r="B776" s="3" t="str">
        <f>IFERROR(__xludf.DUMMYFUNCTION("""COMPUTED_VALUE"""),"ด.ญ.ซีฮาม มะเซ็ง")</f>
        <v>ด.ญ.ซีฮาม มะเซ็ง</v>
      </c>
      <c r="C776" s="3" t="str">
        <f>IFERROR(__xludf.DUMMYFUNCTION("""COMPUTED_VALUE"""),"ม.2/7")</f>
        <v>ม.2/7</v>
      </c>
      <c r="D776" s="3" t="str">
        <f>IFERROR(__xludf.DUMMYFUNCTION("""COMPUTED_VALUE"""),"อก.1/7")</f>
        <v>อก.1/7</v>
      </c>
      <c r="E776" s="2" t="str">
        <f>IFERROR(__xludf.DUMMYFUNCTION("""COMPUTED_VALUE"""),"หญิง")</f>
        <v>หญิง</v>
      </c>
      <c r="F776" s="5" t="str">
        <f>IFERROR(__xludf.DUMMYFUNCTION("""COMPUTED_VALUE"""),"https://azizstan.net/student_image/25736.jpg")</f>
        <v>https://azizstan.net/student_image/25736.jpg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 t="str">
        <f>IFERROR(__xludf.DUMMYFUNCTION("""COMPUTED_VALUE"""),"25737")</f>
        <v>25737</v>
      </c>
      <c r="B777" s="3" t="str">
        <f>IFERROR(__xludf.DUMMYFUNCTION("""COMPUTED_VALUE"""),"ด.ญ.นุรกามีเลีย ตาเละ")</f>
        <v>ด.ญ.นุรกามีเลีย ตาเละ</v>
      </c>
      <c r="C777" s="3" t="str">
        <f>IFERROR(__xludf.DUMMYFUNCTION("""COMPUTED_VALUE"""),"ม.2/7")</f>
        <v>ม.2/7</v>
      </c>
      <c r="D777" s="3" t="str">
        <f>IFERROR(__xludf.DUMMYFUNCTION("""COMPUTED_VALUE"""),"อก.1/7")</f>
        <v>อก.1/7</v>
      </c>
      <c r="E777" s="2" t="str">
        <f>IFERROR(__xludf.DUMMYFUNCTION("""COMPUTED_VALUE"""),"หญิง")</f>
        <v>หญิง</v>
      </c>
      <c r="F777" s="5" t="str">
        <f>IFERROR(__xludf.DUMMYFUNCTION("""COMPUTED_VALUE"""),"https://azizstan.net/student_image/25737.jpg")</f>
        <v>https://azizstan.net/student_image/25737.jpg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 t="str">
        <f>IFERROR(__xludf.DUMMYFUNCTION("""COMPUTED_VALUE"""),"25810")</f>
        <v>25810</v>
      </c>
      <c r="B778" s="3" t="str">
        <f>IFERROR(__xludf.DUMMYFUNCTION("""COMPUTED_VALUE"""),"ด.ญ.นูรวาณี สาเร๊ะ")</f>
        <v>ด.ญ.นูรวาณี สาเร๊ะ</v>
      </c>
      <c r="C778" s="3" t="str">
        <f>IFERROR(__xludf.DUMMYFUNCTION("""COMPUTED_VALUE"""),"ม.2/7")</f>
        <v>ม.2/7</v>
      </c>
      <c r="D778" s="3" t="str">
        <f>IFERROR(__xludf.DUMMYFUNCTION("""COMPUTED_VALUE"""),"อก.1/7")</f>
        <v>อก.1/7</v>
      </c>
      <c r="E778" s="2" t="str">
        <f>IFERROR(__xludf.DUMMYFUNCTION("""COMPUTED_VALUE"""),"หญิง")</f>
        <v>หญิง</v>
      </c>
      <c r="F778" s="5" t="str">
        <f>IFERROR(__xludf.DUMMYFUNCTION("""COMPUTED_VALUE"""),"https://azizstan.net/student_image/25810.jpg")</f>
        <v>https://azizstan.net/student_image/25810.jpg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 t="str">
        <f>IFERROR(__xludf.DUMMYFUNCTION("""COMPUTED_VALUE"""),"25818")</f>
        <v>25818</v>
      </c>
      <c r="B779" s="3" t="str">
        <f>IFERROR(__xludf.DUMMYFUNCTION("""COMPUTED_VALUE"""),"ด.ญ.สีตีมารียาณี สูหลง")</f>
        <v>ด.ญ.สีตีมารียาณี สูหลง</v>
      </c>
      <c r="C779" s="3" t="str">
        <f>IFERROR(__xludf.DUMMYFUNCTION("""COMPUTED_VALUE"""),"ม.2/7")</f>
        <v>ม.2/7</v>
      </c>
      <c r="D779" s="3" t="str">
        <f>IFERROR(__xludf.DUMMYFUNCTION("""COMPUTED_VALUE"""),"อก.1/7")</f>
        <v>อก.1/7</v>
      </c>
      <c r="E779" s="2" t="str">
        <f>IFERROR(__xludf.DUMMYFUNCTION("""COMPUTED_VALUE"""),"หญิง")</f>
        <v>หญิง</v>
      </c>
      <c r="F779" s="5" t="str">
        <f>IFERROR(__xludf.DUMMYFUNCTION("""COMPUTED_VALUE"""),"https://azizstan.net/student_image/25818.jpg")</f>
        <v>https://azizstan.net/student_image/25818.jpg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 t="str">
        <f>IFERROR(__xludf.DUMMYFUNCTION("""COMPUTED_VALUE"""),"25831")</f>
        <v>25831</v>
      </c>
      <c r="B780" s="3" t="str">
        <f>IFERROR(__xludf.DUMMYFUNCTION("""COMPUTED_VALUE"""),"ด.ญ.ฟิตตรี สะนอยานยา")</f>
        <v>ด.ญ.ฟิตตรี สะนอยานยา</v>
      </c>
      <c r="C780" s="3" t="str">
        <f>IFERROR(__xludf.DUMMYFUNCTION("""COMPUTED_VALUE"""),"ม.2/7")</f>
        <v>ม.2/7</v>
      </c>
      <c r="D780" s="3" t="str">
        <f>IFERROR(__xludf.DUMMYFUNCTION("""COMPUTED_VALUE"""),"อก.1/7")</f>
        <v>อก.1/7</v>
      </c>
      <c r="E780" s="2" t="str">
        <f>IFERROR(__xludf.DUMMYFUNCTION("""COMPUTED_VALUE"""),"หญิง")</f>
        <v>หญิง</v>
      </c>
      <c r="F780" s="5" t="str">
        <f>IFERROR(__xludf.DUMMYFUNCTION("""COMPUTED_VALUE"""),"https://azizstan.net/student_image/25831.jpg")</f>
        <v>https://azizstan.net/student_image/25831.jpg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 t="str">
        <f>IFERROR(__xludf.DUMMYFUNCTION("""COMPUTED_VALUE"""),"25852")</f>
        <v>25852</v>
      </c>
      <c r="B781" s="3" t="str">
        <f>IFERROR(__xludf.DUMMYFUNCTION("""COMPUTED_VALUE"""),"ด.ญ.นูรีน ดอเล๊าะอุมา")</f>
        <v>ด.ญ.นูรีน ดอเล๊าะอุมา</v>
      </c>
      <c r="C781" s="3" t="str">
        <f>IFERROR(__xludf.DUMMYFUNCTION("""COMPUTED_VALUE"""),"ม.2/7")</f>
        <v>ม.2/7</v>
      </c>
      <c r="D781" s="3" t="str">
        <f>IFERROR(__xludf.DUMMYFUNCTION("""COMPUTED_VALUE"""),"อก.1/7")</f>
        <v>อก.1/7</v>
      </c>
      <c r="E781" s="2" t="str">
        <f>IFERROR(__xludf.DUMMYFUNCTION("""COMPUTED_VALUE"""),"หญิง")</f>
        <v>หญิง</v>
      </c>
      <c r="F781" s="5" t="str">
        <f>IFERROR(__xludf.DUMMYFUNCTION("""COMPUTED_VALUE"""),"https://azizstan.net/student_image/25852.jpg")</f>
        <v>https://azizstan.net/student_image/25852.jpg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 t="str">
        <f>IFERROR(__xludf.DUMMYFUNCTION("""COMPUTED_VALUE"""),"25872")</f>
        <v>25872</v>
      </c>
      <c r="B782" s="3" t="str">
        <f>IFERROR(__xludf.DUMMYFUNCTION("""COMPUTED_VALUE"""),"ด.ญ.อัสมาวาตี ดุลยดากรณ์")</f>
        <v>ด.ญ.อัสมาวาตี ดุลยดากรณ์</v>
      </c>
      <c r="C782" s="3" t="str">
        <f>IFERROR(__xludf.DUMMYFUNCTION("""COMPUTED_VALUE"""),"ม.2/7")</f>
        <v>ม.2/7</v>
      </c>
      <c r="D782" s="3" t="str">
        <f>IFERROR(__xludf.DUMMYFUNCTION("""COMPUTED_VALUE"""),"อก.1/7")</f>
        <v>อก.1/7</v>
      </c>
      <c r="E782" s="2" t="str">
        <f>IFERROR(__xludf.DUMMYFUNCTION("""COMPUTED_VALUE"""),"หญิง")</f>
        <v>หญิง</v>
      </c>
      <c r="F782" s="5" t="str">
        <f>IFERROR(__xludf.DUMMYFUNCTION("""COMPUTED_VALUE"""),"https://azizstan.net/student_image/25872.jpg")</f>
        <v>https://azizstan.net/student_image/25872.jpg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 t="str">
        <f>IFERROR(__xludf.DUMMYFUNCTION("""COMPUTED_VALUE"""),"25886")</f>
        <v>25886</v>
      </c>
      <c r="B783" s="3" t="str">
        <f>IFERROR(__xludf.DUMMYFUNCTION("""COMPUTED_VALUE"""),"ด.ญ.ฟิรดาว สาเมาะ")</f>
        <v>ด.ญ.ฟิรดาว สาเมาะ</v>
      </c>
      <c r="C783" s="3" t="str">
        <f>IFERROR(__xludf.DUMMYFUNCTION("""COMPUTED_VALUE"""),"ม.2/7")</f>
        <v>ม.2/7</v>
      </c>
      <c r="D783" s="3" t="str">
        <f>IFERROR(__xludf.DUMMYFUNCTION("""COMPUTED_VALUE"""),"อก.1/7")</f>
        <v>อก.1/7</v>
      </c>
      <c r="E783" s="2" t="str">
        <f>IFERROR(__xludf.DUMMYFUNCTION("""COMPUTED_VALUE"""),"หญิง")</f>
        <v>หญิง</v>
      </c>
      <c r="F783" s="5" t="str">
        <f>IFERROR(__xludf.DUMMYFUNCTION("""COMPUTED_VALUE"""),"https://azizstan.net/student_image/25886.jpg")</f>
        <v>https://azizstan.net/student_image/25886.jpg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 t="str">
        <f>IFERROR(__xludf.DUMMYFUNCTION("""COMPUTED_VALUE"""),"25892")</f>
        <v>25892</v>
      </c>
      <c r="B784" s="3" t="str">
        <f>IFERROR(__xludf.DUMMYFUNCTION("""COMPUTED_VALUE"""),"ด.ญ.นูรฮีดาญะด์ หะมะ")</f>
        <v>ด.ญ.นูรฮีดาญะด์ หะมะ</v>
      </c>
      <c r="C784" s="3" t="str">
        <f>IFERROR(__xludf.DUMMYFUNCTION("""COMPUTED_VALUE"""),"ม.2/7")</f>
        <v>ม.2/7</v>
      </c>
      <c r="D784" s="3" t="str">
        <f>IFERROR(__xludf.DUMMYFUNCTION("""COMPUTED_VALUE"""),"อก.1/7")</f>
        <v>อก.1/7</v>
      </c>
      <c r="E784" s="2" t="str">
        <f>IFERROR(__xludf.DUMMYFUNCTION("""COMPUTED_VALUE"""),"หญิง")</f>
        <v>หญิง</v>
      </c>
      <c r="F784" s="5" t="str">
        <f>IFERROR(__xludf.DUMMYFUNCTION("""COMPUTED_VALUE"""),"https://azizstan.net/student_image/25892.jpg")</f>
        <v>https://azizstan.net/student_image/25892.jpg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 t="str">
        <f>IFERROR(__xludf.DUMMYFUNCTION("""COMPUTED_VALUE"""),"25921")</f>
        <v>25921</v>
      </c>
      <c r="B785" s="3" t="str">
        <f>IFERROR(__xludf.DUMMYFUNCTION("""COMPUTED_VALUE"""),"ด.ญ.ซูฟีเราะห์ ไชยมิกัน")</f>
        <v>ด.ญ.ซูฟีเราะห์ ไชยมิกัน</v>
      </c>
      <c r="C785" s="3" t="str">
        <f>IFERROR(__xludf.DUMMYFUNCTION("""COMPUTED_VALUE"""),"ม.2/7")</f>
        <v>ม.2/7</v>
      </c>
      <c r="D785" s="3" t="str">
        <f>IFERROR(__xludf.DUMMYFUNCTION("""COMPUTED_VALUE"""),"อก.1/7")</f>
        <v>อก.1/7</v>
      </c>
      <c r="E785" s="2" t="str">
        <f>IFERROR(__xludf.DUMMYFUNCTION("""COMPUTED_VALUE"""),"หญิง")</f>
        <v>หญิง</v>
      </c>
      <c r="F785" s="5" t="str">
        <f>IFERROR(__xludf.DUMMYFUNCTION("""COMPUTED_VALUE"""),"https://azizstan.net/student_image/25921.jpg")</f>
        <v>https://azizstan.net/student_image/25921.jpg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 t="str">
        <f>IFERROR(__xludf.DUMMYFUNCTION("""COMPUTED_VALUE"""),"25941")</f>
        <v>25941</v>
      </c>
      <c r="B786" s="3" t="str">
        <f>IFERROR(__xludf.DUMMYFUNCTION("""COMPUTED_VALUE"""),"ด.ญ.ณัฐชาวาร์ โคกเขา")</f>
        <v>ด.ญ.ณัฐชาวาร์ โคกเขา</v>
      </c>
      <c r="C786" s="3" t="str">
        <f>IFERROR(__xludf.DUMMYFUNCTION("""COMPUTED_VALUE"""),"ม.2/7")</f>
        <v>ม.2/7</v>
      </c>
      <c r="D786" s="3" t="str">
        <f>IFERROR(__xludf.DUMMYFUNCTION("""COMPUTED_VALUE"""),"อก.1/7")</f>
        <v>อก.1/7</v>
      </c>
      <c r="E786" s="2" t="str">
        <f>IFERROR(__xludf.DUMMYFUNCTION("""COMPUTED_VALUE"""),"หญิง")</f>
        <v>หญิง</v>
      </c>
      <c r="F786" s="5" t="str">
        <f>IFERROR(__xludf.DUMMYFUNCTION("""COMPUTED_VALUE"""),"https://azizstan.net/student_image/25941.jpg")</f>
        <v>https://azizstan.net/student_image/25941.jpg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 t="str">
        <f>IFERROR(__xludf.DUMMYFUNCTION("""COMPUTED_VALUE"""),"25965")</f>
        <v>25965</v>
      </c>
      <c r="B787" s="3" t="str">
        <f>IFERROR(__xludf.DUMMYFUNCTION("""COMPUTED_VALUE"""),"ด.ญ.อันดา แมเราะ")</f>
        <v>ด.ญ.อันดา แมเราะ</v>
      </c>
      <c r="C787" s="3" t="str">
        <f>IFERROR(__xludf.DUMMYFUNCTION("""COMPUTED_VALUE"""),"ม.2/7")</f>
        <v>ม.2/7</v>
      </c>
      <c r="D787" s="3" t="str">
        <f>IFERROR(__xludf.DUMMYFUNCTION("""COMPUTED_VALUE"""),"อก.1/7")</f>
        <v>อก.1/7</v>
      </c>
      <c r="E787" s="2" t="str">
        <f>IFERROR(__xludf.DUMMYFUNCTION("""COMPUTED_VALUE"""),"หญิง")</f>
        <v>หญิง</v>
      </c>
      <c r="F787" s="5" t="str">
        <f>IFERROR(__xludf.DUMMYFUNCTION("""COMPUTED_VALUE"""),"https://azizstan.net/student_image/25965.jpg")</f>
        <v>https://azizstan.net/student_image/25965.jpg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 t="str">
        <f>IFERROR(__xludf.DUMMYFUNCTION("""COMPUTED_VALUE"""),"25983")</f>
        <v>25983</v>
      </c>
      <c r="B788" s="3" t="str">
        <f>IFERROR(__xludf.DUMMYFUNCTION("""COMPUTED_VALUE"""),"ด.ญ.อารยาณีย์ แวกะจิ")</f>
        <v>ด.ญ.อารยาณีย์ แวกะจิ</v>
      </c>
      <c r="C788" s="3" t="str">
        <f>IFERROR(__xludf.DUMMYFUNCTION("""COMPUTED_VALUE"""),"ม.2/7")</f>
        <v>ม.2/7</v>
      </c>
      <c r="D788" s="3" t="str">
        <f>IFERROR(__xludf.DUMMYFUNCTION("""COMPUTED_VALUE"""),"อก.1/7")</f>
        <v>อก.1/7</v>
      </c>
      <c r="E788" s="2" t="str">
        <f>IFERROR(__xludf.DUMMYFUNCTION("""COMPUTED_VALUE"""),"หญิง")</f>
        <v>หญิง</v>
      </c>
      <c r="F788" s="5" t="str">
        <f>IFERROR(__xludf.DUMMYFUNCTION("""COMPUTED_VALUE"""),"https://azizstan.net/student_image/25983.jpg")</f>
        <v>https://azizstan.net/student_image/25983.jpg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 t="str">
        <f>IFERROR(__xludf.DUMMYFUNCTION("""COMPUTED_VALUE"""),"26018")</f>
        <v>26018</v>
      </c>
      <c r="B789" s="3" t="str">
        <f>IFERROR(__xludf.DUMMYFUNCTION("""COMPUTED_VALUE"""),"ด.ญ.นูรอัยรีณ เจะหนิ")</f>
        <v>ด.ญ.นูรอัยรีณ เจะหนิ</v>
      </c>
      <c r="C789" s="3" t="str">
        <f>IFERROR(__xludf.DUMMYFUNCTION("""COMPUTED_VALUE"""),"ม.2/7")</f>
        <v>ม.2/7</v>
      </c>
      <c r="D789" s="3" t="str">
        <f>IFERROR(__xludf.DUMMYFUNCTION("""COMPUTED_VALUE"""),"อก.1/7")</f>
        <v>อก.1/7</v>
      </c>
      <c r="E789" s="2" t="str">
        <f>IFERROR(__xludf.DUMMYFUNCTION("""COMPUTED_VALUE"""),"หญิง")</f>
        <v>หญิง</v>
      </c>
      <c r="F789" s="5" t="str">
        <f>IFERROR(__xludf.DUMMYFUNCTION("""COMPUTED_VALUE"""),"https://azizstan.net/student_image/26018.jpg")</f>
        <v>https://azizstan.net/student_image/26018.jpg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 t="str">
        <f>IFERROR(__xludf.DUMMYFUNCTION("""COMPUTED_VALUE"""),"26518")</f>
        <v>26518</v>
      </c>
      <c r="B790" s="3" t="str">
        <f>IFERROR(__xludf.DUMMYFUNCTION("""COMPUTED_VALUE"""),"ด.ญ.อาฟานี หลำสะ")</f>
        <v>ด.ญ.อาฟานี หลำสะ</v>
      </c>
      <c r="C790" s="3" t="str">
        <f>IFERROR(__xludf.DUMMYFUNCTION("""COMPUTED_VALUE"""),"ม.2/7")</f>
        <v>ม.2/7</v>
      </c>
      <c r="D790" s="3" t="str">
        <f>IFERROR(__xludf.DUMMYFUNCTION("""COMPUTED_VALUE"""),"อก.1/7")</f>
        <v>อก.1/7</v>
      </c>
      <c r="E790" s="2" t="str">
        <f>IFERROR(__xludf.DUMMYFUNCTION("""COMPUTED_VALUE"""),"หญิง")</f>
        <v>หญิง</v>
      </c>
      <c r="F790" s="5" t="str">
        <f>IFERROR(__xludf.DUMMYFUNCTION("""COMPUTED_VALUE"""),"https://azizstan.net/student_image/26518.jpg")</f>
        <v>https://azizstan.net/student_image/26518.jpg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 t="str">
        <f>IFERROR(__xludf.DUMMYFUNCTION("""COMPUTED_VALUE"""),"26815")</f>
        <v>26815</v>
      </c>
      <c r="B791" s="3" t="str">
        <f>IFERROR(__xludf.DUMMYFUNCTION("""COMPUTED_VALUE"""),"ด.ญ.นูเรีย กือเร็ง")</f>
        <v>ด.ญ.นูเรีย กือเร็ง</v>
      </c>
      <c r="C791" s="3" t="str">
        <f>IFERROR(__xludf.DUMMYFUNCTION("""COMPUTED_VALUE"""),"ม.2/7")</f>
        <v>ม.2/7</v>
      </c>
      <c r="D791" s="3" t="str">
        <f>IFERROR(__xludf.DUMMYFUNCTION("""COMPUTED_VALUE"""),"อก.1/7")</f>
        <v>อก.1/7</v>
      </c>
      <c r="E791" s="2" t="str">
        <f>IFERROR(__xludf.DUMMYFUNCTION("""COMPUTED_VALUE"""),"หญิง")</f>
        <v>หญิง</v>
      </c>
      <c r="F791" s="5" t="str">
        <f>IFERROR(__xludf.DUMMYFUNCTION("""COMPUTED_VALUE"""),"https://azizstan.net/student_image/26815.jpg")</f>
        <v>https://azizstan.net/student_image/26815.jpg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 t="str">
        <f>IFERROR(__xludf.DUMMYFUNCTION("""COMPUTED_VALUE"""),"26818")</f>
        <v>26818</v>
      </c>
      <c r="B792" s="3" t="str">
        <f>IFERROR(__xludf.DUMMYFUNCTION("""COMPUTED_VALUE"""),"ด.ญ.นาอีมะห์ หมะเด็น")</f>
        <v>ด.ญ.นาอีมะห์ หมะเด็น</v>
      </c>
      <c r="C792" s="3" t="str">
        <f>IFERROR(__xludf.DUMMYFUNCTION("""COMPUTED_VALUE"""),"ม.2/7")</f>
        <v>ม.2/7</v>
      </c>
      <c r="D792" s="3" t="str">
        <f>IFERROR(__xludf.DUMMYFUNCTION("""COMPUTED_VALUE"""),"อก.1/7")</f>
        <v>อก.1/7</v>
      </c>
      <c r="E792" s="2" t="str">
        <f>IFERROR(__xludf.DUMMYFUNCTION("""COMPUTED_VALUE"""),"หญิง")</f>
        <v>หญิง</v>
      </c>
      <c r="F792" s="5" t="str">
        <f>IFERROR(__xludf.DUMMYFUNCTION("""COMPUTED_VALUE"""),"https://azizstan.net/student_image/26818.jpg")</f>
        <v>https://azizstan.net/student_image/26818.jpg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 t="str">
        <f>IFERROR(__xludf.DUMMYFUNCTION("""COMPUTED_VALUE"""),"25359")</f>
        <v>25359</v>
      </c>
      <c r="B793" s="3" t="str">
        <f>IFERROR(__xludf.DUMMYFUNCTION("""COMPUTED_VALUE"""),"ด.ญ.นูรฮายาตี สาและ")</f>
        <v>ด.ญ.นูรฮายาตี สาและ</v>
      </c>
      <c r="C793" s="3" t="str">
        <f>IFERROR(__xludf.DUMMYFUNCTION("""COMPUTED_VALUE"""),"ม.2/8")</f>
        <v>ม.2/8</v>
      </c>
      <c r="D793" s="3" t="str">
        <f>IFERROR(__xludf.DUMMYFUNCTION("""COMPUTED_VALUE"""),"อก.1/8")</f>
        <v>อก.1/8</v>
      </c>
      <c r="E793" s="2" t="str">
        <f>IFERROR(__xludf.DUMMYFUNCTION("""COMPUTED_VALUE"""),"หญิง")</f>
        <v>หญิง</v>
      </c>
      <c r="F793" s="5" t="str">
        <f>IFERROR(__xludf.DUMMYFUNCTION("""COMPUTED_VALUE"""),"https://azizstan.net/student_image/25359.jpg")</f>
        <v>https://azizstan.net/student_image/25359.jpg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 t="str">
        <f>IFERROR(__xludf.DUMMYFUNCTION("""COMPUTED_VALUE"""),"25399")</f>
        <v>25399</v>
      </c>
      <c r="B794" s="3" t="str">
        <f>IFERROR(__xludf.DUMMYFUNCTION("""COMPUTED_VALUE"""),"ด.ญ.ซัซวานี สูดี")</f>
        <v>ด.ญ.ซัซวานี สูดี</v>
      </c>
      <c r="C794" s="3" t="str">
        <f>IFERROR(__xludf.DUMMYFUNCTION("""COMPUTED_VALUE"""),"ม.2/8")</f>
        <v>ม.2/8</v>
      </c>
      <c r="D794" s="3" t="str">
        <f>IFERROR(__xludf.DUMMYFUNCTION("""COMPUTED_VALUE"""),"อก.1/8")</f>
        <v>อก.1/8</v>
      </c>
      <c r="E794" s="2" t="str">
        <f>IFERROR(__xludf.DUMMYFUNCTION("""COMPUTED_VALUE"""),"หญิง")</f>
        <v>หญิง</v>
      </c>
      <c r="F794" s="5" t="str">
        <f>IFERROR(__xludf.DUMMYFUNCTION("""COMPUTED_VALUE"""),"https://azizstan.net/student_image/25399.jpg")</f>
        <v>https://azizstan.net/student_image/25399.jpg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 t="str">
        <f>IFERROR(__xludf.DUMMYFUNCTION("""COMPUTED_VALUE"""),"25400")</f>
        <v>25400</v>
      </c>
      <c r="B795" s="3" t="str">
        <f>IFERROR(__xludf.DUMMYFUNCTION("""COMPUTED_VALUE"""),"ด.ญ.ซอฟาวาตีย์ มะสารี")</f>
        <v>ด.ญ.ซอฟาวาตีย์ มะสารี</v>
      </c>
      <c r="C795" s="3" t="str">
        <f>IFERROR(__xludf.DUMMYFUNCTION("""COMPUTED_VALUE"""),"ม.2/8")</f>
        <v>ม.2/8</v>
      </c>
      <c r="D795" s="3" t="str">
        <f>IFERROR(__xludf.DUMMYFUNCTION("""COMPUTED_VALUE"""),"อก.1/8")</f>
        <v>อก.1/8</v>
      </c>
      <c r="E795" s="2" t="str">
        <f>IFERROR(__xludf.DUMMYFUNCTION("""COMPUTED_VALUE"""),"หญิง")</f>
        <v>หญิง</v>
      </c>
      <c r="F795" s="5" t="str">
        <f>IFERROR(__xludf.DUMMYFUNCTION("""COMPUTED_VALUE"""),"https://azizstan.net/student_image/25400.jpg")</f>
        <v>https://azizstan.net/student_image/25400.jpg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 t="str">
        <f>IFERROR(__xludf.DUMMYFUNCTION("""COMPUTED_VALUE"""),"25405")</f>
        <v>25405</v>
      </c>
      <c r="B796" s="3" t="str">
        <f>IFERROR(__xludf.DUMMYFUNCTION("""COMPUTED_VALUE"""),"ด.ญ.นุรฟิเดาห์ กาเดร์")</f>
        <v>ด.ญ.นุรฟิเดาห์ กาเดร์</v>
      </c>
      <c r="C796" s="3" t="str">
        <f>IFERROR(__xludf.DUMMYFUNCTION("""COMPUTED_VALUE"""),"ม.2/8")</f>
        <v>ม.2/8</v>
      </c>
      <c r="D796" s="3" t="str">
        <f>IFERROR(__xludf.DUMMYFUNCTION("""COMPUTED_VALUE"""),"อก.1/8")</f>
        <v>อก.1/8</v>
      </c>
      <c r="E796" s="2" t="str">
        <f>IFERROR(__xludf.DUMMYFUNCTION("""COMPUTED_VALUE"""),"หญิง")</f>
        <v>หญิง</v>
      </c>
      <c r="F796" s="5" t="str">
        <f>IFERROR(__xludf.DUMMYFUNCTION("""COMPUTED_VALUE"""),"https://azizstan.net/student_image/25405.jpg")</f>
        <v>https://azizstan.net/student_image/25405.jpg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 t="str">
        <f>IFERROR(__xludf.DUMMYFUNCTION("""COMPUTED_VALUE"""),"25420")</f>
        <v>25420</v>
      </c>
      <c r="B797" s="3" t="str">
        <f>IFERROR(__xludf.DUMMYFUNCTION("""COMPUTED_VALUE"""),"ด.ญ.นริศรา หะยีสาวี")</f>
        <v>ด.ญ.นริศรา หะยีสาวี</v>
      </c>
      <c r="C797" s="3" t="str">
        <f>IFERROR(__xludf.DUMMYFUNCTION("""COMPUTED_VALUE"""),"ม.2/8")</f>
        <v>ม.2/8</v>
      </c>
      <c r="D797" s="3" t="str">
        <f>IFERROR(__xludf.DUMMYFUNCTION("""COMPUTED_VALUE"""),"อก.1/8")</f>
        <v>อก.1/8</v>
      </c>
      <c r="E797" s="2" t="str">
        <f>IFERROR(__xludf.DUMMYFUNCTION("""COMPUTED_VALUE"""),"หญิง")</f>
        <v>หญิง</v>
      </c>
      <c r="F797" s="5" t="str">
        <f>IFERROR(__xludf.DUMMYFUNCTION("""COMPUTED_VALUE"""),"https://azizstan.net/student_image/25420.jpg")</f>
        <v>https://azizstan.net/student_image/25420.jpg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 t="str">
        <f>IFERROR(__xludf.DUMMYFUNCTION("""COMPUTED_VALUE"""),"25446")</f>
        <v>25446</v>
      </c>
      <c r="B798" s="3" t="str">
        <f>IFERROR(__xludf.DUMMYFUNCTION("""COMPUTED_VALUE"""),"ด.ญ.นาตาชา ลือบาน๊ะ")</f>
        <v>ด.ญ.นาตาชา ลือบาน๊ะ</v>
      </c>
      <c r="C798" s="3" t="str">
        <f>IFERROR(__xludf.DUMMYFUNCTION("""COMPUTED_VALUE"""),"ม.2/8")</f>
        <v>ม.2/8</v>
      </c>
      <c r="D798" s="3" t="str">
        <f>IFERROR(__xludf.DUMMYFUNCTION("""COMPUTED_VALUE"""),"อก.1/8")</f>
        <v>อก.1/8</v>
      </c>
      <c r="E798" s="2" t="str">
        <f>IFERROR(__xludf.DUMMYFUNCTION("""COMPUTED_VALUE"""),"หญิง")</f>
        <v>หญิง</v>
      </c>
      <c r="F798" s="5" t="str">
        <f>IFERROR(__xludf.DUMMYFUNCTION("""COMPUTED_VALUE"""),"https://azizstan.net/student_image/25446.jpg")</f>
        <v>https://azizstan.net/student_image/25446.jpg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 t="str">
        <f>IFERROR(__xludf.DUMMYFUNCTION("""COMPUTED_VALUE"""),"25458")</f>
        <v>25458</v>
      </c>
      <c r="B799" s="3" t="str">
        <f>IFERROR(__xludf.DUMMYFUNCTION("""COMPUTED_VALUE"""),"ด.ญ.นุรอัยนา มาหมะ")</f>
        <v>ด.ญ.นุรอัยนา มาหมะ</v>
      </c>
      <c r="C799" s="3" t="str">
        <f>IFERROR(__xludf.DUMMYFUNCTION("""COMPUTED_VALUE"""),"ม.2/8")</f>
        <v>ม.2/8</v>
      </c>
      <c r="D799" s="3" t="str">
        <f>IFERROR(__xludf.DUMMYFUNCTION("""COMPUTED_VALUE"""),"อก.1/8")</f>
        <v>อก.1/8</v>
      </c>
      <c r="E799" s="2" t="str">
        <f>IFERROR(__xludf.DUMMYFUNCTION("""COMPUTED_VALUE"""),"หญิง")</f>
        <v>หญิง</v>
      </c>
      <c r="F799" s="5" t="str">
        <f>IFERROR(__xludf.DUMMYFUNCTION("""COMPUTED_VALUE"""),"https://azizstan.net/student_image/25458.jpg")</f>
        <v>https://azizstan.net/student_image/25458.jpg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 t="str">
        <f>IFERROR(__xludf.DUMMYFUNCTION("""COMPUTED_VALUE"""),"25476")</f>
        <v>25476</v>
      </c>
      <c r="B800" s="3" t="str">
        <f>IFERROR(__xludf.DUMMYFUNCTION("""COMPUTED_VALUE"""),"ด.ญ.นูรีดา หลีต่อสาม")</f>
        <v>ด.ญ.นูรีดา หลีต่อสาม</v>
      </c>
      <c r="C800" s="3" t="str">
        <f>IFERROR(__xludf.DUMMYFUNCTION("""COMPUTED_VALUE"""),"ม.2/8")</f>
        <v>ม.2/8</v>
      </c>
      <c r="D800" s="3" t="str">
        <f>IFERROR(__xludf.DUMMYFUNCTION("""COMPUTED_VALUE"""),"อก.1/8")</f>
        <v>อก.1/8</v>
      </c>
      <c r="E800" s="2" t="str">
        <f>IFERROR(__xludf.DUMMYFUNCTION("""COMPUTED_VALUE"""),"หญิง")</f>
        <v>หญิง</v>
      </c>
      <c r="F800" s="5" t="str">
        <f>IFERROR(__xludf.DUMMYFUNCTION("""COMPUTED_VALUE"""),"https://azizstan.net/student_image/25476.jpg")</f>
        <v>https://azizstan.net/student_image/25476.jpg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" t="str">
        <f>IFERROR(__xludf.DUMMYFUNCTION("""COMPUTED_VALUE"""),"25484")</f>
        <v>25484</v>
      </c>
      <c r="B801" s="3" t="str">
        <f>IFERROR(__xludf.DUMMYFUNCTION("""COMPUTED_VALUE"""),"ด.ญ.นูรีซัน ปาทาน")</f>
        <v>ด.ญ.นูรีซัน ปาทาน</v>
      </c>
      <c r="C801" s="3" t="str">
        <f>IFERROR(__xludf.DUMMYFUNCTION("""COMPUTED_VALUE"""),"ม.2/8")</f>
        <v>ม.2/8</v>
      </c>
      <c r="D801" s="3" t="str">
        <f>IFERROR(__xludf.DUMMYFUNCTION("""COMPUTED_VALUE"""),"อก.1/8")</f>
        <v>อก.1/8</v>
      </c>
      <c r="E801" s="2" t="str">
        <f>IFERROR(__xludf.DUMMYFUNCTION("""COMPUTED_VALUE"""),"หญิง")</f>
        <v>หญิง</v>
      </c>
      <c r="F801" s="5" t="str">
        <f>IFERROR(__xludf.DUMMYFUNCTION("""COMPUTED_VALUE"""),"https://azizstan.net/student_image/25484.jpg")</f>
        <v>https://azizstan.net/student_image/25484.jpg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" t="str">
        <f>IFERROR(__xludf.DUMMYFUNCTION("""COMPUTED_VALUE"""),"25487")</f>
        <v>25487</v>
      </c>
      <c r="B802" s="3" t="str">
        <f>IFERROR(__xludf.DUMMYFUNCTION("""COMPUTED_VALUE"""),"ด.ญ.นูรูลฮัสณี หวังมะ")</f>
        <v>ด.ญ.นูรูลฮัสณี หวังมะ</v>
      </c>
      <c r="C802" s="3" t="str">
        <f>IFERROR(__xludf.DUMMYFUNCTION("""COMPUTED_VALUE"""),"ม.2/8")</f>
        <v>ม.2/8</v>
      </c>
      <c r="D802" s="3" t="str">
        <f>IFERROR(__xludf.DUMMYFUNCTION("""COMPUTED_VALUE"""),"อก.1/8")</f>
        <v>อก.1/8</v>
      </c>
      <c r="E802" s="2" t="str">
        <f>IFERROR(__xludf.DUMMYFUNCTION("""COMPUTED_VALUE"""),"หญิง")</f>
        <v>หญิง</v>
      </c>
      <c r="F802" s="5" t="str">
        <f>IFERROR(__xludf.DUMMYFUNCTION("""COMPUTED_VALUE"""),"https://azizstan.net/student_image/25487.jpg")</f>
        <v>https://azizstan.net/student_image/25487.jpg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 t="str">
        <f>IFERROR(__xludf.DUMMYFUNCTION("""COMPUTED_VALUE"""),"25498")</f>
        <v>25498</v>
      </c>
      <c r="B803" s="3" t="str">
        <f>IFERROR(__xludf.DUMMYFUNCTION("""COMPUTED_VALUE"""),"ด.ญ.นูรีฟะฮ์ ยูโซ๊ะ")</f>
        <v>ด.ญ.นูรีฟะฮ์ ยูโซ๊ะ</v>
      </c>
      <c r="C803" s="3" t="str">
        <f>IFERROR(__xludf.DUMMYFUNCTION("""COMPUTED_VALUE"""),"ม.2/8")</f>
        <v>ม.2/8</v>
      </c>
      <c r="D803" s="3" t="str">
        <f>IFERROR(__xludf.DUMMYFUNCTION("""COMPUTED_VALUE"""),"อก.1/8")</f>
        <v>อก.1/8</v>
      </c>
      <c r="E803" s="2" t="str">
        <f>IFERROR(__xludf.DUMMYFUNCTION("""COMPUTED_VALUE"""),"หญิง")</f>
        <v>หญิง</v>
      </c>
      <c r="F803" s="5" t="str">
        <f>IFERROR(__xludf.DUMMYFUNCTION("""COMPUTED_VALUE"""),"https://azizstan.net/student_image/25498.jpg")</f>
        <v>https://azizstan.net/student_image/25498.jpg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 t="str">
        <f>IFERROR(__xludf.DUMMYFUNCTION("""COMPUTED_VALUE"""),"25509")</f>
        <v>25509</v>
      </c>
      <c r="B804" s="3" t="str">
        <f>IFERROR(__xludf.DUMMYFUNCTION("""COMPUTED_VALUE"""),"ด.ญ.ฮัสวานีย์ แวหะยี")</f>
        <v>ด.ญ.ฮัสวานีย์ แวหะยี</v>
      </c>
      <c r="C804" s="3" t="str">
        <f>IFERROR(__xludf.DUMMYFUNCTION("""COMPUTED_VALUE"""),"ม.2/8")</f>
        <v>ม.2/8</v>
      </c>
      <c r="D804" s="3" t="str">
        <f>IFERROR(__xludf.DUMMYFUNCTION("""COMPUTED_VALUE"""),"อก.1/8")</f>
        <v>อก.1/8</v>
      </c>
      <c r="E804" s="2" t="str">
        <f>IFERROR(__xludf.DUMMYFUNCTION("""COMPUTED_VALUE"""),"หญิง")</f>
        <v>หญิง</v>
      </c>
      <c r="F804" s="5" t="str">
        <f>IFERROR(__xludf.DUMMYFUNCTION("""COMPUTED_VALUE"""),"https://azizstan.net/student_image/25509.jpg")</f>
        <v>https://azizstan.net/student_image/25509.jpg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" t="str">
        <f>IFERROR(__xludf.DUMMYFUNCTION("""COMPUTED_VALUE"""),"25511")</f>
        <v>25511</v>
      </c>
      <c r="B805" s="3" t="str">
        <f>IFERROR(__xludf.DUMMYFUNCTION("""COMPUTED_VALUE"""),"ด.ญ.อัลวานี ติ่งไหลเสน")</f>
        <v>ด.ญ.อัลวานี ติ่งไหลเสน</v>
      </c>
      <c r="C805" s="3" t="str">
        <f>IFERROR(__xludf.DUMMYFUNCTION("""COMPUTED_VALUE"""),"ม.2/8")</f>
        <v>ม.2/8</v>
      </c>
      <c r="D805" s="3" t="str">
        <f>IFERROR(__xludf.DUMMYFUNCTION("""COMPUTED_VALUE"""),"อก.1/8")</f>
        <v>อก.1/8</v>
      </c>
      <c r="E805" s="2" t="str">
        <f>IFERROR(__xludf.DUMMYFUNCTION("""COMPUTED_VALUE"""),"หญิง")</f>
        <v>หญิง</v>
      </c>
      <c r="F805" s="5" t="str">
        <f>IFERROR(__xludf.DUMMYFUNCTION("""COMPUTED_VALUE"""),"https://azizstan.net/student_image/25511.jpg")</f>
        <v>https://azizstan.net/student_image/25511.jpg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" t="str">
        <f>IFERROR(__xludf.DUMMYFUNCTION("""COMPUTED_VALUE"""),"25520")</f>
        <v>25520</v>
      </c>
      <c r="B806" s="3" t="str">
        <f>IFERROR(__xludf.DUMMYFUNCTION("""COMPUTED_VALUE"""),"ด.ญ.นาดียะห์ แวยูโซะ")</f>
        <v>ด.ญ.นาดียะห์ แวยูโซะ</v>
      </c>
      <c r="C806" s="3" t="str">
        <f>IFERROR(__xludf.DUMMYFUNCTION("""COMPUTED_VALUE"""),"ม.2/8")</f>
        <v>ม.2/8</v>
      </c>
      <c r="D806" s="3" t="str">
        <f>IFERROR(__xludf.DUMMYFUNCTION("""COMPUTED_VALUE"""),"อก.1/8")</f>
        <v>อก.1/8</v>
      </c>
      <c r="E806" s="2" t="str">
        <f>IFERROR(__xludf.DUMMYFUNCTION("""COMPUTED_VALUE"""),"หญิง")</f>
        <v>หญิง</v>
      </c>
      <c r="F806" s="5" t="str">
        <f>IFERROR(__xludf.DUMMYFUNCTION("""COMPUTED_VALUE"""),"https://azizstan.net/student_image/25520.jpg")</f>
        <v>https://azizstan.net/student_image/25520.jpg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" t="str">
        <f>IFERROR(__xludf.DUMMYFUNCTION("""COMPUTED_VALUE"""),"25550")</f>
        <v>25550</v>
      </c>
      <c r="B807" s="3" t="str">
        <f>IFERROR(__xludf.DUMMYFUNCTION("""COMPUTED_VALUE"""),"ด.ญ.นูรอามานี หมีนหวัง")</f>
        <v>ด.ญ.นูรอามานี หมีนหวัง</v>
      </c>
      <c r="C807" s="3" t="str">
        <f>IFERROR(__xludf.DUMMYFUNCTION("""COMPUTED_VALUE"""),"ม.2/8")</f>
        <v>ม.2/8</v>
      </c>
      <c r="D807" s="3" t="str">
        <f>IFERROR(__xludf.DUMMYFUNCTION("""COMPUTED_VALUE"""),"อก.1/8")</f>
        <v>อก.1/8</v>
      </c>
      <c r="E807" s="2" t="str">
        <f>IFERROR(__xludf.DUMMYFUNCTION("""COMPUTED_VALUE"""),"หญิง")</f>
        <v>หญิง</v>
      </c>
      <c r="F807" s="5" t="str">
        <f>IFERROR(__xludf.DUMMYFUNCTION("""COMPUTED_VALUE"""),"https://azizstan.net/student_image/25550.jpg")</f>
        <v>https://azizstan.net/student_image/25550.jpg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" t="str">
        <f>IFERROR(__xludf.DUMMYFUNCTION("""COMPUTED_VALUE"""),"25557")</f>
        <v>25557</v>
      </c>
      <c r="B808" s="3" t="str">
        <f>IFERROR(__xludf.DUMMYFUNCTION("""COMPUTED_VALUE"""),"ด.ญ.กัสมีน สือแม")</f>
        <v>ด.ญ.กัสมีน สือแม</v>
      </c>
      <c r="C808" s="3" t="str">
        <f>IFERROR(__xludf.DUMMYFUNCTION("""COMPUTED_VALUE"""),"ม.2/8")</f>
        <v>ม.2/8</v>
      </c>
      <c r="D808" s="3" t="str">
        <f>IFERROR(__xludf.DUMMYFUNCTION("""COMPUTED_VALUE"""),"อก.1/8")</f>
        <v>อก.1/8</v>
      </c>
      <c r="E808" s="2" t="str">
        <f>IFERROR(__xludf.DUMMYFUNCTION("""COMPUTED_VALUE"""),"หญิง")</f>
        <v>หญิง</v>
      </c>
      <c r="F808" s="5" t="str">
        <f>IFERROR(__xludf.DUMMYFUNCTION("""COMPUTED_VALUE"""),"https://azizstan.net/student_image/25557.jpg")</f>
        <v>https://azizstan.net/student_image/25557.jpg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" t="str">
        <f>IFERROR(__xludf.DUMMYFUNCTION("""COMPUTED_VALUE"""),"25570")</f>
        <v>25570</v>
      </c>
      <c r="B809" s="3" t="str">
        <f>IFERROR(__xludf.DUMMYFUNCTION("""COMPUTED_VALUE"""),"ด.ญ.ฮัยฟาร์ โต๊ะตียอ")</f>
        <v>ด.ญ.ฮัยฟาร์ โต๊ะตียอ</v>
      </c>
      <c r="C809" s="3" t="str">
        <f>IFERROR(__xludf.DUMMYFUNCTION("""COMPUTED_VALUE"""),"ม.2/8")</f>
        <v>ม.2/8</v>
      </c>
      <c r="D809" s="3" t="str">
        <f>IFERROR(__xludf.DUMMYFUNCTION("""COMPUTED_VALUE"""),"อก.1/8")</f>
        <v>อก.1/8</v>
      </c>
      <c r="E809" s="2" t="str">
        <f>IFERROR(__xludf.DUMMYFUNCTION("""COMPUTED_VALUE"""),"หญิง")</f>
        <v>หญิง</v>
      </c>
      <c r="F809" s="5" t="str">
        <f>IFERROR(__xludf.DUMMYFUNCTION("""COMPUTED_VALUE"""),"https://azizstan.net/student_image/25570.jpg")</f>
        <v>https://azizstan.net/student_image/25570.jpg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" t="str">
        <f>IFERROR(__xludf.DUMMYFUNCTION("""COMPUTED_VALUE"""),"25579")</f>
        <v>25579</v>
      </c>
      <c r="B810" s="3" t="str">
        <f>IFERROR(__xludf.DUMMYFUNCTION("""COMPUTED_VALUE"""),"ด.ญ.อัสมะห์ ดอเลาะ")</f>
        <v>ด.ญ.อัสมะห์ ดอเลาะ</v>
      </c>
      <c r="C810" s="3" t="str">
        <f>IFERROR(__xludf.DUMMYFUNCTION("""COMPUTED_VALUE"""),"ม.2/8")</f>
        <v>ม.2/8</v>
      </c>
      <c r="D810" s="3" t="str">
        <f>IFERROR(__xludf.DUMMYFUNCTION("""COMPUTED_VALUE"""),"อก.1/8")</f>
        <v>อก.1/8</v>
      </c>
      <c r="E810" s="2" t="str">
        <f>IFERROR(__xludf.DUMMYFUNCTION("""COMPUTED_VALUE"""),"หญิง")</f>
        <v>หญิง</v>
      </c>
      <c r="F810" s="5" t="str">
        <f>IFERROR(__xludf.DUMMYFUNCTION("""COMPUTED_VALUE"""),"https://azizstan.net/student_image/25579.jpg")</f>
        <v>https://azizstan.net/student_image/25579.jpg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 t="str">
        <f>IFERROR(__xludf.DUMMYFUNCTION("""COMPUTED_VALUE"""),"25585")</f>
        <v>25585</v>
      </c>
      <c r="B811" s="3" t="str">
        <f>IFERROR(__xludf.DUMMYFUNCTION("""COMPUTED_VALUE"""),"ด.ญ.กูนัซมีย์ เบญจมานะ")</f>
        <v>ด.ญ.กูนัซมีย์ เบญจมานะ</v>
      </c>
      <c r="C811" s="3" t="str">
        <f>IFERROR(__xludf.DUMMYFUNCTION("""COMPUTED_VALUE"""),"ม.2/8")</f>
        <v>ม.2/8</v>
      </c>
      <c r="D811" s="3" t="str">
        <f>IFERROR(__xludf.DUMMYFUNCTION("""COMPUTED_VALUE"""),"อก.1/8")</f>
        <v>อก.1/8</v>
      </c>
      <c r="E811" s="2" t="str">
        <f>IFERROR(__xludf.DUMMYFUNCTION("""COMPUTED_VALUE"""),"หญิง")</f>
        <v>หญิง</v>
      </c>
      <c r="F811" s="5" t="str">
        <f>IFERROR(__xludf.DUMMYFUNCTION("""COMPUTED_VALUE"""),"https://azizstan.net/student_image/25585.jpg")</f>
        <v>https://azizstan.net/student_image/25585.jpg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 t="str">
        <f>IFERROR(__xludf.DUMMYFUNCTION("""COMPUTED_VALUE"""),"25601")</f>
        <v>25601</v>
      </c>
      <c r="B812" s="3" t="str">
        <f>IFERROR(__xludf.DUMMYFUNCTION("""COMPUTED_VALUE"""),"ด.ญ.กัญลญาณีย์ เดเระมะ")</f>
        <v>ด.ญ.กัญลญาณีย์ เดเระมะ</v>
      </c>
      <c r="C812" s="3" t="str">
        <f>IFERROR(__xludf.DUMMYFUNCTION("""COMPUTED_VALUE"""),"ม.2/8")</f>
        <v>ม.2/8</v>
      </c>
      <c r="D812" s="3" t="str">
        <f>IFERROR(__xludf.DUMMYFUNCTION("""COMPUTED_VALUE"""),"อก.1/8")</f>
        <v>อก.1/8</v>
      </c>
      <c r="E812" s="2" t="str">
        <f>IFERROR(__xludf.DUMMYFUNCTION("""COMPUTED_VALUE"""),"หญิง")</f>
        <v>หญิง</v>
      </c>
      <c r="F812" s="5" t="str">
        <f>IFERROR(__xludf.DUMMYFUNCTION("""COMPUTED_VALUE"""),"https://azizstan.net/student_image/25601.jpg")</f>
        <v>https://azizstan.net/student_image/25601.jpg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 t="str">
        <f>IFERROR(__xludf.DUMMYFUNCTION("""COMPUTED_VALUE"""),"25608")</f>
        <v>25608</v>
      </c>
      <c r="B813" s="3" t="str">
        <f>IFERROR(__xludf.DUMMYFUNCTION("""COMPUTED_VALUE"""),"ด.ญ.นิอาวาติฟ หลงสะ")</f>
        <v>ด.ญ.นิอาวาติฟ หลงสะ</v>
      </c>
      <c r="C813" s="3" t="str">
        <f>IFERROR(__xludf.DUMMYFUNCTION("""COMPUTED_VALUE"""),"ม.2/8")</f>
        <v>ม.2/8</v>
      </c>
      <c r="D813" s="3" t="str">
        <f>IFERROR(__xludf.DUMMYFUNCTION("""COMPUTED_VALUE"""),"อก.1/8")</f>
        <v>อก.1/8</v>
      </c>
      <c r="E813" s="2" t="str">
        <f>IFERROR(__xludf.DUMMYFUNCTION("""COMPUTED_VALUE"""),"หญิง")</f>
        <v>หญิง</v>
      </c>
      <c r="F813" s="5" t="str">
        <f>IFERROR(__xludf.DUMMYFUNCTION("""COMPUTED_VALUE"""),"https://azizstan.net/student_image/25608.jpg")</f>
        <v>https://azizstan.net/student_image/25608.jpg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 t="str">
        <f>IFERROR(__xludf.DUMMYFUNCTION("""COMPUTED_VALUE"""),"25674")</f>
        <v>25674</v>
      </c>
      <c r="B814" s="3" t="str">
        <f>IFERROR(__xludf.DUMMYFUNCTION("""COMPUTED_VALUE"""),"ด.ญ.ยัสมิน ดอเล๊าะ")</f>
        <v>ด.ญ.ยัสมิน ดอเล๊าะ</v>
      </c>
      <c r="C814" s="3" t="str">
        <f>IFERROR(__xludf.DUMMYFUNCTION("""COMPUTED_VALUE"""),"ม.2/8")</f>
        <v>ม.2/8</v>
      </c>
      <c r="D814" s="3" t="str">
        <f>IFERROR(__xludf.DUMMYFUNCTION("""COMPUTED_VALUE"""),"อก.1/8")</f>
        <v>อก.1/8</v>
      </c>
      <c r="E814" s="2" t="str">
        <f>IFERROR(__xludf.DUMMYFUNCTION("""COMPUTED_VALUE"""),"หญิง")</f>
        <v>หญิง</v>
      </c>
      <c r="F814" s="5" t="str">
        <f>IFERROR(__xludf.DUMMYFUNCTION("""COMPUTED_VALUE"""),"https://azizstan.net/student_image/25674.jpg")</f>
        <v>https://azizstan.net/student_image/25674.jpg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 t="str">
        <f>IFERROR(__xludf.DUMMYFUNCTION("""COMPUTED_VALUE"""),"25691")</f>
        <v>25691</v>
      </c>
      <c r="B815" s="3" t="str">
        <f>IFERROR(__xludf.DUMMYFUNCTION("""COMPUTED_VALUE"""),"ด.ญ.นูรีซัน โตะเซ่ง")</f>
        <v>ด.ญ.นูรีซัน โตะเซ่ง</v>
      </c>
      <c r="C815" s="3" t="str">
        <f>IFERROR(__xludf.DUMMYFUNCTION("""COMPUTED_VALUE"""),"ม.2/8")</f>
        <v>ม.2/8</v>
      </c>
      <c r="D815" s="3" t="str">
        <f>IFERROR(__xludf.DUMMYFUNCTION("""COMPUTED_VALUE"""),"อก.1/8")</f>
        <v>อก.1/8</v>
      </c>
      <c r="E815" s="2" t="str">
        <f>IFERROR(__xludf.DUMMYFUNCTION("""COMPUTED_VALUE"""),"หญิง")</f>
        <v>หญิง</v>
      </c>
      <c r="F815" s="5" t="str">
        <f>IFERROR(__xludf.DUMMYFUNCTION("""COMPUTED_VALUE"""),"https://azizstan.net/student_image/25691.jpg")</f>
        <v>https://azizstan.net/student_image/25691.jpg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 t="str">
        <f>IFERROR(__xludf.DUMMYFUNCTION("""COMPUTED_VALUE"""),"25694")</f>
        <v>25694</v>
      </c>
      <c r="B816" s="3" t="str">
        <f>IFERROR(__xludf.DUMMYFUNCTION("""COMPUTED_VALUE"""),"ด.ญ.สุภัทรชา สุหลง")</f>
        <v>ด.ญ.สุภัทรชา สุหลง</v>
      </c>
      <c r="C816" s="3" t="str">
        <f>IFERROR(__xludf.DUMMYFUNCTION("""COMPUTED_VALUE"""),"ม.2/8")</f>
        <v>ม.2/8</v>
      </c>
      <c r="D816" s="3" t="str">
        <f>IFERROR(__xludf.DUMMYFUNCTION("""COMPUTED_VALUE"""),"อก.1/8")</f>
        <v>อก.1/8</v>
      </c>
      <c r="E816" s="2" t="str">
        <f>IFERROR(__xludf.DUMMYFUNCTION("""COMPUTED_VALUE"""),"หญิง")</f>
        <v>หญิง</v>
      </c>
      <c r="F816" s="5" t="str">
        <f>IFERROR(__xludf.DUMMYFUNCTION("""COMPUTED_VALUE"""),"https://azizstan.net/student_image/25694.jpg")</f>
        <v>https://azizstan.net/student_image/25694.jpg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 t="str">
        <f>IFERROR(__xludf.DUMMYFUNCTION("""COMPUTED_VALUE"""),"25741")</f>
        <v>25741</v>
      </c>
      <c r="B817" s="3" t="str">
        <f>IFERROR(__xludf.DUMMYFUNCTION("""COMPUTED_VALUE"""),"ด.ญ.ฟารีดา ดอนิ")</f>
        <v>ด.ญ.ฟารีดา ดอนิ</v>
      </c>
      <c r="C817" s="3" t="str">
        <f>IFERROR(__xludf.DUMMYFUNCTION("""COMPUTED_VALUE"""),"ม.2/8")</f>
        <v>ม.2/8</v>
      </c>
      <c r="D817" s="3" t="str">
        <f>IFERROR(__xludf.DUMMYFUNCTION("""COMPUTED_VALUE"""),"อก.1/8")</f>
        <v>อก.1/8</v>
      </c>
      <c r="E817" s="2" t="str">
        <f>IFERROR(__xludf.DUMMYFUNCTION("""COMPUTED_VALUE"""),"หญิง")</f>
        <v>หญิง</v>
      </c>
      <c r="F817" s="5" t="str">
        <f>IFERROR(__xludf.DUMMYFUNCTION("""COMPUTED_VALUE"""),"https://azizstan.net/student_image/25741.jpg")</f>
        <v>https://azizstan.net/student_image/25741.jpg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 t="str">
        <f>IFERROR(__xludf.DUMMYFUNCTION("""COMPUTED_VALUE"""),"25755")</f>
        <v>25755</v>
      </c>
      <c r="B818" s="3" t="str">
        <f>IFERROR(__xludf.DUMMYFUNCTION("""COMPUTED_VALUE"""),"ด.ญ.นิอารีนา เจะเย๊ะ")</f>
        <v>ด.ญ.นิอารีนา เจะเย๊ะ</v>
      </c>
      <c r="C818" s="3" t="str">
        <f>IFERROR(__xludf.DUMMYFUNCTION("""COMPUTED_VALUE"""),"ม.2/8")</f>
        <v>ม.2/8</v>
      </c>
      <c r="D818" s="3" t="str">
        <f>IFERROR(__xludf.DUMMYFUNCTION("""COMPUTED_VALUE"""),"อก.1/8")</f>
        <v>อก.1/8</v>
      </c>
      <c r="E818" s="2" t="str">
        <f>IFERROR(__xludf.DUMMYFUNCTION("""COMPUTED_VALUE"""),"หญิง")</f>
        <v>หญิง</v>
      </c>
      <c r="F818" s="5" t="str">
        <f>IFERROR(__xludf.DUMMYFUNCTION("""COMPUTED_VALUE"""),"https://azizstan.net/student_image/25755.jpg")</f>
        <v>https://azizstan.net/student_image/25755.jpg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 t="str">
        <f>IFERROR(__xludf.DUMMYFUNCTION("""COMPUTED_VALUE"""),"25769")</f>
        <v>25769</v>
      </c>
      <c r="B819" s="3" t="str">
        <f>IFERROR(__xludf.DUMMYFUNCTION("""COMPUTED_VALUE"""),"ด.ญ.อาลาเวีย หมัดยาดำ")</f>
        <v>ด.ญ.อาลาเวีย หมัดยาดำ</v>
      </c>
      <c r="C819" s="3" t="str">
        <f>IFERROR(__xludf.DUMMYFUNCTION("""COMPUTED_VALUE"""),"ม.2/8")</f>
        <v>ม.2/8</v>
      </c>
      <c r="D819" s="3" t="str">
        <f>IFERROR(__xludf.DUMMYFUNCTION("""COMPUTED_VALUE"""),"อก.1/8")</f>
        <v>อก.1/8</v>
      </c>
      <c r="E819" s="2" t="str">
        <f>IFERROR(__xludf.DUMMYFUNCTION("""COMPUTED_VALUE"""),"หญิง")</f>
        <v>หญิง</v>
      </c>
      <c r="F819" s="5" t="str">
        <f>IFERROR(__xludf.DUMMYFUNCTION("""COMPUTED_VALUE"""),"https://azizstan.net/student_image/25769.jpg")</f>
        <v>https://azizstan.net/student_image/25769.jpg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 t="str">
        <f>IFERROR(__xludf.DUMMYFUNCTION("""COMPUTED_VALUE"""),"25785")</f>
        <v>25785</v>
      </c>
      <c r="B820" s="3" t="str">
        <f>IFERROR(__xludf.DUMMYFUNCTION("""COMPUTED_VALUE"""),"ด.ญ.โยวีตา สาและ")</f>
        <v>ด.ญ.โยวีตา สาและ</v>
      </c>
      <c r="C820" s="3" t="str">
        <f>IFERROR(__xludf.DUMMYFUNCTION("""COMPUTED_VALUE"""),"ม.2/8")</f>
        <v>ม.2/8</v>
      </c>
      <c r="D820" s="3" t="str">
        <f>IFERROR(__xludf.DUMMYFUNCTION("""COMPUTED_VALUE"""),"อก.1/8")</f>
        <v>อก.1/8</v>
      </c>
      <c r="E820" s="2" t="str">
        <f>IFERROR(__xludf.DUMMYFUNCTION("""COMPUTED_VALUE"""),"หญิง")</f>
        <v>หญิง</v>
      </c>
      <c r="F820" s="5" t="str">
        <f>IFERROR(__xludf.DUMMYFUNCTION("""COMPUTED_VALUE"""),"https://azizstan.net/student_image/25785.jpg")</f>
        <v>https://azizstan.net/student_image/25785.jpg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 t="str">
        <f>IFERROR(__xludf.DUMMYFUNCTION("""COMPUTED_VALUE"""),"25788")</f>
        <v>25788</v>
      </c>
      <c r="B821" s="3" t="str">
        <f>IFERROR(__xludf.DUMMYFUNCTION("""COMPUTED_VALUE"""),"ด.ญ.อนุสรา สาฟีอีน")</f>
        <v>ด.ญ.อนุสรา สาฟีอีน</v>
      </c>
      <c r="C821" s="3" t="str">
        <f>IFERROR(__xludf.DUMMYFUNCTION("""COMPUTED_VALUE"""),"ม.2/8")</f>
        <v>ม.2/8</v>
      </c>
      <c r="D821" s="3" t="str">
        <f>IFERROR(__xludf.DUMMYFUNCTION("""COMPUTED_VALUE"""),"อก.1/8")</f>
        <v>อก.1/8</v>
      </c>
      <c r="E821" s="2" t="str">
        <f>IFERROR(__xludf.DUMMYFUNCTION("""COMPUTED_VALUE"""),"หญิง")</f>
        <v>หญิง</v>
      </c>
      <c r="F821" s="5" t="str">
        <f>IFERROR(__xludf.DUMMYFUNCTION("""COMPUTED_VALUE"""),"https://azizstan.net/student_image/25788.jpg")</f>
        <v>https://azizstan.net/student_image/25788.jpg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 t="str">
        <f>IFERROR(__xludf.DUMMYFUNCTION("""COMPUTED_VALUE"""),"25804")</f>
        <v>25804</v>
      </c>
      <c r="B822" s="3" t="str">
        <f>IFERROR(__xludf.DUMMYFUNCTION("""COMPUTED_VALUE"""),"ด.ญ.ซีรีฮาน อิตำ")</f>
        <v>ด.ญ.ซีรีฮาน อิตำ</v>
      </c>
      <c r="C822" s="3" t="str">
        <f>IFERROR(__xludf.DUMMYFUNCTION("""COMPUTED_VALUE"""),"ม.2/8")</f>
        <v>ม.2/8</v>
      </c>
      <c r="D822" s="3" t="str">
        <f>IFERROR(__xludf.DUMMYFUNCTION("""COMPUTED_VALUE"""),"อก.1/8")</f>
        <v>อก.1/8</v>
      </c>
      <c r="E822" s="2" t="str">
        <f>IFERROR(__xludf.DUMMYFUNCTION("""COMPUTED_VALUE"""),"หญิง")</f>
        <v>หญิง</v>
      </c>
      <c r="F822" s="5" t="str">
        <f>IFERROR(__xludf.DUMMYFUNCTION("""COMPUTED_VALUE"""),"https://azizstan.net/student_image/25804.jpg")</f>
        <v>https://azizstan.net/student_image/25804.jpg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 t="str">
        <f>IFERROR(__xludf.DUMMYFUNCTION("""COMPUTED_VALUE"""),"25814")</f>
        <v>25814</v>
      </c>
      <c r="B823" s="3" t="str">
        <f>IFERROR(__xludf.DUMMYFUNCTION("""COMPUTED_VALUE"""),"ด.ญ.นูรคาลิซา หะสีแม")</f>
        <v>ด.ญ.นูรคาลิซา หะสีแม</v>
      </c>
      <c r="C823" s="3" t="str">
        <f>IFERROR(__xludf.DUMMYFUNCTION("""COMPUTED_VALUE"""),"ม.2/8")</f>
        <v>ม.2/8</v>
      </c>
      <c r="D823" s="3" t="str">
        <f>IFERROR(__xludf.DUMMYFUNCTION("""COMPUTED_VALUE"""),"อก.1/8")</f>
        <v>อก.1/8</v>
      </c>
      <c r="E823" s="2" t="str">
        <f>IFERROR(__xludf.DUMMYFUNCTION("""COMPUTED_VALUE"""),"หญิง")</f>
        <v>หญิง</v>
      </c>
      <c r="F823" s="5" t="str">
        <f>IFERROR(__xludf.DUMMYFUNCTION("""COMPUTED_VALUE"""),"https://azizstan.net/student_image/25814.jpg")</f>
        <v>https://azizstan.net/student_image/25814.jpg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 t="str">
        <f>IFERROR(__xludf.DUMMYFUNCTION("""COMPUTED_VALUE"""),"25822")</f>
        <v>25822</v>
      </c>
      <c r="B824" s="3" t="str">
        <f>IFERROR(__xludf.DUMMYFUNCTION("""COMPUTED_VALUE"""),"ด.ญ.ซาวาตี มะเด็ง")</f>
        <v>ด.ญ.ซาวาตี มะเด็ง</v>
      </c>
      <c r="C824" s="3" t="str">
        <f>IFERROR(__xludf.DUMMYFUNCTION("""COMPUTED_VALUE"""),"ม.2/8")</f>
        <v>ม.2/8</v>
      </c>
      <c r="D824" s="3" t="str">
        <f>IFERROR(__xludf.DUMMYFUNCTION("""COMPUTED_VALUE"""),"อก.1/8")</f>
        <v>อก.1/8</v>
      </c>
      <c r="E824" s="2" t="str">
        <f>IFERROR(__xludf.DUMMYFUNCTION("""COMPUTED_VALUE"""),"หญิง")</f>
        <v>หญิง</v>
      </c>
      <c r="F824" s="5" t="str">
        <f>IFERROR(__xludf.DUMMYFUNCTION("""COMPUTED_VALUE"""),"https://azizstan.net/student_image/25822.jpg")</f>
        <v>https://azizstan.net/student_image/25822.jpg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 t="str">
        <f>IFERROR(__xludf.DUMMYFUNCTION("""COMPUTED_VALUE"""),"25823")</f>
        <v>25823</v>
      </c>
      <c r="B825" s="3" t="str">
        <f>IFERROR(__xludf.DUMMYFUNCTION("""COMPUTED_VALUE"""),"ด.ญ.ซัลซะบีล จาเละ")</f>
        <v>ด.ญ.ซัลซะบีล จาเละ</v>
      </c>
      <c r="C825" s="3" t="str">
        <f>IFERROR(__xludf.DUMMYFUNCTION("""COMPUTED_VALUE"""),"ม.2/8")</f>
        <v>ม.2/8</v>
      </c>
      <c r="D825" s="3" t="str">
        <f>IFERROR(__xludf.DUMMYFUNCTION("""COMPUTED_VALUE"""),"อก.1/8")</f>
        <v>อก.1/8</v>
      </c>
      <c r="E825" s="2" t="str">
        <f>IFERROR(__xludf.DUMMYFUNCTION("""COMPUTED_VALUE"""),"หญิง")</f>
        <v>หญิง</v>
      </c>
      <c r="F825" s="5" t="str">
        <f>IFERROR(__xludf.DUMMYFUNCTION("""COMPUTED_VALUE"""),"https://azizstan.net/student_image/25823.jpg")</f>
        <v>https://azizstan.net/student_image/25823.jpg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 t="str">
        <f>IFERROR(__xludf.DUMMYFUNCTION("""COMPUTED_VALUE"""),"25920")</f>
        <v>25920</v>
      </c>
      <c r="B826" s="3" t="str">
        <f>IFERROR(__xludf.DUMMYFUNCTION("""COMPUTED_VALUE"""),"ด.ญ.อัลฟา ชายแผะ")</f>
        <v>ด.ญ.อัลฟา ชายแผะ</v>
      </c>
      <c r="C826" s="3" t="str">
        <f>IFERROR(__xludf.DUMMYFUNCTION("""COMPUTED_VALUE"""),"ม.2/8")</f>
        <v>ม.2/8</v>
      </c>
      <c r="D826" s="3" t="str">
        <f>IFERROR(__xludf.DUMMYFUNCTION("""COMPUTED_VALUE"""),"อก.1/8")</f>
        <v>อก.1/8</v>
      </c>
      <c r="E826" s="2" t="str">
        <f>IFERROR(__xludf.DUMMYFUNCTION("""COMPUTED_VALUE"""),"หญิง")</f>
        <v>หญิง</v>
      </c>
      <c r="F826" s="5" t="str">
        <f>IFERROR(__xludf.DUMMYFUNCTION("""COMPUTED_VALUE"""),"https://azizstan.net/student_image/25920.jpg")</f>
        <v>https://azizstan.net/student_image/25920.jpg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 t="str">
        <f>IFERROR(__xludf.DUMMYFUNCTION("""COMPUTED_VALUE"""),"25922")</f>
        <v>25922</v>
      </c>
      <c r="B827" s="3" t="str">
        <f>IFERROR(__xludf.DUMMYFUNCTION("""COMPUTED_VALUE"""),"ด.ญ.นัซนีน มุสอ")</f>
        <v>ด.ญ.นัซนีน มุสอ</v>
      </c>
      <c r="C827" s="3" t="str">
        <f>IFERROR(__xludf.DUMMYFUNCTION("""COMPUTED_VALUE"""),"ม.2/8")</f>
        <v>ม.2/8</v>
      </c>
      <c r="D827" s="3" t="str">
        <f>IFERROR(__xludf.DUMMYFUNCTION("""COMPUTED_VALUE"""),"อก.1/8")</f>
        <v>อก.1/8</v>
      </c>
      <c r="E827" s="2" t="str">
        <f>IFERROR(__xludf.DUMMYFUNCTION("""COMPUTED_VALUE"""),"หญิง")</f>
        <v>หญิง</v>
      </c>
      <c r="F827" s="5" t="str">
        <f>IFERROR(__xludf.DUMMYFUNCTION("""COMPUTED_VALUE"""),"https://azizstan.net/student_image/25922.jpg")</f>
        <v>https://azizstan.net/student_image/25922.jpg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 t="str">
        <f>IFERROR(__xludf.DUMMYFUNCTION("""COMPUTED_VALUE"""),"25929")</f>
        <v>25929</v>
      </c>
      <c r="B828" s="3" t="str">
        <f>IFERROR(__xludf.DUMMYFUNCTION("""COMPUTED_VALUE"""),"ด.ญ.นูรซาฮีดะห์ จาเละ")</f>
        <v>ด.ญ.นูรซาฮีดะห์ จาเละ</v>
      </c>
      <c r="C828" s="3" t="str">
        <f>IFERROR(__xludf.DUMMYFUNCTION("""COMPUTED_VALUE"""),"ม.2/8")</f>
        <v>ม.2/8</v>
      </c>
      <c r="D828" s="3" t="str">
        <f>IFERROR(__xludf.DUMMYFUNCTION("""COMPUTED_VALUE"""),"อก.1/8")</f>
        <v>อก.1/8</v>
      </c>
      <c r="E828" s="2" t="str">
        <f>IFERROR(__xludf.DUMMYFUNCTION("""COMPUTED_VALUE"""),"หญิง")</f>
        <v>หญิง</v>
      </c>
      <c r="F828" s="5" t="str">
        <f>IFERROR(__xludf.DUMMYFUNCTION("""COMPUTED_VALUE"""),"https://azizstan.net/student_image/25929.jpg")</f>
        <v>https://azizstan.net/student_image/25929.jpg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 t="str">
        <f>IFERROR(__xludf.DUMMYFUNCTION("""COMPUTED_VALUE"""),"25971")</f>
        <v>25971</v>
      </c>
      <c r="B829" s="3" t="str">
        <f>IFERROR(__xludf.DUMMYFUNCTION("""COMPUTED_VALUE"""),"ด.ญ.นภสร มุณี")</f>
        <v>ด.ญ.นภสร มุณี</v>
      </c>
      <c r="C829" s="3" t="str">
        <f>IFERROR(__xludf.DUMMYFUNCTION("""COMPUTED_VALUE"""),"ม.2/8")</f>
        <v>ม.2/8</v>
      </c>
      <c r="D829" s="3" t="str">
        <f>IFERROR(__xludf.DUMMYFUNCTION("""COMPUTED_VALUE"""),"อก.1/8")</f>
        <v>อก.1/8</v>
      </c>
      <c r="E829" s="2" t="str">
        <f>IFERROR(__xludf.DUMMYFUNCTION("""COMPUTED_VALUE"""),"หญิง")</f>
        <v>หญิง</v>
      </c>
      <c r="F829" s="5" t="str">
        <f>IFERROR(__xludf.DUMMYFUNCTION("""COMPUTED_VALUE"""),"https://azizstan.net/student_image/25971.jpg")</f>
        <v>https://azizstan.net/student_image/25971.jpg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 t="str">
        <f>IFERROR(__xludf.DUMMYFUNCTION("""COMPUTED_VALUE"""),"25987")</f>
        <v>25987</v>
      </c>
      <c r="B830" s="3" t="str">
        <f>IFERROR(__xludf.DUMMYFUNCTION("""COMPUTED_VALUE"""),"ด.ญ.นัจวา ดือรามะ")</f>
        <v>ด.ญ.นัจวา ดือรามะ</v>
      </c>
      <c r="C830" s="3" t="str">
        <f>IFERROR(__xludf.DUMMYFUNCTION("""COMPUTED_VALUE"""),"ม.2/8")</f>
        <v>ม.2/8</v>
      </c>
      <c r="D830" s="3" t="str">
        <f>IFERROR(__xludf.DUMMYFUNCTION("""COMPUTED_VALUE"""),"อก.1/8")</f>
        <v>อก.1/8</v>
      </c>
      <c r="E830" s="2" t="str">
        <f>IFERROR(__xludf.DUMMYFUNCTION("""COMPUTED_VALUE"""),"หญิง")</f>
        <v>หญิง</v>
      </c>
      <c r="F830" s="5" t="str">
        <f>IFERROR(__xludf.DUMMYFUNCTION("""COMPUTED_VALUE"""),"https://azizstan.net/student_image/25987.jpg")</f>
        <v>https://azizstan.net/student_image/25987.jpg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 t="str">
        <f>IFERROR(__xludf.DUMMYFUNCTION("""COMPUTED_VALUE"""),"25990")</f>
        <v>25990</v>
      </c>
      <c r="B831" s="3" t="str">
        <f>IFERROR(__xludf.DUMMYFUNCTION("""COMPUTED_VALUE"""),"ด.ญ.นูรีฟา ตาเฮ")</f>
        <v>ด.ญ.นูรีฟา ตาเฮ</v>
      </c>
      <c r="C831" s="3" t="str">
        <f>IFERROR(__xludf.DUMMYFUNCTION("""COMPUTED_VALUE"""),"ม.2/8")</f>
        <v>ม.2/8</v>
      </c>
      <c r="D831" s="3" t="str">
        <f>IFERROR(__xludf.DUMMYFUNCTION("""COMPUTED_VALUE"""),"อก.1/8")</f>
        <v>อก.1/8</v>
      </c>
      <c r="E831" s="2" t="str">
        <f>IFERROR(__xludf.DUMMYFUNCTION("""COMPUTED_VALUE"""),"หญิง")</f>
        <v>หญิง</v>
      </c>
      <c r="F831" s="5" t="str">
        <f>IFERROR(__xludf.DUMMYFUNCTION("""COMPUTED_VALUE"""),"https://azizstan.net/student_image/25990.jpg")</f>
        <v>https://azizstan.net/student_image/25990.jpg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" t="str">
        <f>IFERROR(__xludf.DUMMYFUNCTION("""COMPUTED_VALUE"""),"25994")</f>
        <v>25994</v>
      </c>
      <c r="B832" s="3" t="str">
        <f>IFERROR(__xludf.DUMMYFUNCTION("""COMPUTED_VALUE"""),"ด.ญ.ก๊อฏรุนนะดา อัมภรัตน์")</f>
        <v>ด.ญ.ก๊อฏรุนนะดา อัมภรัตน์</v>
      </c>
      <c r="C832" s="3" t="str">
        <f>IFERROR(__xludf.DUMMYFUNCTION("""COMPUTED_VALUE"""),"ม.2/8")</f>
        <v>ม.2/8</v>
      </c>
      <c r="D832" s="3" t="str">
        <f>IFERROR(__xludf.DUMMYFUNCTION("""COMPUTED_VALUE"""),"อก.1/8")</f>
        <v>อก.1/8</v>
      </c>
      <c r="E832" s="2" t="str">
        <f>IFERROR(__xludf.DUMMYFUNCTION("""COMPUTED_VALUE"""),"หญิง")</f>
        <v>หญิง</v>
      </c>
      <c r="F832" s="5" t="str">
        <f>IFERROR(__xludf.DUMMYFUNCTION("""COMPUTED_VALUE"""),"https://azizstan.net/student_image/25994.jpg")</f>
        <v>https://azizstan.net/student_image/25994.jpg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" t="str">
        <f>IFERROR(__xludf.DUMMYFUNCTION("""COMPUTED_VALUE"""),"25395")</f>
        <v>25395</v>
      </c>
      <c r="B833" s="3" t="str">
        <f>IFERROR(__xludf.DUMMYFUNCTION("""COMPUTED_VALUE"""),"ด.ญ.ธนัชชา สาหมาน")</f>
        <v>ด.ญ.ธนัชชา สาหมาน</v>
      </c>
      <c r="C833" s="3" t="str">
        <f>IFERROR(__xludf.DUMMYFUNCTION("""COMPUTED_VALUE"""),"ม.2/9")</f>
        <v>ม.2/9</v>
      </c>
      <c r="D833" s="3" t="str">
        <f>IFERROR(__xludf.DUMMYFUNCTION("""COMPUTED_VALUE"""),"อก.1/9")</f>
        <v>อก.1/9</v>
      </c>
      <c r="E833" s="2" t="str">
        <f>IFERROR(__xludf.DUMMYFUNCTION("""COMPUTED_VALUE"""),"หญิง")</f>
        <v>หญิง</v>
      </c>
      <c r="F833" s="5" t="str">
        <f>IFERROR(__xludf.DUMMYFUNCTION("""COMPUTED_VALUE"""),"https://azizstan.net/student_image/25395.jpg")</f>
        <v>https://azizstan.net/student_image/25395.jpg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" t="str">
        <f>IFERROR(__xludf.DUMMYFUNCTION("""COMPUTED_VALUE"""),"25398")</f>
        <v>25398</v>
      </c>
      <c r="B834" s="3" t="str">
        <f>IFERROR(__xludf.DUMMYFUNCTION("""COMPUTED_VALUE"""),"ด.ญ.โซเฟีย ยูโซะ")</f>
        <v>ด.ญ.โซเฟีย ยูโซะ</v>
      </c>
      <c r="C834" s="3" t="str">
        <f>IFERROR(__xludf.DUMMYFUNCTION("""COMPUTED_VALUE"""),"ม.2/9")</f>
        <v>ม.2/9</v>
      </c>
      <c r="D834" s="3" t="str">
        <f>IFERROR(__xludf.DUMMYFUNCTION("""COMPUTED_VALUE"""),"อก.1/9")</f>
        <v>อก.1/9</v>
      </c>
      <c r="E834" s="2" t="str">
        <f>IFERROR(__xludf.DUMMYFUNCTION("""COMPUTED_VALUE"""),"หญิง")</f>
        <v>หญิง</v>
      </c>
      <c r="F834" s="5" t="str">
        <f>IFERROR(__xludf.DUMMYFUNCTION("""COMPUTED_VALUE"""),"https://azizstan.net/student_image/25398.jpg")</f>
        <v>https://azizstan.net/student_image/25398.jpg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" t="str">
        <f>IFERROR(__xludf.DUMMYFUNCTION("""COMPUTED_VALUE"""),"25439")</f>
        <v>25439</v>
      </c>
      <c r="B835" s="3" t="str">
        <f>IFERROR(__xludf.DUMMYFUNCTION("""COMPUTED_VALUE"""),"ด.ญ.ยัสมี นาคอ")</f>
        <v>ด.ญ.ยัสมี นาคอ</v>
      </c>
      <c r="C835" s="3" t="str">
        <f>IFERROR(__xludf.DUMMYFUNCTION("""COMPUTED_VALUE"""),"ม.2/9")</f>
        <v>ม.2/9</v>
      </c>
      <c r="D835" s="3" t="str">
        <f>IFERROR(__xludf.DUMMYFUNCTION("""COMPUTED_VALUE"""),"อก.1/9")</f>
        <v>อก.1/9</v>
      </c>
      <c r="E835" s="2" t="str">
        <f>IFERROR(__xludf.DUMMYFUNCTION("""COMPUTED_VALUE"""),"หญิง")</f>
        <v>หญิง</v>
      </c>
      <c r="F835" s="5" t="str">
        <f>IFERROR(__xludf.DUMMYFUNCTION("""COMPUTED_VALUE"""),"https://azizstan.net/student_image/25439.jpg")</f>
        <v>https://azizstan.net/student_image/25439.jpg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" t="str">
        <f>IFERROR(__xludf.DUMMYFUNCTION("""COMPUTED_VALUE"""),"25464")</f>
        <v>25464</v>
      </c>
      <c r="B836" s="3" t="str">
        <f>IFERROR(__xludf.DUMMYFUNCTION("""COMPUTED_VALUE"""),"ด.ญ.นูรฮัลวา หะยีเยะ")</f>
        <v>ด.ญ.นูรฮัลวา หะยีเยะ</v>
      </c>
      <c r="C836" s="3" t="str">
        <f>IFERROR(__xludf.DUMMYFUNCTION("""COMPUTED_VALUE"""),"ม.2/9")</f>
        <v>ม.2/9</v>
      </c>
      <c r="D836" s="3" t="str">
        <f>IFERROR(__xludf.DUMMYFUNCTION("""COMPUTED_VALUE"""),"อก.1/9")</f>
        <v>อก.1/9</v>
      </c>
      <c r="E836" s="2" t="str">
        <f>IFERROR(__xludf.DUMMYFUNCTION("""COMPUTED_VALUE"""),"หญิง")</f>
        <v>หญิง</v>
      </c>
      <c r="F836" s="5" t="str">
        <f>IFERROR(__xludf.DUMMYFUNCTION("""COMPUTED_VALUE"""),"https://azizstan.net/student_image/25464.jpg")</f>
        <v>https://azizstan.net/student_image/25464.jpg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 t="str">
        <f>IFERROR(__xludf.DUMMYFUNCTION("""COMPUTED_VALUE"""),"25490")</f>
        <v>25490</v>
      </c>
      <c r="B837" s="3" t="str">
        <f>IFERROR(__xludf.DUMMYFUNCTION("""COMPUTED_VALUE"""),"ด.ญ.นิอารฟา ยะโกะ")</f>
        <v>ด.ญ.นิอารฟา ยะโกะ</v>
      </c>
      <c r="C837" s="3" t="str">
        <f>IFERROR(__xludf.DUMMYFUNCTION("""COMPUTED_VALUE"""),"ม.2/9")</f>
        <v>ม.2/9</v>
      </c>
      <c r="D837" s="3" t="str">
        <f>IFERROR(__xludf.DUMMYFUNCTION("""COMPUTED_VALUE"""),"อก.1/9")</f>
        <v>อก.1/9</v>
      </c>
      <c r="E837" s="2" t="str">
        <f>IFERROR(__xludf.DUMMYFUNCTION("""COMPUTED_VALUE"""),"หญิง")</f>
        <v>หญิง</v>
      </c>
      <c r="F837" s="5" t="str">
        <f>IFERROR(__xludf.DUMMYFUNCTION("""COMPUTED_VALUE"""),"https://azizstan.net/student_image/25490.jpg")</f>
        <v>https://azizstan.net/student_image/25490.jpg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" t="str">
        <f>IFERROR(__xludf.DUMMYFUNCTION("""COMPUTED_VALUE"""),"25499")</f>
        <v>25499</v>
      </c>
      <c r="B838" s="3" t="str">
        <f>IFERROR(__xludf.DUMMYFUNCTION("""COMPUTED_VALUE"""),"ด.ญ.โซฟีย๊ะ สะหะ")</f>
        <v>ด.ญ.โซฟีย๊ะ สะหะ</v>
      </c>
      <c r="C838" s="3" t="str">
        <f>IFERROR(__xludf.DUMMYFUNCTION("""COMPUTED_VALUE"""),"ม.2/9")</f>
        <v>ม.2/9</v>
      </c>
      <c r="D838" s="3" t="str">
        <f>IFERROR(__xludf.DUMMYFUNCTION("""COMPUTED_VALUE"""),"อก.1/9")</f>
        <v>อก.1/9</v>
      </c>
      <c r="E838" s="2" t="str">
        <f>IFERROR(__xludf.DUMMYFUNCTION("""COMPUTED_VALUE"""),"หญิง")</f>
        <v>หญิง</v>
      </c>
      <c r="F838" s="5" t="str">
        <f>IFERROR(__xludf.DUMMYFUNCTION("""COMPUTED_VALUE"""),"https://azizstan.net/student_image/25499.jpg")</f>
        <v>https://azizstan.net/student_image/25499.jpg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" t="str">
        <f>IFERROR(__xludf.DUMMYFUNCTION("""COMPUTED_VALUE"""),"25547")</f>
        <v>25547</v>
      </c>
      <c r="B839" s="3" t="str">
        <f>IFERROR(__xludf.DUMMYFUNCTION("""COMPUTED_VALUE"""),"ด.ญ.นุรนัสรินดา ดอเลาะ")</f>
        <v>ด.ญ.นุรนัสรินดา ดอเลาะ</v>
      </c>
      <c r="C839" s="3" t="str">
        <f>IFERROR(__xludf.DUMMYFUNCTION("""COMPUTED_VALUE"""),"ม.2/9")</f>
        <v>ม.2/9</v>
      </c>
      <c r="D839" s="3" t="str">
        <f>IFERROR(__xludf.DUMMYFUNCTION("""COMPUTED_VALUE"""),"อก.1/9")</f>
        <v>อก.1/9</v>
      </c>
      <c r="E839" s="2" t="str">
        <f>IFERROR(__xludf.DUMMYFUNCTION("""COMPUTED_VALUE"""),"หญิง")</f>
        <v>หญิง</v>
      </c>
      <c r="F839" s="5" t="str">
        <f>IFERROR(__xludf.DUMMYFUNCTION("""COMPUTED_VALUE"""),"https://azizstan.net/student_image/25547.jpg")</f>
        <v>https://azizstan.net/student_image/25547.jpg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" t="str">
        <f>IFERROR(__xludf.DUMMYFUNCTION("""COMPUTED_VALUE"""),"25563")</f>
        <v>25563</v>
      </c>
      <c r="B840" s="3" t="str">
        <f>IFERROR(__xludf.DUMMYFUNCTION("""COMPUTED_VALUE"""),"ด.ญ.นูรีฮัน สะนอ")</f>
        <v>ด.ญ.นูรีฮัน สะนอ</v>
      </c>
      <c r="C840" s="3" t="str">
        <f>IFERROR(__xludf.DUMMYFUNCTION("""COMPUTED_VALUE"""),"ม.2/9")</f>
        <v>ม.2/9</v>
      </c>
      <c r="D840" s="3" t="str">
        <f>IFERROR(__xludf.DUMMYFUNCTION("""COMPUTED_VALUE"""),"อก.1/9")</f>
        <v>อก.1/9</v>
      </c>
      <c r="E840" s="2" t="str">
        <f>IFERROR(__xludf.DUMMYFUNCTION("""COMPUTED_VALUE"""),"หญิง")</f>
        <v>หญิง</v>
      </c>
      <c r="F840" s="5" t="str">
        <f>IFERROR(__xludf.DUMMYFUNCTION("""COMPUTED_VALUE"""),"https://azizstan.net/student_image/25563.jpg")</f>
        <v>https://azizstan.net/student_image/25563.jpg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" t="str">
        <f>IFERROR(__xludf.DUMMYFUNCTION("""COMPUTED_VALUE"""),"25571")</f>
        <v>25571</v>
      </c>
      <c r="B841" s="3" t="str">
        <f>IFERROR(__xludf.DUMMYFUNCTION("""COMPUTED_VALUE"""),"ด.ญ.ดารูณีย์ เวาะโย๊ะ")</f>
        <v>ด.ญ.ดารูณีย์ เวาะโย๊ะ</v>
      </c>
      <c r="C841" s="3" t="str">
        <f>IFERROR(__xludf.DUMMYFUNCTION("""COMPUTED_VALUE"""),"ม.2/9")</f>
        <v>ม.2/9</v>
      </c>
      <c r="D841" s="3" t="str">
        <f>IFERROR(__xludf.DUMMYFUNCTION("""COMPUTED_VALUE"""),"อก.1/9")</f>
        <v>อก.1/9</v>
      </c>
      <c r="E841" s="2" t="str">
        <f>IFERROR(__xludf.DUMMYFUNCTION("""COMPUTED_VALUE"""),"หญิง")</f>
        <v>หญิง</v>
      </c>
      <c r="F841" s="5" t="str">
        <f>IFERROR(__xludf.DUMMYFUNCTION("""COMPUTED_VALUE"""),"https://azizstan.net/student_image/25571.jpg")</f>
        <v>https://azizstan.net/student_image/25571.jpg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 t="str">
        <f>IFERROR(__xludf.DUMMYFUNCTION("""COMPUTED_VALUE"""),"25590")</f>
        <v>25590</v>
      </c>
      <c r="B842" s="3" t="str">
        <f>IFERROR(__xludf.DUMMYFUNCTION("""COMPUTED_VALUE"""),"ด.ญ.ซูฮาดา จักษุณาณ")</f>
        <v>ด.ญ.ซูฮาดา จักษุณาณ</v>
      </c>
      <c r="C842" s="3" t="str">
        <f>IFERROR(__xludf.DUMMYFUNCTION("""COMPUTED_VALUE"""),"ม.2/9")</f>
        <v>ม.2/9</v>
      </c>
      <c r="D842" s="3" t="str">
        <f>IFERROR(__xludf.DUMMYFUNCTION("""COMPUTED_VALUE"""),"อก.1/9")</f>
        <v>อก.1/9</v>
      </c>
      <c r="E842" s="2" t="str">
        <f>IFERROR(__xludf.DUMMYFUNCTION("""COMPUTED_VALUE"""),"หญิง")</f>
        <v>หญิง</v>
      </c>
      <c r="F842" s="5" t="str">
        <f>IFERROR(__xludf.DUMMYFUNCTION("""COMPUTED_VALUE"""),"https://azizstan.net/student_image/25590.jpg")</f>
        <v>https://azizstan.net/student_image/25590.jpg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 t="str">
        <f>IFERROR(__xludf.DUMMYFUNCTION("""COMPUTED_VALUE"""),"25597")</f>
        <v>25597</v>
      </c>
      <c r="B843" s="3" t="str">
        <f>IFERROR(__xludf.DUMMYFUNCTION("""COMPUTED_VALUE"""),"ด.ญ.ซาฮัยฟาร์ ลาเส็น")</f>
        <v>ด.ญ.ซาฮัยฟาร์ ลาเส็น</v>
      </c>
      <c r="C843" s="3" t="str">
        <f>IFERROR(__xludf.DUMMYFUNCTION("""COMPUTED_VALUE"""),"ม.2/9")</f>
        <v>ม.2/9</v>
      </c>
      <c r="D843" s="3" t="str">
        <f>IFERROR(__xludf.DUMMYFUNCTION("""COMPUTED_VALUE"""),"อก.1/9")</f>
        <v>อก.1/9</v>
      </c>
      <c r="E843" s="2" t="str">
        <f>IFERROR(__xludf.DUMMYFUNCTION("""COMPUTED_VALUE"""),"หญิง")</f>
        <v>หญิง</v>
      </c>
      <c r="F843" s="5" t="str">
        <f>IFERROR(__xludf.DUMMYFUNCTION("""COMPUTED_VALUE"""),"https://azizstan.net/student_image/25597.jpg")</f>
        <v>https://azizstan.net/student_image/25597.jpg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 t="str">
        <f>IFERROR(__xludf.DUMMYFUNCTION("""COMPUTED_VALUE"""),"25604")</f>
        <v>25604</v>
      </c>
      <c r="B844" s="3" t="str">
        <f>IFERROR(__xludf.DUMMYFUNCTION("""COMPUTED_VALUE"""),"ด.ญ.นูรีตา ปุเตะ")</f>
        <v>ด.ญ.นูรีตา ปุเตะ</v>
      </c>
      <c r="C844" s="3" t="str">
        <f>IFERROR(__xludf.DUMMYFUNCTION("""COMPUTED_VALUE"""),"ม.2/9")</f>
        <v>ม.2/9</v>
      </c>
      <c r="D844" s="3" t="str">
        <f>IFERROR(__xludf.DUMMYFUNCTION("""COMPUTED_VALUE"""),"อก.1/9")</f>
        <v>อก.1/9</v>
      </c>
      <c r="E844" s="2" t="str">
        <f>IFERROR(__xludf.DUMMYFUNCTION("""COMPUTED_VALUE"""),"หญิง")</f>
        <v>หญิง</v>
      </c>
      <c r="F844" s="5" t="str">
        <f>IFERROR(__xludf.DUMMYFUNCTION("""COMPUTED_VALUE"""),"https://azizstan.net/student_image/25604.jpg")</f>
        <v>https://azizstan.net/student_image/25604.jpg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 t="str">
        <f>IFERROR(__xludf.DUMMYFUNCTION("""COMPUTED_VALUE"""),"25697")</f>
        <v>25697</v>
      </c>
      <c r="B845" s="3" t="str">
        <f>IFERROR(__xludf.DUMMYFUNCTION("""COMPUTED_VALUE"""),"ด.ญ.นูรอารีย์ฟา หมะสมาน")</f>
        <v>ด.ญ.นูรอารีย์ฟา หมะสมาน</v>
      </c>
      <c r="C845" s="3" t="str">
        <f>IFERROR(__xludf.DUMMYFUNCTION("""COMPUTED_VALUE"""),"ม.2/9")</f>
        <v>ม.2/9</v>
      </c>
      <c r="D845" s="3" t="str">
        <f>IFERROR(__xludf.DUMMYFUNCTION("""COMPUTED_VALUE"""),"อก.1/9")</f>
        <v>อก.1/9</v>
      </c>
      <c r="E845" s="2" t="str">
        <f>IFERROR(__xludf.DUMMYFUNCTION("""COMPUTED_VALUE"""),"หญิง")</f>
        <v>หญิง</v>
      </c>
      <c r="F845" s="5" t="str">
        <f>IFERROR(__xludf.DUMMYFUNCTION("""COMPUTED_VALUE"""),"https://azizstan.net/student_image/25697.jpg")</f>
        <v>https://azizstan.net/student_image/25697.jpg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 t="str">
        <f>IFERROR(__xludf.DUMMYFUNCTION("""COMPUTED_VALUE"""),"25756")</f>
        <v>25756</v>
      </c>
      <c r="B846" s="3" t="str">
        <f>IFERROR(__xludf.DUMMYFUNCTION("""COMPUTED_VALUE"""),"ด.ญ.นูรไอ เปาะโกะ")</f>
        <v>ด.ญ.นูรไอ เปาะโกะ</v>
      </c>
      <c r="C846" s="3" t="str">
        <f>IFERROR(__xludf.DUMMYFUNCTION("""COMPUTED_VALUE"""),"ม.2/9")</f>
        <v>ม.2/9</v>
      </c>
      <c r="D846" s="3" t="str">
        <f>IFERROR(__xludf.DUMMYFUNCTION("""COMPUTED_VALUE"""),"อก.1/9")</f>
        <v>อก.1/9</v>
      </c>
      <c r="E846" s="2" t="str">
        <f>IFERROR(__xludf.DUMMYFUNCTION("""COMPUTED_VALUE"""),"หญิง")</f>
        <v>หญิง</v>
      </c>
      <c r="F846" s="5" t="str">
        <f>IFERROR(__xludf.DUMMYFUNCTION("""COMPUTED_VALUE"""),"https://azizstan.net/student_image/25756.jpg")</f>
        <v>https://azizstan.net/student_image/25756.jpg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 t="str">
        <f>IFERROR(__xludf.DUMMYFUNCTION("""COMPUTED_VALUE"""),"25775")</f>
        <v>25775</v>
      </c>
      <c r="B847" s="3" t="str">
        <f>IFERROR(__xludf.DUMMYFUNCTION("""COMPUTED_VALUE"""),"ด.ญ.นูรฟิรดาว วาแม็ง")</f>
        <v>ด.ญ.นูรฟิรดาว วาแม็ง</v>
      </c>
      <c r="C847" s="3" t="str">
        <f>IFERROR(__xludf.DUMMYFUNCTION("""COMPUTED_VALUE"""),"ม.2/9")</f>
        <v>ม.2/9</v>
      </c>
      <c r="D847" s="3" t="str">
        <f>IFERROR(__xludf.DUMMYFUNCTION("""COMPUTED_VALUE"""),"อก.1/9")</f>
        <v>อก.1/9</v>
      </c>
      <c r="E847" s="2" t="str">
        <f>IFERROR(__xludf.DUMMYFUNCTION("""COMPUTED_VALUE"""),"หญิง")</f>
        <v>หญิง</v>
      </c>
      <c r="F847" s="5" t="str">
        <f>IFERROR(__xludf.DUMMYFUNCTION("""COMPUTED_VALUE"""),"https://azizstan.net/student_image/25775.jpg")</f>
        <v>https://azizstan.net/student_image/25775.jpg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 t="str">
        <f>IFERROR(__xludf.DUMMYFUNCTION("""COMPUTED_VALUE"""),"25825")</f>
        <v>25825</v>
      </c>
      <c r="B848" s="3" t="str">
        <f>IFERROR(__xludf.DUMMYFUNCTION("""COMPUTED_VALUE"""),"ด.ญ.โซเฟีย ดอเลาะ")</f>
        <v>ด.ญ.โซเฟีย ดอเลาะ</v>
      </c>
      <c r="C848" s="3" t="str">
        <f>IFERROR(__xludf.DUMMYFUNCTION("""COMPUTED_VALUE"""),"ม.2/9")</f>
        <v>ม.2/9</v>
      </c>
      <c r="D848" s="3" t="str">
        <f>IFERROR(__xludf.DUMMYFUNCTION("""COMPUTED_VALUE"""),"อก.1/9")</f>
        <v>อก.1/9</v>
      </c>
      <c r="E848" s="2" t="str">
        <f>IFERROR(__xludf.DUMMYFUNCTION("""COMPUTED_VALUE"""),"หญิง")</f>
        <v>หญิง</v>
      </c>
      <c r="F848" s="5" t="str">
        <f>IFERROR(__xludf.DUMMYFUNCTION("""COMPUTED_VALUE"""),"https://azizstan.net/student_image/25825.jpg")</f>
        <v>https://azizstan.net/student_image/25825.jpg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 t="str">
        <f>IFERROR(__xludf.DUMMYFUNCTION("""COMPUTED_VALUE"""),"25828")</f>
        <v>25828</v>
      </c>
      <c r="B849" s="3" t="str">
        <f>IFERROR(__xludf.DUMMYFUNCTION("""COMPUTED_VALUE"""),"ด.ญ.ตุลฟะฮ์ อาบูวะ")</f>
        <v>ด.ญ.ตุลฟะฮ์ อาบูวะ</v>
      </c>
      <c r="C849" s="3" t="str">
        <f>IFERROR(__xludf.DUMMYFUNCTION("""COMPUTED_VALUE"""),"ม.2/9")</f>
        <v>ม.2/9</v>
      </c>
      <c r="D849" s="3" t="str">
        <f>IFERROR(__xludf.DUMMYFUNCTION("""COMPUTED_VALUE"""),"อก.1/9")</f>
        <v>อก.1/9</v>
      </c>
      <c r="E849" s="2" t="str">
        <f>IFERROR(__xludf.DUMMYFUNCTION("""COMPUTED_VALUE"""),"หญิง")</f>
        <v>หญิง</v>
      </c>
      <c r="F849" s="5" t="str">
        <f>IFERROR(__xludf.DUMMYFUNCTION("""COMPUTED_VALUE"""),"https://azizstan.net/student_image/25828.jpg")</f>
        <v>https://azizstan.net/student_image/25828.jpg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 t="str">
        <f>IFERROR(__xludf.DUMMYFUNCTION("""COMPUTED_VALUE"""),"25837")</f>
        <v>25837</v>
      </c>
      <c r="B850" s="3" t="str">
        <f>IFERROR(__xludf.DUMMYFUNCTION("""COMPUTED_VALUE"""),"ด.ญ.ไอร์ราฏา มามะ")</f>
        <v>ด.ญ.ไอร์ราฏา มามะ</v>
      </c>
      <c r="C850" s="3" t="str">
        <f>IFERROR(__xludf.DUMMYFUNCTION("""COMPUTED_VALUE"""),"ม.2/9")</f>
        <v>ม.2/9</v>
      </c>
      <c r="D850" s="3" t="str">
        <f>IFERROR(__xludf.DUMMYFUNCTION("""COMPUTED_VALUE"""),"อก.1/9")</f>
        <v>อก.1/9</v>
      </c>
      <c r="E850" s="2" t="str">
        <f>IFERROR(__xludf.DUMMYFUNCTION("""COMPUTED_VALUE"""),"หญิง")</f>
        <v>หญิง</v>
      </c>
      <c r="F850" s="5" t="str">
        <f>IFERROR(__xludf.DUMMYFUNCTION("""COMPUTED_VALUE"""),"https://azizstan.net/student_image/25837.jpg")</f>
        <v>https://azizstan.net/student_image/25837.jpg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 t="str">
        <f>IFERROR(__xludf.DUMMYFUNCTION("""COMPUTED_VALUE"""),"25838")</f>
        <v>25838</v>
      </c>
      <c r="B851" s="3" t="str">
        <f>IFERROR(__xludf.DUMMYFUNCTION("""COMPUTED_VALUE"""),"ด.ญ.อัสมี ดองอย")</f>
        <v>ด.ญ.อัสมี ดองอย</v>
      </c>
      <c r="C851" s="3" t="str">
        <f>IFERROR(__xludf.DUMMYFUNCTION("""COMPUTED_VALUE"""),"ม.2/9")</f>
        <v>ม.2/9</v>
      </c>
      <c r="D851" s="3" t="str">
        <f>IFERROR(__xludf.DUMMYFUNCTION("""COMPUTED_VALUE"""),"อก.1/9")</f>
        <v>อก.1/9</v>
      </c>
      <c r="E851" s="2" t="str">
        <f>IFERROR(__xludf.DUMMYFUNCTION("""COMPUTED_VALUE"""),"หญิง")</f>
        <v>หญิง</v>
      </c>
      <c r="F851" s="5" t="str">
        <f>IFERROR(__xludf.DUMMYFUNCTION("""COMPUTED_VALUE"""),"https://azizstan.net/student_image/25838.jpg")</f>
        <v>https://azizstan.net/student_image/25838.jpg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 t="str">
        <f>IFERROR(__xludf.DUMMYFUNCTION("""COMPUTED_VALUE"""),"25850")</f>
        <v>25850</v>
      </c>
      <c r="B852" s="3" t="str">
        <f>IFERROR(__xludf.DUMMYFUNCTION("""COMPUTED_VALUE"""),"ด.ญ.นิอัลวานี สะตาปอ")</f>
        <v>ด.ญ.นิอัลวานี สะตาปอ</v>
      </c>
      <c r="C852" s="3" t="str">
        <f>IFERROR(__xludf.DUMMYFUNCTION("""COMPUTED_VALUE"""),"ม.2/9")</f>
        <v>ม.2/9</v>
      </c>
      <c r="D852" s="3" t="str">
        <f>IFERROR(__xludf.DUMMYFUNCTION("""COMPUTED_VALUE"""),"อก.1/9")</f>
        <v>อก.1/9</v>
      </c>
      <c r="E852" s="2" t="str">
        <f>IFERROR(__xludf.DUMMYFUNCTION("""COMPUTED_VALUE"""),"หญิง")</f>
        <v>หญิง</v>
      </c>
      <c r="F852" s="5" t="str">
        <f>IFERROR(__xludf.DUMMYFUNCTION("""COMPUTED_VALUE"""),"https://azizstan.net/student_image/25850.jpg")</f>
        <v>https://azizstan.net/student_image/25850.jpg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 t="str">
        <f>IFERROR(__xludf.DUMMYFUNCTION("""COMPUTED_VALUE"""),"25851")</f>
        <v>25851</v>
      </c>
      <c r="B853" s="3" t="str">
        <f>IFERROR(__xludf.DUMMYFUNCTION("""COMPUTED_VALUE"""),"ด.ญ.นาดา สลำเหม")</f>
        <v>ด.ญ.นาดา สลำเหม</v>
      </c>
      <c r="C853" s="3" t="str">
        <f>IFERROR(__xludf.DUMMYFUNCTION("""COMPUTED_VALUE"""),"ม.2/9")</f>
        <v>ม.2/9</v>
      </c>
      <c r="D853" s="3" t="str">
        <f>IFERROR(__xludf.DUMMYFUNCTION("""COMPUTED_VALUE"""),"อก.1/9")</f>
        <v>อก.1/9</v>
      </c>
      <c r="E853" s="2" t="str">
        <f>IFERROR(__xludf.DUMMYFUNCTION("""COMPUTED_VALUE"""),"หญิง")</f>
        <v>หญิง</v>
      </c>
      <c r="F853" s="5" t="str">
        <f>IFERROR(__xludf.DUMMYFUNCTION("""COMPUTED_VALUE"""),"https://azizstan.net/student_image/25851.jpg")</f>
        <v>https://azizstan.net/student_image/25851.jpg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 t="str">
        <f>IFERROR(__xludf.DUMMYFUNCTION("""COMPUTED_VALUE"""),"25854")</f>
        <v>25854</v>
      </c>
      <c r="B854" s="3" t="str">
        <f>IFERROR(__xludf.DUMMYFUNCTION("""COMPUTED_VALUE"""),"ด.ญ.อามานี โส๊ะบอ")</f>
        <v>ด.ญ.อามานี โส๊ะบอ</v>
      </c>
      <c r="C854" s="3" t="str">
        <f>IFERROR(__xludf.DUMMYFUNCTION("""COMPUTED_VALUE"""),"ม.2/9")</f>
        <v>ม.2/9</v>
      </c>
      <c r="D854" s="3" t="str">
        <f>IFERROR(__xludf.DUMMYFUNCTION("""COMPUTED_VALUE"""),"อก.1/9")</f>
        <v>อก.1/9</v>
      </c>
      <c r="E854" s="2" t="str">
        <f>IFERROR(__xludf.DUMMYFUNCTION("""COMPUTED_VALUE"""),"หญิง")</f>
        <v>หญิง</v>
      </c>
      <c r="F854" s="5" t="str">
        <f>IFERROR(__xludf.DUMMYFUNCTION("""COMPUTED_VALUE"""),"https://azizstan.net/student_image/25854.jpg")</f>
        <v>https://azizstan.net/student_image/25854.jpg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 t="str">
        <f>IFERROR(__xludf.DUMMYFUNCTION("""COMPUTED_VALUE"""),"25867")</f>
        <v>25867</v>
      </c>
      <c r="B855" s="3" t="str">
        <f>IFERROR(__xludf.DUMMYFUNCTION("""COMPUTED_VALUE"""),"ด.ญ.ฟิฏตรี สาและ")</f>
        <v>ด.ญ.ฟิฏตรี สาและ</v>
      </c>
      <c r="C855" s="3" t="str">
        <f>IFERROR(__xludf.DUMMYFUNCTION("""COMPUTED_VALUE"""),"ม.2/9")</f>
        <v>ม.2/9</v>
      </c>
      <c r="D855" s="3" t="str">
        <f>IFERROR(__xludf.DUMMYFUNCTION("""COMPUTED_VALUE"""),"อก.1/9")</f>
        <v>อก.1/9</v>
      </c>
      <c r="E855" s="2" t="str">
        <f>IFERROR(__xludf.DUMMYFUNCTION("""COMPUTED_VALUE"""),"หญิง")</f>
        <v>หญิง</v>
      </c>
      <c r="F855" s="5" t="str">
        <f>IFERROR(__xludf.DUMMYFUNCTION("""COMPUTED_VALUE"""),"https://azizstan.net/student_image/25867.jpg")</f>
        <v>https://azizstan.net/student_image/25867.jpg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 t="str">
        <f>IFERROR(__xludf.DUMMYFUNCTION("""COMPUTED_VALUE"""),"25905")</f>
        <v>25905</v>
      </c>
      <c r="B856" s="3" t="str">
        <f>IFERROR(__xludf.DUMMYFUNCTION("""COMPUTED_VALUE"""),"ด.ญ.นันธิชา กูลูแว")</f>
        <v>ด.ญ.นันธิชา กูลูแว</v>
      </c>
      <c r="C856" s="3" t="str">
        <f>IFERROR(__xludf.DUMMYFUNCTION("""COMPUTED_VALUE"""),"ม.2/9")</f>
        <v>ม.2/9</v>
      </c>
      <c r="D856" s="3" t="str">
        <f>IFERROR(__xludf.DUMMYFUNCTION("""COMPUTED_VALUE"""),"อก.1/9")</f>
        <v>อก.1/9</v>
      </c>
      <c r="E856" s="2" t="str">
        <f>IFERROR(__xludf.DUMMYFUNCTION("""COMPUTED_VALUE"""),"หญิง")</f>
        <v>หญิง</v>
      </c>
      <c r="F856" s="5" t="str">
        <f>IFERROR(__xludf.DUMMYFUNCTION("""COMPUTED_VALUE"""),"https://azizstan.net/student_image/25905.jpg")</f>
        <v>https://azizstan.net/student_image/25905.jpg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 t="str">
        <f>IFERROR(__xludf.DUMMYFUNCTION("""COMPUTED_VALUE"""),"25930")</f>
        <v>25930</v>
      </c>
      <c r="B857" s="3" t="str">
        <f>IFERROR(__xludf.DUMMYFUNCTION("""COMPUTED_VALUE"""),"ด.ญ.อารีนา ลาเตะ")</f>
        <v>ด.ญ.อารีนา ลาเตะ</v>
      </c>
      <c r="C857" s="3" t="str">
        <f>IFERROR(__xludf.DUMMYFUNCTION("""COMPUTED_VALUE"""),"ม.2/9")</f>
        <v>ม.2/9</v>
      </c>
      <c r="D857" s="3" t="str">
        <f>IFERROR(__xludf.DUMMYFUNCTION("""COMPUTED_VALUE"""),"อก.1/9")</f>
        <v>อก.1/9</v>
      </c>
      <c r="E857" s="2" t="str">
        <f>IFERROR(__xludf.DUMMYFUNCTION("""COMPUTED_VALUE"""),"หญิง")</f>
        <v>หญิง</v>
      </c>
      <c r="F857" s="5" t="str">
        <f>IFERROR(__xludf.DUMMYFUNCTION("""COMPUTED_VALUE"""),"https://azizstan.net/student_image/25930.jpg")</f>
        <v>https://azizstan.net/student_image/25930.jpg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 t="str">
        <f>IFERROR(__xludf.DUMMYFUNCTION("""COMPUTED_VALUE"""),"25943")</f>
        <v>25943</v>
      </c>
      <c r="B858" s="3" t="str">
        <f>IFERROR(__xludf.DUMMYFUNCTION("""COMPUTED_VALUE"""),"ด.ญ.ซอฟัร มะหะ")</f>
        <v>ด.ญ.ซอฟัร มะหะ</v>
      </c>
      <c r="C858" s="3" t="str">
        <f>IFERROR(__xludf.DUMMYFUNCTION("""COMPUTED_VALUE"""),"ม.2/9")</f>
        <v>ม.2/9</v>
      </c>
      <c r="D858" s="3" t="str">
        <f>IFERROR(__xludf.DUMMYFUNCTION("""COMPUTED_VALUE"""),"อก.1/9")</f>
        <v>อก.1/9</v>
      </c>
      <c r="E858" s="2" t="str">
        <f>IFERROR(__xludf.DUMMYFUNCTION("""COMPUTED_VALUE"""),"หญิง")</f>
        <v>หญิง</v>
      </c>
      <c r="F858" s="5" t="str">
        <f>IFERROR(__xludf.DUMMYFUNCTION("""COMPUTED_VALUE"""),"https://azizstan.net/student_image/25943.jpg")</f>
        <v>https://azizstan.net/student_image/25943.jpg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 t="str">
        <f>IFERROR(__xludf.DUMMYFUNCTION("""COMPUTED_VALUE"""),"25963")</f>
        <v>25963</v>
      </c>
      <c r="B859" s="3" t="str">
        <f>IFERROR(__xludf.DUMMYFUNCTION("""COMPUTED_VALUE"""),"ด.ญ.ตัสนีม ดอคอ")</f>
        <v>ด.ญ.ตัสนีม ดอคอ</v>
      </c>
      <c r="C859" s="3" t="str">
        <f>IFERROR(__xludf.DUMMYFUNCTION("""COMPUTED_VALUE"""),"ม.2/9")</f>
        <v>ม.2/9</v>
      </c>
      <c r="D859" s="3" t="str">
        <f>IFERROR(__xludf.DUMMYFUNCTION("""COMPUTED_VALUE"""),"อก.1/9")</f>
        <v>อก.1/9</v>
      </c>
      <c r="E859" s="2" t="str">
        <f>IFERROR(__xludf.DUMMYFUNCTION("""COMPUTED_VALUE"""),"หญิง")</f>
        <v>หญิง</v>
      </c>
      <c r="F859" s="5" t="str">
        <f>IFERROR(__xludf.DUMMYFUNCTION("""COMPUTED_VALUE"""),"https://azizstan.net/student_image/25963.jpg")</f>
        <v>https://azizstan.net/student_image/25963.jpg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 t="str">
        <f>IFERROR(__xludf.DUMMYFUNCTION("""COMPUTED_VALUE"""),"25998")</f>
        <v>25998</v>
      </c>
      <c r="B860" s="3" t="str">
        <f>IFERROR(__xludf.DUMMYFUNCTION("""COMPUTED_VALUE"""),"ด.ญ.ฟิรดาว สาหะ")</f>
        <v>ด.ญ.ฟิรดาว สาหะ</v>
      </c>
      <c r="C860" s="3" t="str">
        <f>IFERROR(__xludf.DUMMYFUNCTION("""COMPUTED_VALUE"""),"ม.2/9")</f>
        <v>ม.2/9</v>
      </c>
      <c r="D860" s="3" t="str">
        <f>IFERROR(__xludf.DUMMYFUNCTION("""COMPUTED_VALUE"""),"อก.1/9")</f>
        <v>อก.1/9</v>
      </c>
      <c r="E860" s="2" t="str">
        <f>IFERROR(__xludf.DUMMYFUNCTION("""COMPUTED_VALUE"""),"หญิง")</f>
        <v>หญิง</v>
      </c>
      <c r="F860" s="5" t="str">
        <f>IFERROR(__xludf.DUMMYFUNCTION("""COMPUTED_VALUE"""),"https://azizstan.net/student_image/25998.jpg")</f>
        <v>https://azizstan.net/student_image/25998.jpg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 t="str">
        <f>IFERROR(__xludf.DUMMYFUNCTION("""COMPUTED_VALUE"""),"25366")</f>
        <v>25366</v>
      </c>
      <c r="B861" s="3" t="str">
        <f>IFERROR(__xludf.DUMMYFUNCTION("""COMPUTED_VALUE"""),"ด.ญ.ฟาตีเม๊าะ มะลี")</f>
        <v>ด.ญ.ฟาตีเม๊าะ มะลี</v>
      </c>
      <c r="C861" s="3" t="str">
        <f>IFERROR(__xludf.DUMMYFUNCTION("""COMPUTED_VALUE"""),"ม.2/10")</f>
        <v>ม.2/10</v>
      </c>
      <c r="D861" s="3" t="str">
        <f>IFERROR(__xludf.DUMMYFUNCTION("""COMPUTED_VALUE"""),"อก.2/10")</f>
        <v>อก.2/10</v>
      </c>
      <c r="E861" s="2" t="str">
        <f>IFERROR(__xludf.DUMMYFUNCTION("""COMPUTED_VALUE"""),"หญิง")</f>
        <v>หญิง</v>
      </c>
      <c r="F861" s="5" t="str">
        <f>IFERROR(__xludf.DUMMYFUNCTION("""COMPUTED_VALUE"""),"https://azizstan.net/student_image/25366.jpg")</f>
        <v>https://azizstan.net/student_image/25366.jpg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 t="str">
        <f>IFERROR(__xludf.DUMMYFUNCTION("""COMPUTED_VALUE"""),"25373")</f>
        <v>25373</v>
      </c>
      <c r="B862" s="3" t="str">
        <f>IFERROR(__xludf.DUMMYFUNCTION("""COMPUTED_VALUE"""),"ด.ญ.นูรุลซูฮัยดา ปลัดมะเสาะ")</f>
        <v>ด.ญ.นูรุลซูฮัยดา ปลัดมะเสาะ</v>
      </c>
      <c r="C862" s="3" t="str">
        <f>IFERROR(__xludf.DUMMYFUNCTION("""COMPUTED_VALUE"""),"ม.2/10")</f>
        <v>ม.2/10</v>
      </c>
      <c r="D862" s="3" t="str">
        <f>IFERROR(__xludf.DUMMYFUNCTION("""COMPUTED_VALUE"""),"อก.2/10")</f>
        <v>อก.2/10</v>
      </c>
      <c r="E862" s="2" t="str">
        <f>IFERROR(__xludf.DUMMYFUNCTION("""COMPUTED_VALUE"""),"หญิง")</f>
        <v>หญิง</v>
      </c>
      <c r="F862" s="5" t="str">
        <f>IFERROR(__xludf.DUMMYFUNCTION("""COMPUTED_VALUE"""),"https://azizstan.net/student_image/25373.jpg")</f>
        <v>https://azizstan.net/student_image/25373.jpg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 t="str">
        <f>IFERROR(__xludf.DUMMYFUNCTION("""COMPUTED_VALUE"""),"25378")</f>
        <v>25378</v>
      </c>
      <c r="B863" s="3" t="str">
        <f>IFERROR(__xludf.DUMMYFUNCTION("""COMPUTED_VALUE"""),"ด.ญ.นูรอน แวดาโอะ")</f>
        <v>ด.ญ.นูรอน แวดาโอะ</v>
      </c>
      <c r="C863" s="3" t="str">
        <f>IFERROR(__xludf.DUMMYFUNCTION("""COMPUTED_VALUE"""),"ม.2/10")</f>
        <v>ม.2/10</v>
      </c>
      <c r="D863" s="3" t="str">
        <f>IFERROR(__xludf.DUMMYFUNCTION("""COMPUTED_VALUE"""),"อก.2/10")</f>
        <v>อก.2/10</v>
      </c>
      <c r="E863" s="2" t="str">
        <f>IFERROR(__xludf.DUMMYFUNCTION("""COMPUTED_VALUE"""),"หญิง")</f>
        <v>หญิง</v>
      </c>
      <c r="F863" s="5" t="str">
        <f>IFERROR(__xludf.DUMMYFUNCTION("""COMPUTED_VALUE"""),"https://azizstan.net/student_image/25378.jpg")</f>
        <v>https://azizstan.net/student_image/25378.jpg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 t="str">
        <f>IFERROR(__xludf.DUMMYFUNCTION("""COMPUTED_VALUE"""),"25381")</f>
        <v>25381</v>
      </c>
      <c r="B864" s="3" t="str">
        <f>IFERROR(__xludf.DUMMYFUNCTION("""COMPUTED_VALUE"""),"ด.ช.อารีฟีร์ มะเจ๊ะแน")</f>
        <v>ด.ช.อารีฟีร์ มะเจ๊ะแน</v>
      </c>
      <c r="C864" s="3" t="str">
        <f>IFERROR(__xludf.DUMMYFUNCTION("""COMPUTED_VALUE"""),"ม.2/10")</f>
        <v>ม.2/10</v>
      </c>
      <c r="D864" s="3" t="str">
        <f>IFERROR(__xludf.DUMMYFUNCTION("""COMPUTED_VALUE"""),"อก.2/10")</f>
        <v>อก.2/10</v>
      </c>
      <c r="E864" s="2" t="str">
        <f>IFERROR(__xludf.DUMMYFUNCTION("""COMPUTED_VALUE"""),"ชาย")</f>
        <v>ชาย</v>
      </c>
      <c r="F864" s="5" t="str">
        <f>IFERROR(__xludf.DUMMYFUNCTION("""COMPUTED_VALUE"""),"https://azizstan.net/student_image/25381.jpg")</f>
        <v>https://azizstan.net/student_image/25381.jpg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 t="str">
        <f>IFERROR(__xludf.DUMMYFUNCTION("""COMPUTED_VALUE"""),"25392")</f>
        <v>25392</v>
      </c>
      <c r="B865" s="3" t="str">
        <f>IFERROR(__xludf.DUMMYFUNCTION("""COMPUTED_VALUE"""),"ด.ญ.นูรบีดายะห์ สาอิ")</f>
        <v>ด.ญ.นูรบีดายะห์ สาอิ</v>
      </c>
      <c r="C865" s="3" t="str">
        <f>IFERROR(__xludf.DUMMYFUNCTION("""COMPUTED_VALUE"""),"ม.2/10")</f>
        <v>ม.2/10</v>
      </c>
      <c r="D865" s="3" t="str">
        <f>IFERROR(__xludf.DUMMYFUNCTION("""COMPUTED_VALUE"""),"อก.2/10")</f>
        <v>อก.2/10</v>
      </c>
      <c r="E865" s="2" t="str">
        <f>IFERROR(__xludf.DUMMYFUNCTION("""COMPUTED_VALUE"""),"หญิง")</f>
        <v>หญิง</v>
      </c>
      <c r="F865" s="5" t="str">
        <f>IFERROR(__xludf.DUMMYFUNCTION("""COMPUTED_VALUE"""),"https://azizstan.net/student_image/25392.jpg")</f>
        <v>https://azizstan.net/student_image/25392.jpg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 t="str">
        <f>IFERROR(__xludf.DUMMYFUNCTION("""COMPUTED_VALUE"""),"25393")</f>
        <v>25393</v>
      </c>
      <c r="B866" s="3" t="str">
        <f>IFERROR(__xludf.DUMMYFUNCTION("""COMPUTED_VALUE"""),"ด.ญ.นูรอีนายะห์ สาอิ")</f>
        <v>ด.ญ.นูรอีนายะห์ สาอิ</v>
      </c>
      <c r="C866" s="3" t="str">
        <f>IFERROR(__xludf.DUMMYFUNCTION("""COMPUTED_VALUE"""),"ม.2/10")</f>
        <v>ม.2/10</v>
      </c>
      <c r="D866" s="3" t="str">
        <f>IFERROR(__xludf.DUMMYFUNCTION("""COMPUTED_VALUE"""),"อก.2/10")</f>
        <v>อก.2/10</v>
      </c>
      <c r="E866" s="2" t="str">
        <f>IFERROR(__xludf.DUMMYFUNCTION("""COMPUTED_VALUE"""),"หญิง")</f>
        <v>หญิง</v>
      </c>
      <c r="F866" s="5" t="str">
        <f>IFERROR(__xludf.DUMMYFUNCTION("""COMPUTED_VALUE"""),"https://azizstan.net/student_image/25393.jpg")</f>
        <v>https://azizstan.net/student_image/25393.jpg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 t="str">
        <f>IFERROR(__xludf.DUMMYFUNCTION("""COMPUTED_VALUE"""),"25421")</f>
        <v>25421</v>
      </c>
      <c r="B867" s="3" t="str">
        <f>IFERROR(__xludf.DUMMYFUNCTION("""COMPUTED_VALUE"""),"ด.ญ.นุรอานีฟา อาแด")</f>
        <v>ด.ญ.นุรอานีฟา อาแด</v>
      </c>
      <c r="C867" s="3" t="str">
        <f>IFERROR(__xludf.DUMMYFUNCTION("""COMPUTED_VALUE"""),"ม.2/10")</f>
        <v>ม.2/10</v>
      </c>
      <c r="D867" s="3" t="str">
        <f>IFERROR(__xludf.DUMMYFUNCTION("""COMPUTED_VALUE"""),"อก.2/10")</f>
        <v>อก.2/10</v>
      </c>
      <c r="E867" s="2" t="str">
        <f>IFERROR(__xludf.DUMMYFUNCTION("""COMPUTED_VALUE"""),"หญิง")</f>
        <v>หญิง</v>
      </c>
      <c r="F867" s="5" t="str">
        <f>IFERROR(__xludf.DUMMYFUNCTION("""COMPUTED_VALUE"""),"https://azizstan.net/student_image/25421.jpg")</f>
        <v>https://azizstan.net/student_image/25421.jpg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 t="str">
        <f>IFERROR(__xludf.DUMMYFUNCTION("""COMPUTED_VALUE"""),"25424")</f>
        <v>25424</v>
      </c>
      <c r="B868" s="3" t="str">
        <f>IFERROR(__xludf.DUMMYFUNCTION("""COMPUTED_VALUE"""),"ด.ญ.ฟัรฮานา ลาแล")</f>
        <v>ด.ญ.ฟัรฮานา ลาแล</v>
      </c>
      <c r="C868" s="3" t="str">
        <f>IFERROR(__xludf.DUMMYFUNCTION("""COMPUTED_VALUE"""),"ม.2/10")</f>
        <v>ม.2/10</v>
      </c>
      <c r="D868" s="3" t="str">
        <f>IFERROR(__xludf.DUMMYFUNCTION("""COMPUTED_VALUE"""),"อก.2/10")</f>
        <v>อก.2/10</v>
      </c>
      <c r="E868" s="2" t="str">
        <f>IFERROR(__xludf.DUMMYFUNCTION("""COMPUTED_VALUE"""),"หญิง")</f>
        <v>หญิง</v>
      </c>
      <c r="F868" s="5" t="str">
        <f>IFERROR(__xludf.DUMMYFUNCTION("""COMPUTED_VALUE"""),"https://azizstan.net/student_image/25424.jpg")</f>
        <v>https://azizstan.net/student_image/25424.jpg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 t="str">
        <f>IFERROR(__xludf.DUMMYFUNCTION("""COMPUTED_VALUE"""),"25429")</f>
        <v>25429</v>
      </c>
      <c r="B869" s="3" t="str">
        <f>IFERROR(__xludf.DUMMYFUNCTION("""COMPUTED_VALUE"""),"ด.ช.มูฮัมหมัดรุสลัน เจะสนิ")</f>
        <v>ด.ช.มูฮัมหมัดรุสลัน เจะสนิ</v>
      </c>
      <c r="C869" s="3" t="str">
        <f>IFERROR(__xludf.DUMMYFUNCTION("""COMPUTED_VALUE"""),"ม.2/10")</f>
        <v>ม.2/10</v>
      </c>
      <c r="D869" s="3" t="str">
        <f>IFERROR(__xludf.DUMMYFUNCTION("""COMPUTED_VALUE"""),"อก.2/10")</f>
        <v>อก.2/10</v>
      </c>
      <c r="E869" s="2" t="str">
        <f>IFERROR(__xludf.DUMMYFUNCTION("""COMPUTED_VALUE"""),"ชาย")</f>
        <v>ชาย</v>
      </c>
      <c r="F869" s="5" t="str">
        <f>IFERROR(__xludf.DUMMYFUNCTION("""COMPUTED_VALUE"""),"https://azizstan.net/student_image/25429.jpg")</f>
        <v>https://azizstan.net/student_image/25429.jpg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 t="str">
        <f>IFERROR(__xludf.DUMMYFUNCTION("""COMPUTED_VALUE"""),"25440")</f>
        <v>25440</v>
      </c>
      <c r="B870" s="3" t="str">
        <f>IFERROR(__xludf.DUMMYFUNCTION("""COMPUTED_VALUE"""),"ด.ญ.นูรไฮฟะห์ ดอเล๊าะ")</f>
        <v>ด.ญ.นูรไฮฟะห์ ดอเล๊าะ</v>
      </c>
      <c r="C870" s="3" t="str">
        <f>IFERROR(__xludf.DUMMYFUNCTION("""COMPUTED_VALUE"""),"ม.2/10")</f>
        <v>ม.2/10</v>
      </c>
      <c r="D870" s="3" t="str">
        <f>IFERROR(__xludf.DUMMYFUNCTION("""COMPUTED_VALUE"""),"อก.2/10")</f>
        <v>อก.2/10</v>
      </c>
      <c r="E870" s="2" t="str">
        <f>IFERROR(__xludf.DUMMYFUNCTION("""COMPUTED_VALUE"""),"หญิง")</f>
        <v>หญิง</v>
      </c>
      <c r="F870" s="5" t="str">
        <f>IFERROR(__xludf.DUMMYFUNCTION("""COMPUTED_VALUE"""),"https://azizstan.net/student_image/25440.jpg")</f>
        <v>https://azizstan.net/student_image/25440.jpg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 t="str">
        <f>IFERROR(__xludf.DUMMYFUNCTION("""COMPUTED_VALUE"""),"25441")</f>
        <v>25441</v>
      </c>
      <c r="B871" s="3" t="str">
        <f>IFERROR(__xludf.DUMMYFUNCTION("""COMPUTED_VALUE"""),"ด.ญ.ฮานีฟา อาแว")</f>
        <v>ด.ญ.ฮานีฟา อาแว</v>
      </c>
      <c r="C871" s="3" t="str">
        <f>IFERROR(__xludf.DUMMYFUNCTION("""COMPUTED_VALUE"""),"ม.2/10")</f>
        <v>ม.2/10</v>
      </c>
      <c r="D871" s="3" t="str">
        <f>IFERROR(__xludf.DUMMYFUNCTION("""COMPUTED_VALUE"""),"อก.2/10")</f>
        <v>อก.2/10</v>
      </c>
      <c r="E871" s="2" t="str">
        <f>IFERROR(__xludf.DUMMYFUNCTION("""COMPUTED_VALUE"""),"หญิง")</f>
        <v>หญิง</v>
      </c>
      <c r="F871" s="5" t="str">
        <f>IFERROR(__xludf.DUMMYFUNCTION("""COMPUTED_VALUE"""),"https://azizstan.net/student_image/25441.jpg")</f>
        <v>https://azizstan.net/student_image/25441.jpg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 t="str">
        <f>IFERROR(__xludf.DUMMYFUNCTION("""COMPUTED_VALUE"""),"25442")</f>
        <v>25442</v>
      </c>
      <c r="B872" s="3" t="str">
        <f>IFERROR(__xludf.DUMMYFUNCTION("""COMPUTED_VALUE"""),"ด.ญ.นูรุลซีกีน เจะซอ")</f>
        <v>ด.ญ.นูรุลซีกีน เจะซอ</v>
      </c>
      <c r="C872" s="3" t="str">
        <f>IFERROR(__xludf.DUMMYFUNCTION("""COMPUTED_VALUE"""),"ม.2/10")</f>
        <v>ม.2/10</v>
      </c>
      <c r="D872" s="3" t="str">
        <f>IFERROR(__xludf.DUMMYFUNCTION("""COMPUTED_VALUE"""),"อก.2/10")</f>
        <v>อก.2/10</v>
      </c>
      <c r="E872" s="2" t="str">
        <f>IFERROR(__xludf.DUMMYFUNCTION("""COMPUTED_VALUE"""),"หญิง")</f>
        <v>หญิง</v>
      </c>
      <c r="F872" s="5" t="str">
        <f>IFERROR(__xludf.DUMMYFUNCTION("""COMPUTED_VALUE"""),"https://azizstan.net/student_image/25442.jpg")</f>
        <v>https://azizstan.net/student_image/25442.jpg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 t="str">
        <f>IFERROR(__xludf.DUMMYFUNCTION("""COMPUTED_VALUE"""),"25443")</f>
        <v>25443</v>
      </c>
      <c r="B873" s="3" t="str">
        <f>IFERROR(__xludf.DUMMYFUNCTION("""COMPUTED_VALUE"""),"ด.ช.ฟาฎิล ยาเด็น")</f>
        <v>ด.ช.ฟาฎิล ยาเด็น</v>
      </c>
      <c r="C873" s="3" t="str">
        <f>IFERROR(__xludf.DUMMYFUNCTION("""COMPUTED_VALUE"""),"ม.2/10")</f>
        <v>ม.2/10</v>
      </c>
      <c r="D873" s="3" t="str">
        <f>IFERROR(__xludf.DUMMYFUNCTION("""COMPUTED_VALUE"""),"อก.2/10")</f>
        <v>อก.2/10</v>
      </c>
      <c r="E873" s="2" t="str">
        <f>IFERROR(__xludf.DUMMYFUNCTION("""COMPUTED_VALUE"""),"ชาย")</f>
        <v>ชาย</v>
      </c>
      <c r="F873" s="5" t="str">
        <f>IFERROR(__xludf.DUMMYFUNCTION("""COMPUTED_VALUE"""),"https://azizstan.net/student_image/25443.jpg")</f>
        <v>https://azizstan.net/student_image/25443.jpg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 t="str">
        <f>IFERROR(__xludf.DUMMYFUNCTION("""COMPUTED_VALUE"""),"25444")</f>
        <v>25444</v>
      </c>
      <c r="B874" s="3" t="str">
        <f>IFERROR(__xludf.DUMMYFUNCTION("""COMPUTED_VALUE"""),"ด.ญ.ฮาซานะ ลิบง")</f>
        <v>ด.ญ.ฮาซานะ ลิบง</v>
      </c>
      <c r="C874" s="3" t="str">
        <f>IFERROR(__xludf.DUMMYFUNCTION("""COMPUTED_VALUE"""),"ม.2/10")</f>
        <v>ม.2/10</v>
      </c>
      <c r="D874" s="3" t="str">
        <f>IFERROR(__xludf.DUMMYFUNCTION("""COMPUTED_VALUE"""),"อก.2/10")</f>
        <v>อก.2/10</v>
      </c>
      <c r="E874" s="2" t="str">
        <f>IFERROR(__xludf.DUMMYFUNCTION("""COMPUTED_VALUE"""),"หญิง")</f>
        <v>หญิง</v>
      </c>
      <c r="F874" s="5" t="str">
        <f>IFERROR(__xludf.DUMMYFUNCTION("""COMPUTED_VALUE"""),"https://azizstan.net/student_image/25444.jpg")</f>
        <v>https://azizstan.net/student_image/25444.jpg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 t="str">
        <f>IFERROR(__xludf.DUMMYFUNCTION("""COMPUTED_VALUE"""),"25471")</f>
        <v>25471</v>
      </c>
      <c r="B875" s="3" t="str">
        <f>IFERROR(__xludf.DUMMYFUNCTION("""COMPUTED_VALUE"""),"ด.ญ.อิฟตีนา หนิหลง")</f>
        <v>ด.ญ.อิฟตีนา หนิหลง</v>
      </c>
      <c r="C875" s="3" t="str">
        <f>IFERROR(__xludf.DUMMYFUNCTION("""COMPUTED_VALUE"""),"ม.2/10")</f>
        <v>ม.2/10</v>
      </c>
      <c r="D875" s="3" t="str">
        <f>IFERROR(__xludf.DUMMYFUNCTION("""COMPUTED_VALUE"""),"อก.2/10")</f>
        <v>อก.2/10</v>
      </c>
      <c r="E875" s="2" t="str">
        <f>IFERROR(__xludf.DUMMYFUNCTION("""COMPUTED_VALUE"""),"หญิง")</f>
        <v>หญิง</v>
      </c>
      <c r="F875" s="5" t="str">
        <f>IFERROR(__xludf.DUMMYFUNCTION("""COMPUTED_VALUE"""),"https://azizstan.net/student_image/25471.jpg")</f>
        <v>https://azizstan.net/student_image/25471.jpg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 t="str">
        <f>IFERROR(__xludf.DUMMYFUNCTION("""COMPUTED_VALUE"""),"25472")</f>
        <v>25472</v>
      </c>
      <c r="B876" s="3" t="str">
        <f>IFERROR(__xludf.DUMMYFUNCTION("""COMPUTED_VALUE"""),"ด.ญ.นัจญมี สาแม")</f>
        <v>ด.ญ.นัจญมี สาแม</v>
      </c>
      <c r="C876" s="3" t="str">
        <f>IFERROR(__xludf.DUMMYFUNCTION("""COMPUTED_VALUE"""),"ม.2/10")</f>
        <v>ม.2/10</v>
      </c>
      <c r="D876" s="3" t="str">
        <f>IFERROR(__xludf.DUMMYFUNCTION("""COMPUTED_VALUE"""),"อก.2/10")</f>
        <v>อก.2/10</v>
      </c>
      <c r="E876" s="2" t="str">
        <f>IFERROR(__xludf.DUMMYFUNCTION("""COMPUTED_VALUE"""),"หญิง")</f>
        <v>หญิง</v>
      </c>
      <c r="F876" s="5" t="str">
        <f>IFERROR(__xludf.DUMMYFUNCTION("""COMPUTED_VALUE"""),"https://azizstan.net/student_image/25472.jpg")</f>
        <v>https://azizstan.net/student_image/25472.jpg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 t="str">
        <f>IFERROR(__xludf.DUMMYFUNCTION("""COMPUTED_VALUE"""),"25495")</f>
        <v>25495</v>
      </c>
      <c r="B877" s="3" t="str">
        <f>IFERROR(__xludf.DUMMYFUNCTION("""COMPUTED_VALUE"""),"ด.ญ.อัสซิลมีย์ โรมรินทร์")</f>
        <v>ด.ญ.อัสซิลมีย์ โรมรินทร์</v>
      </c>
      <c r="C877" s="3" t="str">
        <f>IFERROR(__xludf.DUMMYFUNCTION("""COMPUTED_VALUE"""),"ม.2/10")</f>
        <v>ม.2/10</v>
      </c>
      <c r="D877" s="3" t="str">
        <f>IFERROR(__xludf.DUMMYFUNCTION("""COMPUTED_VALUE"""),"อก.2/10")</f>
        <v>อก.2/10</v>
      </c>
      <c r="E877" s="2" t="str">
        <f>IFERROR(__xludf.DUMMYFUNCTION("""COMPUTED_VALUE"""),"หญิง")</f>
        <v>หญิง</v>
      </c>
      <c r="F877" s="5" t="str">
        <f>IFERROR(__xludf.DUMMYFUNCTION("""COMPUTED_VALUE"""),"https://azizstan.net/student_image/25495.jpg")</f>
        <v>https://azizstan.net/student_image/25495.jpg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 t="str">
        <f>IFERROR(__xludf.DUMMYFUNCTION("""COMPUTED_VALUE"""),"25505")</f>
        <v>25505</v>
      </c>
      <c r="B878" s="3" t="str">
        <f>IFERROR(__xludf.DUMMYFUNCTION("""COMPUTED_VALUE"""),"ด.ช.มูฮัมหมัดนาบิล ดือราแม")</f>
        <v>ด.ช.มูฮัมหมัดนาบิล ดือราแม</v>
      </c>
      <c r="C878" s="3" t="str">
        <f>IFERROR(__xludf.DUMMYFUNCTION("""COMPUTED_VALUE"""),"ม.2/10")</f>
        <v>ม.2/10</v>
      </c>
      <c r="D878" s="3" t="str">
        <f>IFERROR(__xludf.DUMMYFUNCTION("""COMPUTED_VALUE"""),"อก.2/10")</f>
        <v>อก.2/10</v>
      </c>
      <c r="E878" s="2" t="str">
        <f>IFERROR(__xludf.DUMMYFUNCTION("""COMPUTED_VALUE"""),"ชาย")</f>
        <v>ชาย</v>
      </c>
      <c r="F878" s="5" t="str">
        <f>IFERROR(__xludf.DUMMYFUNCTION("""COMPUTED_VALUE"""),"https://azizstan.net/student_image/25505.jpg")</f>
        <v>https://azizstan.net/student_image/25505.jpg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 t="str">
        <f>IFERROR(__xludf.DUMMYFUNCTION("""COMPUTED_VALUE"""),"25507")</f>
        <v>25507</v>
      </c>
      <c r="B879" s="3" t="str">
        <f>IFERROR(__xludf.DUMMYFUNCTION("""COMPUTED_VALUE"""),"ด.ญ.นูรฟาเดียร์ เฮ็ง")</f>
        <v>ด.ญ.นูรฟาเดียร์ เฮ็ง</v>
      </c>
      <c r="C879" s="3" t="str">
        <f>IFERROR(__xludf.DUMMYFUNCTION("""COMPUTED_VALUE"""),"ม.2/10")</f>
        <v>ม.2/10</v>
      </c>
      <c r="D879" s="3" t="str">
        <f>IFERROR(__xludf.DUMMYFUNCTION("""COMPUTED_VALUE"""),"อก.2/10")</f>
        <v>อก.2/10</v>
      </c>
      <c r="E879" s="2" t="str">
        <f>IFERROR(__xludf.DUMMYFUNCTION("""COMPUTED_VALUE"""),"หญิง")</f>
        <v>หญิง</v>
      </c>
      <c r="F879" s="5" t="str">
        <f>IFERROR(__xludf.DUMMYFUNCTION("""COMPUTED_VALUE"""),"https://azizstan.net/student_image/25507.jpg")</f>
        <v>https://azizstan.net/student_image/25507.jpg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 t="str">
        <f>IFERROR(__xludf.DUMMYFUNCTION("""COMPUTED_VALUE"""),"25515")</f>
        <v>25515</v>
      </c>
      <c r="B880" s="3" t="str">
        <f>IFERROR(__xludf.DUMMYFUNCTION("""COMPUTED_VALUE"""),"ด.ญ.นูรบัลกิซ อิสมิง")</f>
        <v>ด.ญ.นูรบัลกิซ อิสมิง</v>
      </c>
      <c r="C880" s="3" t="str">
        <f>IFERROR(__xludf.DUMMYFUNCTION("""COMPUTED_VALUE"""),"ม.2/10")</f>
        <v>ม.2/10</v>
      </c>
      <c r="D880" s="3" t="str">
        <f>IFERROR(__xludf.DUMMYFUNCTION("""COMPUTED_VALUE"""),"อก.2/10")</f>
        <v>อก.2/10</v>
      </c>
      <c r="E880" s="2" t="str">
        <f>IFERROR(__xludf.DUMMYFUNCTION("""COMPUTED_VALUE"""),"หญิง")</f>
        <v>หญิง</v>
      </c>
      <c r="F880" s="5" t="str">
        <f>IFERROR(__xludf.DUMMYFUNCTION("""COMPUTED_VALUE"""),"https://azizstan.net/student_image/25515.jpg")</f>
        <v>https://azizstan.net/student_image/25515.jpg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 t="str">
        <f>IFERROR(__xludf.DUMMYFUNCTION("""COMPUTED_VALUE"""),"25555")</f>
        <v>25555</v>
      </c>
      <c r="B881" s="3" t="str">
        <f>IFERROR(__xludf.DUMMYFUNCTION("""COMPUTED_VALUE"""),"ด.ช.อาฟันดี้ เนื้ออ่อน")</f>
        <v>ด.ช.อาฟันดี้ เนื้ออ่อน</v>
      </c>
      <c r="C881" s="3" t="str">
        <f>IFERROR(__xludf.DUMMYFUNCTION("""COMPUTED_VALUE"""),"ม.2/10")</f>
        <v>ม.2/10</v>
      </c>
      <c r="D881" s="3" t="str">
        <f>IFERROR(__xludf.DUMMYFUNCTION("""COMPUTED_VALUE"""),"อก.2/10")</f>
        <v>อก.2/10</v>
      </c>
      <c r="E881" s="2" t="str">
        <f>IFERROR(__xludf.DUMMYFUNCTION("""COMPUTED_VALUE"""),"ชาย")</f>
        <v>ชาย</v>
      </c>
      <c r="F881" s="5" t="str">
        <f>IFERROR(__xludf.DUMMYFUNCTION("""COMPUTED_VALUE"""),"https://azizstan.net/student_image/25555.jpg")</f>
        <v>https://azizstan.net/student_image/25555.jpg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 t="str">
        <f>IFERROR(__xludf.DUMMYFUNCTION("""COMPUTED_VALUE"""),"25566")</f>
        <v>25566</v>
      </c>
      <c r="B882" s="3" t="str">
        <f>IFERROR(__xludf.DUMMYFUNCTION("""COMPUTED_VALUE"""),"ด.ญ.ยัสมีย์ บีแต")</f>
        <v>ด.ญ.ยัสมีย์ บีแต</v>
      </c>
      <c r="C882" s="3" t="str">
        <f>IFERROR(__xludf.DUMMYFUNCTION("""COMPUTED_VALUE"""),"ม.2/10")</f>
        <v>ม.2/10</v>
      </c>
      <c r="D882" s="3" t="str">
        <f>IFERROR(__xludf.DUMMYFUNCTION("""COMPUTED_VALUE"""),"อก.2/10")</f>
        <v>อก.2/10</v>
      </c>
      <c r="E882" s="2" t="str">
        <f>IFERROR(__xludf.DUMMYFUNCTION("""COMPUTED_VALUE"""),"หญิง")</f>
        <v>หญิง</v>
      </c>
      <c r="F882" s="5" t="str">
        <f>IFERROR(__xludf.DUMMYFUNCTION("""COMPUTED_VALUE"""),"https://azizstan.net/student_image/25566.jpg")</f>
        <v>https://azizstan.net/student_image/25566.jpg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 t="str">
        <f>IFERROR(__xludf.DUMMYFUNCTION("""COMPUTED_VALUE"""),"25572")</f>
        <v>25572</v>
      </c>
      <c r="B883" s="3" t="str">
        <f>IFERROR(__xludf.DUMMYFUNCTION("""COMPUTED_VALUE"""),"ด.ญ.อารีณีย์ บือราแง")</f>
        <v>ด.ญ.อารีณีย์ บือราแง</v>
      </c>
      <c r="C883" s="3" t="str">
        <f>IFERROR(__xludf.DUMMYFUNCTION("""COMPUTED_VALUE"""),"ม.2/10")</f>
        <v>ม.2/10</v>
      </c>
      <c r="D883" s="3" t="str">
        <f>IFERROR(__xludf.DUMMYFUNCTION("""COMPUTED_VALUE"""),"อก.2/10")</f>
        <v>อก.2/10</v>
      </c>
      <c r="E883" s="2" t="str">
        <f>IFERROR(__xludf.DUMMYFUNCTION("""COMPUTED_VALUE"""),"หญิง")</f>
        <v>หญิง</v>
      </c>
      <c r="F883" s="5" t="str">
        <f>IFERROR(__xludf.DUMMYFUNCTION("""COMPUTED_VALUE"""),"https://azizstan.net/student_image/25572.jpg")</f>
        <v>https://azizstan.net/student_image/25572.jpg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 t="str">
        <f>IFERROR(__xludf.DUMMYFUNCTION("""COMPUTED_VALUE"""),"25573")</f>
        <v>25573</v>
      </c>
      <c r="B884" s="3" t="str">
        <f>IFERROR(__xludf.DUMMYFUNCTION("""COMPUTED_VALUE"""),"ด.ญ.อารีณาร์ บือราแง")</f>
        <v>ด.ญ.อารีณาร์ บือราแง</v>
      </c>
      <c r="C884" s="3" t="str">
        <f>IFERROR(__xludf.DUMMYFUNCTION("""COMPUTED_VALUE"""),"ม.2/10")</f>
        <v>ม.2/10</v>
      </c>
      <c r="D884" s="3" t="str">
        <f>IFERROR(__xludf.DUMMYFUNCTION("""COMPUTED_VALUE"""),"อก.2/10")</f>
        <v>อก.2/10</v>
      </c>
      <c r="E884" s="2" t="str">
        <f>IFERROR(__xludf.DUMMYFUNCTION("""COMPUTED_VALUE"""),"หญิง")</f>
        <v>หญิง</v>
      </c>
      <c r="F884" s="5" t="str">
        <f>IFERROR(__xludf.DUMMYFUNCTION("""COMPUTED_VALUE"""),"https://azizstan.net/student_image/25573.jpg")</f>
        <v>https://azizstan.net/student_image/25573.jpg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 t="str">
        <f>IFERROR(__xludf.DUMMYFUNCTION("""COMPUTED_VALUE"""),"25616")</f>
        <v>25616</v>
      </c>
      <c r="B885" s="3" t="str">
        <f>IFERROR(__xludf.DUMMYFUNCTION("""COMPUTED_VALUE"""),"ด.ญ.นูรมา แวนาฮะ")</f>
        <v>ด.ญ.นูรมา แวนาฮะ</v>
      </c>
      <c r="C885" s="3" t="str">
        <f>IFERROR(__xludf.DUMMYFUNCTION("""COMPUTED_VALUE"""),"ม.2/10")</f>
        <v>ม.2/10</v>
      </c>
      <c r="D885" s="3" t="str">
        <f>IFERROR(__xludf.DUMMYFUNCTION("""COMPUTED_VALUE"""),"อก.2/10")</f>
        <v>อก.2/10</v>
      </c>
      <c r="E885" s="2" t="str">
        <f>IFERROR(__xludf.DUMMYFUNCTION("""COMPUTED_VALUE"""),"หญิง")</f>
        <v>หญิง</v>
      </c>
      <c r="F885" s="5" t="str">
        <f>IFERROR(__xludf.DUMMYFUNCTION("""COMPUTED_VALUE"""),"https://azizstan.net/student_image/25616.jpg")</f>
        <v>https://azizstan.net/student_image/25616.jpg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 t="str">
        <f>IFERROR(__xludf.DUMMYFUNCTION("""COMPUTED_VALUE"""),"25642")</f>
        <v>25642</v>
      </c>
      <c r="B886" s="3" t="str">
        <f>IFERROR(__xludf.DUMMYFUNCTION("""COMPUTED_VALUE"""),"ด.ช.มูฮำมัดเนาฟัล แวนาแว")</f>
        <v>ด.ช.มูฮำมัดเนาฟัล แวนาแว</v>
      </c>
      <c r="C886" s="3" t="str">
        <f>IFERROR(__xludf.DUMMYFUNCTION("""COMPUTED_VALUE"""),"ม.2/10")</f>
        <v>ม.2/10</v>
      </c>
      <c r="D886" s="3" t="str">
        <f>IFERROR(__xludf.DUMMYFUNCTION("""COMPUTED_VALUE"""),"อก.2/10")</f>
        <v>อก.2/10</v>
      </c>
      <c r="E886" s="2" t="str">
        <f>IFERROR(__xludf.DUMMYFUNCTION("""COMPUTED_VALUE"""),"ชาย")</f>
        <v>ชาย</v>
      </c>
      <c r="F886" s="5" t="str">
        <f>IFERROR(__xludf.DUMMYFUNCTION("""COMPUTED_VALUE"""),"https://azizstan.net/student_image/25642.jpg")</f>
        <v>https://azizstan.net/student_image/25642.jpg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 t="str">
        <f>IFERROR(__xludf.DUMMYFUNCTION("""COMPUTED_VALUE"""),"25764")</f>
        <v>25764</v>
      </c>
      <c r="B887" s="3" t="str">
        <f>IFERROR(__xludf.DUMMYFUNCTION("""COMPUTED_VALUE"""),"ด.ช.เนรมิตร สังข์จันทร์")</f>
        <v>ด.ช.เนรมิตร สังข์จันทร์</v>
      </c>
      <c r="C887" s="3" t="str">
        <f>IFERROR(__xludf.DUMMYFUNCTION("""COMPUTED_VALUE"""),"ม.2/10")</f>
        <v>ม.2/10</v>
      </c>
      <c r="D887" s="3" t="str">
        <f>IFERROR(__xludf.DUMMYFUNCTION("""COMPUTED_VALUE"""),"อก.2/10")</f>
        <v>อก.2/10</v>
      </c>
      <c r="E887" s="2" t="str">
        <f>IFERROR(__xludf.DUMMYFUNCTION("""COMPUTED_VALUE"""),"ชาย")</f>
        <v>ชาย</v>
      </c>
      <c r="F887" s="5" t="str">
        <f>IFERROR(__xludf.DUMMYFUNCTION("""COMPUTED_VALUE"""),"https://azizstan.net/student_image/25764.jpg")</f>
        <v>https://azizstan.net/student_image/25764.jpg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 t="str">
        <f>IFERROR(__xludf.DUMMYFUNCTION("""COMPUTED_VALUE"""),"25774")</f>
        <v>25774</v>
      </c>
      <c r="B888" s="3" t="str">
        <f>IFERROR(__xludf.DUMMYFUNCTION("""COMPUTED_VALUE"""),"ด.ญ.เกาซาร์ คามิส")</f>
        <v>ด.ญ.เกาซาร์ คามิส</v>
      </c>
      <c r="C888" s="3" t="str">
        <f>IFERROR(__xludf.DUMMYFUNCTION("""COMPUTED_VALUE"""),"ม.2/10")</f>
        <v>ม.2/10</v>
      </c>
      <c r="D888" s="3" t="str">
        <f>IFERROR(__xludf.DUMMYFUNCTION("""COMPUTED_VALUE"""),"อก.2/10")</f>
        <v>อก.2/10</v>
      </c>
      <c r="E888" s="2" t="str">
        <f>IFERROR(__xludf.DUMMYFUNCTION("""COMPUTED_VALUE"""),"หญิง")</f>
        <v>หญิง</v>
      </c>
      <c r="F888" s="5" t="str">
        <f>IFERROR(__xludf.DUMMYFUNCTION("""COMPUTED_VALUE"""),"https://azizstan.net/student_image/25774.jpg")</f>
        <v>https://azizstan.net/student_image/25774.jpg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 t="str">
        <f>IFERROR(__xludf.DUMMYFUNCTION("""COMPUTED_VALUE"""),"25792")</f>
        <v>25792</v>
      </c>
      <c r="B889" s="3" t="str">
        <f>IFERROR(__xludf.DUMMYFUNCTION("""COMPUTED_VALUE"""),"ด.ญ.ชารีฟาร์ สามิง")</f>
        <v>ด.ญ.ชารีฟาร์ สามิง</v>
      </c>
      <c r="C889" s="3" t="str">
        <f>IFERROR(__xludf.DUMMYFUNCTION("""COMPUTED_VALUE"""),"ม.2/10")</f>
        <v>ม.2/10</v>
      </c>
      <c r="D889" s="3" t="str">
        <f>IFERROR(__xludf.DUMMYFUNCTION("""COMPUTED_VALUE"""),"อก.2/10")</f>
        <v>อก.2/10</v>
      </c>
      <c r="E889" s="2" t="str">
        <f>IFERROR(__xludf.DUMMYFUNCTION("""COMPUTED_VALUE"""),"หญิง")</f>
        <v>หญิง</v>
      </c>
      <c r="F889" s="5" t="str">
        <f>IFERROR(__xludf.DUMMYFUNCTION("""COMPUTED_VALUE"""),"https://azizstan.net/student_image/25792.jpg")</f>
        <v>https://azizstan.net/student_image/25792.jpg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" t="str">
        <f>IFERROR(__xludf.DUMMYFUNCTION("""COMPUTED_VALUE"""),"25821")</f>
        <v>25821</v>
      </c>
      <c r="B890" s="3" t="str">
        <f>IFERROR(__xludf.DUMMYFUNCTION("""COMPUTED_VALUE"""),"ด.ช.มูฮัมมัดนัซรูณ สาแมง")</f>
        <v>ด.ช.มูฮัมมัดนัซรูณ สาแมง</v>
      </c>
      <c r="C890" s="3" t="str">
        <f>IFERROR(__xludf.DUMMYFUNCTION("""COMPUTED_VALUE"""),"ม.2/10")</f>
        <v>ม.2/10</v>
      </c>
      <c r="D890" s="3" t="str">
        <f>IFERROR(__xludf.DUMMYFUNCTION("""COMPUTED_VALUE"""),"อก.2/10")</f>
        <v>อก.2/10</v>
      </c>
      <c r="E890" s="2" t="str">
        <f>IFERROR(__xludf.DUMMYFUNCTION("""COMPUTED_VALUE"""),"ชาย")</f>
        <v>ชาย</v>
      </c>
      <c r="F890" s="5" t="str">
        <f>IFERROR(__xludf.DUMMYFUNCTION("""COMPUTED_VALUE"""),"https://azizstan.net/student_image/25821.jpg")</f>
        <v>https://azizstan.net/student_image/25821.jpg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" t="str">
        <f>IFERROR(__xludf.DUMMYFUNCTION("""COMPUTED_VALUE"""),"25874")</f>
        <v>25874</v>
      </c>
      <c r="B891" s="3" t="str">
        <f>IFERROR(__xludf.DUMMYFUNCTION("""COMPUTED_VALUE"""),"ด.ญ.ริฟฮาน ลำเดาะ")</f>
        <v>ด.ญ.ริฟฮาน ลำเดาะ</v>
      </c>
      <c r="C891" s="3" t="str">
        <f>IFERROR(__xludf.DUMMYFUNCTION("""COMPUTED_VALUE"""),"ม.2/10")</f>
        <v>ม.2/10</v>
      </c>
      <c r="D891" s="3" t="str">
        <f>IFERROR(__xludf.DUMMYFUNCTION("""COMPUTED_VALUE"""),"อก.2/10")</f>
        <v>อก.2/10</v>
      </c>
      <c r="E891" s="2" t="str">
        <f>IFERROR(__xludf.DUMMYFUNCTION("""COMPUTED_VALUE"""),"หญิง")</f>
        <v>หญิง</v>
      </c>
      <c r="F891" s="5" t="str">
        <f>IFERROR(__xludf.DUMMYFUNCTION("""COMPUTED_VALUE"""),"https://azizstan.net/student_image/25874.jpg")</f>
        <v>https://azizstan.net/student_image/25874.jpg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" t="str">
        <f>IFERROR(__xludf.DUMMYFUNCTION("""COMPUTED_VALUE"""),"25894")</f>
        <v>25894</v>
      </c>
      <c r="B892" s="3" t="str">
        <f>IFERROR(__xludf.DUMMYFUNCTION("""COMPUTED_VALUE"""),"ด.ญ.วรรณาอีมีน ดือราแม")</f>
        <v>ด.ญ.วรรณาอีมีน ดือราแม</v>
      </c>
      <c r="C892" s="3" t="str">
        <f>IFERROR(__xludf.DUMMYFUNCTION("""COMPUTED_VALUE"""),"ม.2/10")</f>
        <v>ม.2/10</v>
      </c>
      <c r="D892" s="3" t="str">
        <f>IFERROR(__xludf.DUMMYFUNCTION("""COMPUTED_VALUE"""),"อก.2/10")</f>
        <v>อก.2/10</v>
      </c>
      <c r="E892" s="2" t="str">
        <f>IFERROR(__xludf.DUMMYFUNCTION("""COMPUTED_VALUE"""),"หญิง")</f>
        <v>หญิง</v>
      </c>
      <c r="F892" s="5" t="str">
        <f>IFERROR(__xludf.DUMMYFUNCTION("""COMPUTED_VALUE"""),"https://azizstan.net/student_image/25894.jpg")</f>
        <v>https://azizstan.net/student_image/25894.jpg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" t="str">
        <f>IFERROR(__xludf.DUMMYFUNCTION("""COMPUTED_VALUE"""),"25915")</f>
        <v>25915</v>
      </c>
      <c r="B893" s="3" t="str">
        <f>IFERROR(__xludf.DUMMYFUNCTION("""COMPUTED_VALUE"""),"ด.ช.มูฮำหมัดฟุลกอล สาแม")</f>
        <v>ด.ช.มูฮำหมัดฟุลกอล สาแม</v>
      </c>
      <c r="C893" s="3" t="str">
        <f>IFERROR(__xludf.DUMMYFUNCTION("""COMPUTED_VALUE"""),"ม.2/10")</f>
        <v>ม.2/10</v>
      </c>
      <c r="D893" s="3" t="str">
        <f>IFERROR(__xludf.DUMMYFUNCTION("""COMPUTED_VALUE"""),"อก.2/10")</f>
        <v>อก.2/10</v>
      </c>
      <c r="E893" s="2" t="str">
        <f>IFERROR(__xludf.DUMMYFUNCTION("""COMPUTED_VALUE"""),"ชาย")</f>
        <v>ชาย</v>
      </c>
      <c r="F893" s="5" t="str">
        <f>IFERROR(__xludf.DUMMYFUNCTION("""COMPUTED_VALUE"""),"https://azizstan.net/student_image/25915.jpg")</f>
        <v>https://azizstan.net/student_image/25915.jpg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 t="str">
        <f>IFERROR(__xludf.DUMMYFUNCTION("""COMPUTED_VALUE"""),"25981")</f>
        <v>25981</v>
      </c>
      <c r="B894" s="3" t="str">
        <f>IFERROR(__xludf.DUMMYFUNCTION("""COMPUTED_VALUE"""),"ด.ญ.นูรูลฮูดา รอยะ")</f>
        <v>ด.ญ.นูรูลฮูดา รอยะ</v>
      </c>
      <c r="C894" s="3" t="str">
        <f>IFERROR(__xludf.DUMMYFUNCTION("""COMPUTED_VALUE"""),"ม.2/10")</f>
        <v>ม.2/10</v>
      </c>
      <c r="D894" s="3" t="str">
        <f>IFERROR(__xludf.DUMMYFUNCTION("""COMPUTED_VALUE"""),"อก.2/10")</f>
        <v>อก.2/10</v>
      </c>
      <c r="E894" s="2" t="str">
        <f>IFERROR(__xludf.DUMMYFUNCTION("""COMPUTED_VALUE"""),"หญิง")</f>
        <v>หญิง</v>
      </c>
      <c r="F894" s="5" t="str">
        <f>IFERROR(__xludf.DUMMYFUNCTION("""COMPUTED_VALUE"""),"https://azizstan.net/student_image/25981.jpg")</f>
        <v>https://azizstan.net/student_image/25981.jpg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 t="str">
        <f>IFERROR(__xludf.DUMMYFUNCTION("""COMPUTED_VALUE"""),"25360")</f>
        <v>25360</v>
      </c>
      <c r="B895" s="3" t="str">
        <f>IFERROR(__xludf.DUMMYFUNCTION("""COMPUTED_VALUE"""),"ด.ญ.นัจญ์วา บากา")</f>
        <v>ด.ญ.นัจญ์วา บากา</v>
      </c>
      <c r="C895" s="3" t="str">
        <f>IFERROR(__xludf.DUMMYFUNCTION("""COMPUTED_VALUE"""),"ม.2/11")</f>
        <v>ม.2/11</v>
      </c>
      <c r="D895" s="3" t="str">
        <f>IFERROR(__xludf.DUMMYFUNCTION("""COMPUTED_VALUE"""),"อก.2/11")</f>
        <v>อก.2/11</v>
      </c>
      <c r="E895" s="2" t="str">
        <f>IFERROR(__xludf.DUMMYFUNCTION("""COMPUTED_VALUE"""),"หญิง")</f>
        <v>หญิง</v>
      </c>
      <c r="F895" s="5" t="str">
        <f>IFERROR(__xludf.DUMMYFUNCTION("""COMPUTED_VALUE"""),"https://azizstan.net/student_image/25360.jpg")</f>
        <v>https://azizstan.net/student_image/25360.jpg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 t="str">
        <f>IFERROR(__xludf.DUMMYFUNCTION("""COMPUTED_VALUE"""),"25362")</f>
        <v>25362</v>
      </c>
      <c r="B896" s="3" t="str">
        <f>IFERROR(__xludf.DUMMYFUNCTION("""COMPUTED_VALUE"""),"ด.ช.ดาเนียล สุเรรัตน์")</f>
        <v>ด.ช.ดาเนียล สุเรรัตน์</v>
      </c>
      <c r="C896" s="3" t="str">
        <f>IFERROR(__xludf.DUMMYFUNCTION("""COMPUTED_VALUE"""),"ม.2/11")</f>
        <v>ม.2/11</v>
      </c>
      <c r="D896" s="3" t="str">
        <f>IFERROR(__xludf.DUMMYFUNCTION("""COMPUTED_VALUE"""),"อก.2/11")</f>
        <v>อก.2/11</v>
      </c>
      <c r="E896" s="2" t="str">
        <f>IFERROR(__xludf.DUMMYFUNCTION("""COMPUTED_VALUE"""),"ชาย")</f>
        <v>ชาย</v>
      </c>
      <c r="F896" s="5" t="str">
        <f>IFERROR(__xludf.DUMMYFUNCTION("""COMPUTED_VALUE"""),"https://azizstan.net/student_image/25362.jpg")</f>
        <v>https://azizstan.net/student_image/25362.jpg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" t="str">
        <f>IFERROR(__xludf.DUMMYFUNCTION("""COMPUTED_VALUE"""),"25367")</f>
        <v>25367</v>
      </c>
      <c r="B897" s="3" t="str">
        <f>IFERROR(__xludf.DUMMYFUNCTION("""COMPUTED_VALUE"""),"ด.ญ.อชิรญา วานิ")</f>
        <v>ด.ญ.อชิรญา วานิ</v>
      </c>
      <c r="C897" s="3" t="str">
        <f>IFERROR(__xludf.DUMMYFUNCTION("""COMPUTED_VALUE"""),"ม.2/11")</f>
        <v>ม.2/11</v>
      </c>
      <c r="D897" s="3" t="str">
        <f>IFERROR(__xludf.DUMMYFUNCTION("""COMPUTED_VALUE"""),"อก.2/11")</f>
        <v>อก.2/11</v>
      </c>
      <c r="E897" s="2" t="str">
        <f>IFERROR(__xludf.DUMMYFUNCTION("""COMPUTED_VALUE"""),"หญิง")</f>
        <v>หญิง</v>
      </c>
      <c r="F897" s="5" t="str">
        <f>IFERROR(__xludf.DUMMYFUNCTION("""COMPUTED_VALUE"""),"https://azizstan.net/student_image/25367.jpg")</f>
        <v>https://azizstan.net/student_image/25367.jpg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" t="str">
        <f>IFERROR(__xludf.DUMMYFUNCTION("""COMPUTED_VALUE"""),"25377")</f>
        <v>25377</v>
      </c>
      <c r="B898" s="3" t="str">
        <f>IFERROR(__xludf.DUMMYFUNCTION("""COMPUTED_VALUE"""),"ด.ญ.ซัซวานี สาแม")</f>
        <v>ด.ญ.ซัซวานี สาแม</v>
      </c>
      <c r="C898" s="3" t="str">
        <f>IFERROR(__xludf.DUMMYFUNCTION("""COMPUTED_VALUE"""),"ม.2/11")</f>
        <v>ม.2/11</v>
      </c>
      <c r="D898" s="3" t="str">
        <f>IFERROR(__xludf.DUMMYFUNCTION("""COMPUTED_VALUE"""),"อก.2/11")</f>
        <v>อก.2/11</v>
      </c>
      <c r="E898" s="2" t="str">
        <f>IFERROR(__xludf.DUMMYFUNCTION("""COMPUTED_VALUE"""),"หญิง")</f>
        <v>หญิง</v>
      </c>
      <c r="F898" s="5" t="str">
        <f>IFERROR(__xludf.DUMMYFUNCTION("""COMPUTED_VALUE"""),"https://azizstan.net/student_image/25377.jpg")</f>
        <v>https://azizstan.net/student_image/25377.jpg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" t="str">
        <f>IFERROR(__xludf.DUMMYFUNCTION("""COMPUTED_VALUE"""),"25404")</f>
        <v>25404</v>
      </c>
      <c r="B899" s="3" t="str">
        <f>IFERROR(__xludf.DUMMYFUNCTION("""COMPUTED_VALUE"""),"ด.ญ.อัสมะ บาราเฮง")</f>
        <v>ด.ญ.อัสมะ บาราเฮง</v>
      </c>
      <c r="C899" s="3" t="str">
        <f>IFERROR(__xludf.DUMMYFUNCTION("""COMPUTED_VALUE"""),"ม.2/11")</f>
        <v>ม.2/11</v>
      </c>
      <c r="D899" s="3" t="str">
        <f>IFERROR(__xludf.DUMMYFUNCTION("""COMPUTED_VALUE"""),"อก.2/11")</f>
        <v>อก.2/11</v>
      </c>
      <c r="E899" s="2" t="str">
        <f>IFERROR(__xludf.DUMMYFUNCTION("""COMPUTED_VALUE"""),"หญิง")</f>
        <v>หญิง</v>
      </c>
      <c r="F899" s="5" t="str">
        <f>IFERROR(__xludf.DUMMYFUNCTION("""COMPUTED_VALUE"""),"https://azizstan.net/student_image/25404.jpg")</f>
        <v>https://azizstan.net/student_image/25404.jpg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" t="str">
        <f>IFERROR(__xludf.DUMMYFUNCTION("""COMPUTED_VALUE"""),"25417")</f>
        <v>25417</v>
      </c>
      <c r="B900" s="3" t="str">
        <f>IFERROR(__xludf.DUMMYFUNCTION("""COMPUTED_VALUE"""),"ด.ญ.นิคอานีซะห์ บือราเฮง")</f>
        <v>ด.ญ.นิคอานีซะห์ บือราเฮง</v>
      </c>
      <c r="C900" s="3" t="str">
        <f>IFERROR(__xludf.DUMMYFUNCTION("""COMPUTED_VALUE"""),"ม.2/11")</f>
        <v>ม.2/11</v>
      </c>
      <c r="D900" s="3" t="str">
        <f>IFERROR(__xludf.DUMMYFUNCTION("""COMPUTED_VALUE"""),"อก.2/11")</f>
        <v>อก.2/11</v>
      </c>
      <c r="E900" s="2" t="str">
        <f>IFERROR(__xludf.DUMMYFUNCTION("""COMPUTED_VALUE"""),"หญิง")</f>
        <v>หญิง</v>
      </c>
      <c r="F900" s="5" t="str">
        <f>IFERROR(__xludf.DUMMYFUNCTION("""COMPUTED_VALUE"""),"https://azizstan.net/student_image/25417.jpg")</f>
        <v>https://azizstan.net/student_image/25417.jpg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" t="str">
        <f>IFERROR(__xludf.DUMMYFUNCTION("""COMPUTED_VALUE"""),"25423")</f>
        <v>25423</v>
      </c>
      <c r="B901" s="3" t="str">
        <f>IFERROR(__xludf.DUMMYFUNCTION("""COMPUTED_VALUE"""),"ด.ญ.อารีฟา อับดุลวาฮับ")</f>
        <v>ด.ญ.อารีฟา อับดุลวาฮับ</v>
      </c>
      <c r="C901" s="3" t="str">
        <f>IFERROR(__xludf.DUMMYFUNCTION("""COMPUTED_VALUE"""),"ม.2/11")</f>
        <v>ม.2/11</v>
      </c>
      <c r="D901" s="3" t="str">
        <f>IFERROR(__xludf.DUMMYFUNCTION("""COMPUTED_VALUE"""),"อก.2/11")</f>
        <v>อก.2/11</v>
      </c>
      <c r="E901" s="2" t="str">
        <f>IFERROR(__xludf.DUMMYFUNCTION("""COMPUTED_VALUE"""),"หญิง")</f>
        <v>หญิง</v>
      </c>
      <c r="F901" s="5" t="str">
        <f>IFERROR(__xludf.DUMMYFUNCTION("""COMPUTED_VALUE"""),"https://azizstan.net/student_image/25423.jpg")</f>
        <v>https://azizstan.net/student_image/25423.jpg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" t="str">
        <f>IFERROR(__xludf.DUMMYFUNCTION("""COMPUTED_VALUE"""),"25456")</f>
        <v>25456</v>
      </c>
      <c r="B902" s="3" t="str">
        <f>IFERROR(__xludf.DUMMYFUNCTION("""COMPUTED_VALUE"""),"ด.ญ.นูรไอณี สาเมาะ")</f>
        <v>ด.ญ.นูรไอณี สาเมาะ</v>
      </c>
      <c r="C902" s="3" t="str">
        <f>IFERROR(__xludf.DUMMYFUNCTION("""COMPUTED_VALUE"""),"ม.2/11")</f>
        <v>ม.2/11</v>
      </c>
      <c r="D902" s="3" t="str">
        <f>IFERROR(__xludf.DUMMYFUNCTION("""COMPUTED_VALUE"""),"อก.2/11")</f>
        <v>อก.2/11</v>
      </c>
      <c r="E902" s="2" t="str">
        <f>IFERROR(__xludf.DUMMYFUNCTION("""COMPUTED_VALUE"""),"หญิง")</f>
        <v>หญิง</v>
      </c>
      <c r="F902" s="5" t="str">
        <f>IFERROR(__xludf.DUMMYFUNCTION("""COMPUTED_VALUE"""),"https://azizstan.net/student_image/25456.jpg")</f>
        <v>https://azizstan.net/student_image/25456.jpg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" t="str">
        <f>IFERROR(__xludf.DUMMYFUNCTION("""COMPUTED_VALUE"""),"25457")</f>
        <v>25457</v>
      </c>
      <c r="B903" s="3" t="str">
        <f>IFERROR(__xludf.DUMMYFUNCTION("""COMPUTED_VALUE"""),"ด.ญ.นุรฮาปีซา การิง")</f>
        <v>ด.ญ.นุรฮาปีซา การิง</v>
      </c>
      <c r="C903" s="3" t="str">
        <f>IFERROR(__xludf.DUMMYFUNCTION("""COMPUTED_VALUE"""),"ม.2/11")</f>
        <v>ม.2/11</v>
      </c>
      <c r="D903" s="3" t="str">
        <f>IFERROR(__xludf.DUMMYFUNCTION("""COMPUTED_VALUE"""),"อก.2/11")</f>
        <v>อก.2/11</v>
      </c>
      <c r="E903" s="2" t="str">
        <f>IFERROR(__xludf.DUMMYFUNCTION("""COMPUTED_VALUE"""),"หญิง")</f>
        <v>หญิง</v>
      </c>
      <c r="F903" s="5" t="str">
        <f>IFERROR(__xludf.DUMMYFUNCTION("""COMPUTED_VALUE"""),"https://azizstan.net/student_image/25457.jpg")</f>
        <v>https://azizstan.net/student_image/25457.jpg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" t="str">
        <f>IFERROR(__xludf.DUMMYFUNCTION("""COMPUTED_VALUE"""),"25466")</f>
        <v>25466</v>
      </c>
      <c r="B904" s="3" t="str">
        <f>IFERROR(__xludf.DUMMYFUNCTION("""COMPUTED_VALUE"""),"ด.ญ.แวอิลฮัม ยาโงะ")</f>
        <v>ด.ญ.แวอิลฮัม ยาโงะ</v>
      </c>
      <c r="C904" s="3" t="str">
        <f>IFERROR(__xludf.DUMMYFUNCTION("""COMPUTED_VALUE"""),"ม.2/11")</f>
        <v>ม.2/11</v>
      </c>
      <c r="D904" s="3" t="str">
        <f>IFERROR(__xludf.DUMMYFUNCTION("""COMPUTED_VALUE"""),"อก.2/11")</f>
        <v>อก.2/11</v>
      </c>
      <c r="E904" s="2" t="str">
        <f>IFERROR(__xludf.DUMMYFUNCTION("""COMPUTED_VALUE"""),"หญิง")</f>
        <v>หญิง</v>
      </c>
      <c r="F904" s="5" t="str">
        <f>IFERROR(__xludf.DUMMYFUNCTION("""COMPUTED_VALUE"""),"https://azizstan.net/student_image/25466.jpg")</f>
        <v>https://azizstan.net/student_image/25466.jpg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 t="str">
        <f>IFERROR(__xludf.DUMMYFUNCTION("""COMPUTED_VALUE"""),"25497")</f>
        <v>25497</v>
      </c>
      <c r="B905" s="3" t="str">
        <f>IFERROR(__xludf.DUMMYFUNCTION("""COMPUTED_VALUE"""),"ด.ญ.อารอฟะห์ ตาเยะ")</f>
        <v>ด.ญ.อารอฟะห์ ตาเยะ</v>
      </c>
      <c r="C905" s="3" t="str">
        <f>IFERROR(__xludf.DUMMYFUNCTION("""COMPUTED_VALUE"""),"ม.2/11")</f>
        <v>ม.2/11</v>
      </c>
      <c r="D905" s="3" t="str">
        <f>IFERROR(__xludf.DUMMYFUNCTION("""COMPUTED_VALUE"""),"อก.2/11")</f>
        <v>อก.2/11</v>
      </c>
      <c r="E905" s="2" t="str">
        <f>IFERROR(__xludf.DUMMYFUNCTION("""COMPUTED_VALUE"""),"หญิง")</f>
        <v>หญิง</v>
      </c>
      <c r="F905" s="5" t="str">
        <f>IFERROR(__xludf.DUMMYFUNCTION("""COMPUTED_VALUE"""),"https://azizstan.net/student_image/25497.jpg")</f>
        <v>https://azizstan.net/student_image/25497.jpg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 t="str">
        <f>IFERROR(__xludf.DUMMYFUNCTION("""COMPUTED_VALUE"""),"25500")</f>
        <v>25500</v>
      </c>
      <c r="B906" s="3" t="str">
        <f>IFERROR(__xludf.DUMMYFUNCTION("""COMPUTED_VALUE"""),"ด.ญ.ญาดา ใบหมัด")</f>
        <v>ด.ญ.ญาดา ใบหมัด</v>
      </c>
      <c r="C906" s="3" t="str">
        <f>IFERROR(__xludf.DUMMYFUNCTION("""COMPUTED_VALUE"""),"ม.2/11")</f>
        <v>ม.2/11</v>
      </c>
      <c r="D906" s="3" t="str">
        <f>IFERROR(__xludf.DUMMYFUNCTION("""COMPUTED_VALUE"""),"อก.2/11")</f>
        <v>อก.2/11</v>
      </c>
      <c r="E906" s="2" t="str">
        <f>IFERROR(__xludf.DUMMYFUNCTION("""COMPUTED_VALUE"""),"หญิง")</f>
        <v>หญิง</v>
      </c>
      <c r="F906" s="5" t="str">
        <f>IFERROR(__xludf.DUMMYFUNCTION("""COMPUTED_VALUE"""),"https://azizstan.net/student_image/25500.jpg")</f>
        <v>https://azizstan.net/student_image/25500.jpg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" t="str">
        <f>IFERROR(__xludf.DUMMYFUNCTION("""COMPUTED_VALUE"""),"25529")</f>
        <v>25529</v>
      </c>
      <c r="B907" s="3" t="str">
        <f>IFERROR(__xludf.DUMMYFUNCTION("""COMPUTED_VALUE"""),"ด.ช.อารีฟ อาดำ")</f>
        <v>ด.ช.อารีฟ อาดำ</v>
      </c>
      <c r="C907" s="3" t="str">
        <f>IFERROR(__xludf.DUMMYFUNCTION("""COMPUTED_VALUE"""),"ม.2/11")</f>
        <v>ม.2/11</v>
      </c>
      <c r="D907" s="3" t="str">
        <f>IFERROR(__xludf.DUMMYFUNCTION("""COMPUTED_VALUE"""),"อก.2/11")</f>
        <v>อก.2/11</v>
      </c>
      <c r="E907" s="2" t="str">
        <f>IFERROR(__xludf.DUMMYFUNCTION("""COMPUTED_VALUE"""),"ชาย")</f>
        <v>ชาย</v>
      </c>
      <c r="F907" s="5" t="str">
        <f>IFERROR(__xludf.DUMMYFUNCTION("""COMPUTED_VALUE"""),"https://azizstan.net/student_image/25529.jpg")</f>
        <v>https://azizstan.net/student_image/25529.jpg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" t="str">
        <f>IFERROR(__xludf.DUMMYFUNCTION("""COMPUTED_VALUE"""),"25542")</f>
        <v>25542</v>
      </c>
      <c r="B908" s="3" t="str">
        <f>IFERROR(__xludf.DUMMYFUNCTION("""COMPUTED_VALUE"""),"ด.ญ.อามาลีนา สิริเต๊ะ")</f>
        <v>ด.ญ.อามาลีนา สิริเต๊ะ</v>
      </c>
      <c r="C908" s="3" t="str">
        <f>IFERROR(__xludf.DUMMYFUNCTION("""COMPUTED_VALUE"""),"ม.2/11")</f>
        <v>ม.2/11</v>
      </c>
      <c r="D908" s="3" t="str">
        <f>IFERROR(__xludf.DUMMYFUNCTION("""COMPUTED_VALUE"""),"อก.2/11")</f>
        <v>อก.2/11</v>
      </c>
      <c r="E908" s="2" t="str">
        <f>IFERROR(__xludf.DUMMYFUNCTION("""COMPUTED_VALUE"""),"หญิง")</f>
        <v>หญิง</v>
      </c>
      <c r="F908" s="5" t="str">
        <f>IFERROR(__xludf.DUMMYFUNCTION("""COMPUTED_VALUE"""),"https://azizstan.net/student_image/25542.jpg")</f>
        <v>https://azizstan.net/student_image/25542.jpg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 t="str">
        <f>IFERROR(__xludf.DUMMYFUNCTION("""COMPUTED_VALUE"""),"25551")</f>
        <v>25551</v>
      </c>
      <c r="B909" s="3" t="str">
        <f>IFERROR(__xludf.DUMMYFUNCTION("""COMPUTED_VALUE"""),"ด.ญ.ฮัลวา ลาเตะ")</f>
        <v>ด.ญ.ฮัลวา ลาเตะ</v>
      </c>
      <c r="C909" s="3" t="str">
        <f>IFERROR(__xludf.DUMMYFUNCTION("""COMPUTED_VALUE"""),"ม.2/11")</f>
        <v>ม.2/11</v>
      </c>
      <c r="D909" s="3" t="str">
        <f>IFERROR(__xludf.DUMMYFUNCTION("""COMPUTED_VALUE"""),"อก.2/11")</f>
        <v>อก.2/11</v>
      </c>
      <c r="E909" s="2" t="str">
        <f>IFERROR(__xludf.DUMMYFUNCTION("""COMPUTED_VALUE"""),"หญิง")</f>
        <v>หญิง</v>
      </c>
      <c r="F909" s="5" t="str">
        <f>IFERROR(__xludf.DUMMYFUNCTION("""COMPUTED_VALUE"""),"https://azizstan.net/student_image/25551.jpg")</f>
        <v>https://azizstan.net/student_image/25551.jpg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" t="str">
        <f>IFERROR(__xludf.DUMMYFUNCTION("""COMPUTED_VALUE"""),"25583")</f>
        <v>25583</v>
      </c>
      <c r="B910" s="3" t="str">
        <f>IFERROR(__xludf.DUMMYFUNCTION("""COMPUTED_VALUE"""),"ด.ญ.ซิลมี สะอะ")</f>
        <v>ด.ญ.ซิลมี สะอะ</v>
      </c>
      <c r="C910" s="3" t="str">
        <f>IFERROR(__xludf.DUMMYFUNCTION("""COMPUTED_VALUE"""),"ม.2/11")</f>
        <v>ม.2/11</v>
      </c>
      <c r="D910" s="3" t="str">
        <f>IFERROR(__xludf.DUMMYFUNCTION("""COMPUTED_VALUE"""),"อก.2/11")</f>
        <v>อก.2/11</v>
      </c>
      <c r="E910" s="2" t="str">
        <f>IFERROR(__xludf.DUMMYFUNCTION("""COMPUTED_VALUE"""),"หญิง")</f>
        <v>หญิง</v>
      </c>
      <c r="F910" s="5" t="str">
        <f>IFERROR(__xludf.DUMMYFUNCTION("""COMPUTED_VALUE"""),"https://azizstan.net/student_image/25583.jpg")</f>
        <v>https://azizstan.net/student_image/25583.jpg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" t="str">
        <f>IFERROR(__xludf.DUMMYFUNCTION("""COMPUTED_VALUE"""),"25623")</f>
        <v>25623</v>
      </c>
      <c r="B911" s="3" t="str">
        <f>IFERROR(__xludf.DUMMYFUNCTION("""COMPUTED_VALUE"""),"ด.ญ.นัสริน หวังแฉะ")</f>
        <v>ด.ญ.นัสริน หวังแฉะ</v>
      </c>
      <c r="C911" s="3" t="str">
        <f>IFERROR(__xludf.DUMMYFUNCTION("""COMPUTED_VALUE"""),"ม.2/11")</f>
        <v>ม.2/11</v>
      </c>
      <c r="D911" s="3" t="str">
        <f>IFERROR(__xludf.DUMMYFUNCTION("""COMPUTED_VALUE"""),"อก.2/11")</f>
        <v>อก.2/11</v>
      </c>
      <c r="E911" s="2" t="str">
        <f>IFERROR(__xludf.DUMMYFUNCTION("""COMPUTED_VALUE"""),"หญิง")</f>
        <v>หญิง</v>
      </c>
      <c r="F911" s="5" t="str">
        <f>IFERROR(__xludf.DUMMYFUNCTION("""COMPUTED_VALUE"""),"https://azizstan.net/student_image/25623.jpg")</f>
        <v>https://azizstan.net/student_image/25623.jpg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" t="str">
        <f>IFERROR(__xludf.DUMMYFUNCTION("""COMPUTED_VALUE"""),"25624")</f>
        <v>25624</v>
      </c>
      <c r="B912" s="3" t="str">
        <f>IFERROR(__xludf.DUMMYFUNCTION("""COMPUTED_VALUE"""),"ด.ญ.ซูอัยซ์ยาร์ โอล่า")</f>
        <v>ด.ญ.ซูอัยซ์ยาร์ โอล่า</v>
      </c>
      <c r="C912" s="3" t="str">
        <f>IFERROR(__xludf.DUMMYFUNCTION("""COMPUTED_VALUE"""),"ม.2/11")</f>
        <v>ม.2/11</v>
      </c>
      <c r="D912" s="3" t="str">
        <f>IFERROR(__xludf.DUMMYFUNCTION("""COMPUTED_VALUE"""),"อก.2/11")</f>
        <v>อก.2/11</v>
      </c>
      <c r="E912" s="2" t="str">
        <f>IFERROR(__xludf.DUMMYFUNCTION("""COMPUTED_VALUE"""),"หญิง")</f>
        <v>หญิง</v>
      </c>
      <c r="F912" s="5" t="str">
        <f>IFERROR(__xludf.DUMMYFUNCTION("""COMPUTED_VALUE"""),"https://azizstan.net/student_image/25624.jpg")</f>
        <v>https://azizstan.net/student_image/25624.jpg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" t="str">
        <f>IFERROR(__xludf.DUMMYFUNCTION("""COMPUTED_VALUE"""),"25631")</f>
        <v>25631</v>
      </c>
      <c r="B913" s="3" t="str">
        <f>IFERROR(__xludf.DUMMYFUNCTION("""COMPUTED_VALUE"""),"ด.ญ.แวรุสนา แวแซ")</f>
        <v>ด.ญ.แวรุสนา แวแซ</v>
      </c>
      <c r="C913" s="3" t="str">
        <f>IFERROR(__xludf.DUMMYFUNCTION("""COMPUTED_VALUE"""),"ม.2/11")</f>
        <v>ม.2/11</v>
      </c>
      <c r="D913" s="3" t="str">
        <f>IFERROR(__xludf.DUMMYFUNCTION("""COMPUTED_VALUE"""),"อก.2/11")</f>
        <v>อก.2/11</v>
      </c>
      <c r="E913" s="2" t="str">
        <f>IFERROR(__xludf.DUMMYFUNCTION("""COMPUTED_VALUE"""),"หญิง")</f>
        <v>หญิง</v>
      </c>
      <c r="F913" s="5" t="str">
        <f>IFERROR(__xludf.DUMMYFUNCTION("""COMPUTED_VALUE"""),"https://azizstan.net/student_image/25631.jpg")</f>
        <v>https://azizstan.net/student_image/25631.jpg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" t="str">
        <f>IFERROR(__xludf.DUMMYFUNCTION("""COMPUTED_VALUE"""),"25635")</f>
        <v>25635</v>
      </c>
      <c r="B914" s="3" t="str">
        <f>IFERROR(__xludf.DUMMYFUNCTION("""COMPUTED_VALUE"""),"ด.ญ.นิอาเดีย อับดุลวาฮับ")</f>
        <v>ด.ญ.นิอาเดีย อับดุลวาฮับ</v>
      </c>
      <c r="C914" s="3" t="str">
        <f>IFERROR(__xludf.DUMMYFUNCTION("""COMPUTED_VALUE"""),"ม.2/11")</f>
        <v>ม.2/11</v>
      </c>
      <c r="D914" s="3" t="str">
        <f>IFERROR(__xludf.DUMMYFUNCTION("""COMPUTED_VALUE"""),"อก.2/11")</f>
        <v>อก.2/11</v>
      </c>
      <c r="E914" s="2" t="str">
        <f>IFERROR(__xludf.DUMMYFUNCTION("""COMPUTED_VALUE"""),"หญิง")</f>
        <v>หญิง</v>
      </c>
      <c r="F914" s="5" t="str">
        <f>IFERROR(__xludf.DUMMYFUNCTION("""COMPUTED_VALUE"""),"https://azizstan.net/student_image/25635.jpg")</f>
        <v>https://azizstan.net/student_image/25635.jpg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 t="str">
        <f>IFERROR(__xludf.DUMMYFUNCTION("""COMPUTED_VALUE"""),"25648")</f>
        <v>25648</v>
      </c>
      <c r="B915" s="3" t="str">
        <f>IFERROR(__xludf.DUMMYFUNCTION("""COMPUTED_VALUE"""),"ด.ญ.มาสีเตาะ ดอหนิ")</f>
        <v>ด.ญ.มาสีเตาะ ดอหนิ</v>
      </c>
      <c r="C915" s="3" t="str">
        <f>IFERROR(__xludf.DUMMYFUNCTION("""COMPUTED_VALUE"""),"ม.2/11")</f>
        <v>ม.2/11</v>
      </c>
      <c r="D915" s="3" t="str">
        <f>IFERROR(__xludf.DUMMYFUNCTION("""COMPUTED_VALUE"""),"อก.2/11")</f>
        <v>อก.2/11</v>
      </c>
      <c r="E915" s="2" t="str">
        <f>IFERROR(__xludf.DUMMYFUNCTION("""COMPUTED_VALUE"""),"หญิง")</f>
        <v>หญิง</v>
      </c>
      <c r="F915" s="5" t="str">
        <f>IFERROR(__xludf.DUMMYFUNCTION("""COMPUTED_VALUE"""),"https://azizstan.net/student_image/25648.jpg")</f>
        <v>https://azizstan.net/student_image/25648.jpg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 t="str">
        <f>IFERROR(__xludf.DUMMYFUNCTION("""COMPUTED_VALUE"""),"25650")</f>
        <v>25650</v>
      </c>
      <c r="B916" s="3" t="str">
        <f>IFERROR(__xludf.DUMMYFUNCTION("""COMPUTED_VALUE"""),"ด.ญ.อัฟนาน วะจิดี")</f>
        <v>ด.ญ.อัฟนาน วะจิดี</v>
      </c>
      <c r="C916" s="3" t="str">
        <f>IFERROR(__xludf.DUMMYFUNCTION("""COMPUTED_VALUE"""),"ม.2/11")</f>
        <v>ม.2/11</v>
      </c>
      <c r="D916" s="3" t="str">
        <f>IFERROR(__xludf.DUMMYFUNCTION("""COMPUTED_VALUE"""),"อก.2/11")</f>
        <v>อก.2/11</v>
      </c>
      <c r="E916" s="2" t="str">
        <f>IFERROR(__xludf.DUMMYFUNCTION("""COMPUTED_VALUE"""),"หญิง")</f>
        <v>หญิง</v>
      </c>
      <c r="F916" s="5" t="str">
        <f>IFERROR(__xludf.DUMMYFUNCTION("""COMPUTED_VALUE"""),"https://azizstan.net/student_image/25650.jpg")</f>
        <v>https://azizstan.net/student_image/25650.jpg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 t="str">
        <f>IFERROR(__xludf.DUMMYFUNCTION("""COMPUTED_VALUE"""),"25671")</f>
        <v>25671</v>
      </c>
      <c r="B917" s="3" t="str">
        <f>IFERROR(__xludf.DUMMYFUNCTION("""COMPUTED_VALUE"""),"ด.ญ.ฟาติมาอัสมะ ยะนาย")</f>
        <v>ด.ญ.ฟาติมาอัสมะ ยะนาย</v>
      </c>
      <c r="C917" s="3" t="str">
        <f>IFERROR(__xludf.DUMMYFUNCTION("""COMPUTED_VALUE"""),"ม.2/11")</f>
        <v>ม.2/11</v>
      </c>
      <c r="D917" s="3" t="str">
        <f>IFERROR(__xludf.DUMMYFUNCTION("""COMPUTED_VALUE"""),"อก.2/11")</f>
        <v>อก.2/11</v>
      </c>
      <c r="E917" s="2" t="str">
        <f>IFERROR(__xludf.DUMMYFUNCTION("""COMPUTED_VALUE"""),"หญิง")</f>
        <v>หญิง</v>
      </c>
      <c r="F917" s="5" t="str">
        <f>IFERROR(__xludf.DUMMYFUNCTION("""COMPUTED_VALUE"""),"https://azizstan.net/student_image/25671.jpg")</f>
        <v>https://azizstan.net/student_image/25671.jpg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 t="str">
        <f>IFERROR(__xludf.DUMMYFUNCTION("""COMPUTED_VALUE"""),"25673")</f>
        <v>25673</v>
      </c>
      <c r="B918" s="3" t="str">
        <f>IFERROR(__xludf.DUMMYFUNCTION("""COMPUTED_VALUE"""),"ด.ญ.นัสรี อุตส่าห์ราชการ")</f>
        <v>ด.ญ.นัสรี อุตส่าห์ราชการ</v>
      </c>
      <c r="C918" s="3" t="str">
        <f>IFERROR(__xludf.DUMMYFUNCTION("""COMPUTED_VALUE"""),"ม.2/11")</f>
        <v>ม.2/11</v>
      </c>
      <c r="D918" s="3" t="str">
        <f>IFERROR(__xludf.DUMMYFUNCTION("""COMPUTED_VALUE"""),"อก.2/11")</f>
        <v>อก.2/11</v>
      </c>
      <c r="E918" s="2" t="str">
        <f>IFERROR(__xludf.DUMMYFUNCTION("""COMPUTED_VALUE"""),"หญิง")</f>
        <v>หญิง</v>
      </c>
      <c r="F918" s="5" t="str">
        <f>IFERROR(__xludf.DUMMYFUNCTION("""COMPUTED_VALUE"""),"https://azizstan.net/student_image/25673.jpg")</f>
        <v>https://azizstan.net/student_image/25673.jpg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 t="str">
        <f>IFERROR(__xludf.DUMMYFUNCTION("""COMPUTED_VALUE"""),"25675")</f>
        <v>25675</v>
      </c>
      <c r="B919" s="3" t="str">
        <f>IFERROR(__xludf.DUMMYFUNCTION("""COMPUTED_VALUE"""),"ด.ญ.วารียา จารู")</f>
        <v>ด.ญ.วารียา จารู</v>
      </c>
      <c r="C919" s="3" t="str">
        <f>IFERROR(__xludf.DUMMYFUNCTION("""COMPUTED_VALUE"""),"ม.2/11")</f>
        <v>ม.2/11</v>
      </c>
      <c r="D919" s="3" t="str">
        <f>IFERROR(__xludf.DUMMYFUNCTION("""COMPUTED_VALUE"""),"อก.2/11")</f>
        <v>อก.2/11</v>
      </c>
      <c r="E919" s="2" t="str">
        <f>IFERROR(__xludf.DUMMYFUNCTION("""COMPUTED_VALUE"""),"หญิง")</f>
        <v>หญิง</v>
      </c>
      <c r="F919" s="5" t="str">
        <f>IFERROR(__xludf.DUMMYFUNCTION("""COMPUTED_VALUE"""),"https://azizstan.net/student_image/25675.jpg")</f>
        <v>https://azizstan.net/student_image/25675.jpg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 t="str">
        <f>IFERROR(__xludf.DUMMYFUNCTION("""COMPUTED_VALUE"""),"25746")</f>
        <v>25746</v>
      </c>
      <c r="B920" s="3" t="str">
        <f>IFERROR(__xludf.DUMMYFUNCTION("""COMPUTED_VALUE"""),"ด.ช.ซุฟเฟียน ปาเนาะ")</f>
        <v>ด.ช.ซุฟเฟียน ปาเนาะ</v>
      </c>
      <c r="C920" s="3" t="str">
        <f>IFERROR(__xludf.DUMMYFUNCTION("""COMPUTED_VALUE"""),"ม.2/11")</f>
        <v>ม.2/11</v>
      </c>
      <c r="D920" s="3" t="str">
        <f>IFERROR(__xludf.DUMMYFUNCTION("""COMPUTED_VALUE"""),"อก.2/11")</f>
        <v>อก.2/11</v>
      </c>
      <c r="E920" s="2" t="str">
        <f>IFERROR(__xludf.DUMMYFUNCTION("""COMPUTED_VALUE"""),"ชาย")</f>
        <v>ชาย</v>
      </c>
      <c r="F920" s="5" t="str">
        <f>IFERROR(__xludf.DUMMYFUNCTION("""COMPUTED_VALUE"""),"https://azizstan.net/student_image/25746.jpg")</f>
        <v>https://azizstan.net/student_image/25746.jpg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 t="str">
        <f>IFERROR(__xludf.DUMMYFUNCTION("""COMPUTED_VALUE"""),"25760")</f>
        <v>25760</v>
      </c>
      <c r="B921" s="3" t="str">
        <f>IFERROR(__xludf.DUMMYFUNCTION("""COMPUTED_VALUE"""),"ด.ญ.คอดีเยาะ อีแต")</f>
        <v>ด.ญ.คอดีเยาะ อีแต</v>
      </c>
      <c r="C921" s="3" t="str">
        <f>IFERROR(__xludf.DUMMYFUNCTION("""COMPUTED_VALUE"""),"ม.2/11")</f>
        <v>ม.2/11</v>
      </c>
      <c r="D921" s="3" t="str">
        <f>IFERROR(__xludf.DUMMYFUNCTION("""COMPUTED_VALUE"""),"อก.2/11")</f>
        <v>อก.2/11</v>
      </c>
      <c r="E921" s="2" t="str">
        <f>IFERROR(__xludf.DUMMYFUNCTION("""COMPUTED_VALUE"""),"หญิง")</f>
        <v>หญิง</v>
      </c>
      <c r="F921" s="5" t="str">
        <f>IFERROR(__xludf.DUMMYFUNCTION("""COMPUTED_VALUE"""),"https://azizstan.net/student_image/25760.jpg")</f>
        <v>https://azizstan.net/student_image/25760.jpg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 t="str">
        <f>IFERROR(__xludf.DUMMYFUNCTION("""COMPUTED_VALUE"""),"25770")</f>
        <v>25770</v>
      </c>
      <c r="B922" s="3" t="str">
        <f>IFERROR(__xludf.DUMMYFUNCTION("""COMPUTED_VALUE"""),"ด.ช.นิอากิฟ อับดุลวาฮับ")</f>
        <v>ด.ช.นิอากิฟ อับดุลวาฮับ</v>
      </c>
      <c r="C922" s="3" t="str">
        <f>IFERROR(__xludf.DUMMYFUNCTION("""COMPUTED_VALUE"""),"ม.2/11")</f>
        <v>ม.2/11</v>
      </c>
      <c r="D922" s="3" t="str">
        <f>IFERROR(__xludf.DUMMYFUNCTION("""COMPUTED_VALUE"""),"อก.2/11")</f>
        <v>อก.2/11</v>
      </c>
      <c r="E922" s="2" t="str">
        <f>IFERROR(__xludf.DUMMYFUNCTION("""COMPUTED_VALUE"""),"ชาย")</f>
        <v>ชาย</v>
      </c>
      <c r="F922" s="5" t="str">
        <f>IFERROR(__xludf.DUMMYFUNCTION("""COMPUTED_VALUE"""),"https://azizstan.net/student_image/25770.jpg")</f>
        <v>https://azizstan.net/student_image/25770.jpg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 t="str">
        <f>IFERROR(__xludf.DUMMYFUNCTION("""COMPUTED_VALUE"""),"25773")</f>
        <v>25773</v>
      </c>
      <c r="B923" s="3" t="str">
        <f>IFERROR(__xludf.DUMMYFUNCTION("""COMPUTED_VALUE"""),"ด.ญ.ซีฟ้าอ์ สะมะแอ")</f>
        <v>ด.ญ.ซีฟ้าอ์ สะมะแอ</v>
      </c>
      <c r="C923" s="3" t="str">
        <f>IFERROR(__xludf.DUMMYFUNCTION("""COMPUTED_VALUE"""),"ม.2/11")</f>
        <v>ม.2/11</v>
      </c>
      <c r="D923" s="3" t="str">
        <f>IFERROR(__xludf.DUMMYFUNCTION("""COMPUTED_VALUE"""),"อก.2/11")</f>
        <v>อก.2/11</v>
      </c>
      <c r="E923" s="2" t="str">
        <f>IFERROR(__xludf.DUMMYFUNCTION("""COMPUTED_VALUE"""),"หญิง")</f>
        <v>หญิง</v>
      </c>
      <c r="F923" s="5" t="str">
        <f>IFERROR(__xludf.DUMMYFUNCTION("""COMPUTED_VALUE"""),"https://azizstan.net/student_image/25773.jpg")</f>
        <v>https://azizstan.net/student_image/25773.jpg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 t="str">
        <f>IFERROR(__xludf.DUMMYFUNCTION("""COMPUTED_VALUE"""),"25778")</f>
        <v>25778</v>
      </c>
      <c r="B924" s="3" t="str">
        <f>IFERROR(__xludf.DUMMYFUNCTION("""COMPUTED_VALUE"""),"ด.ช.ซัฟรันต์ แก้วมรกฏ")</f>
        <v>ด.ช.ซัฟรันต์ แก้วมรกฏ</v>
      </c>
      <c r="C924" s="3" t="str">
        <f>IFERROR(__xludf.DUMMYFUNCTION("""COMPUTED_VALUE"""),"ม.2/11")</f>
        <v>ม.2/11</v>
      </c>
      <c r="D924" s="3" t="str">
        <f>IFERROR(__xludf.DUMMYFUNCTION("""COMPUTED_VALUE"""),"อก.2/11")</f>
        <v>อก.2/11</v>
      </c>
      <c r="E924" s="2" t="str">
        <f>IFERROR(__xludf.DUMMYFUNCTION("""COMPUTED_VALUE"""),"ชาย")</f>
        <v>ชาย</v>
      </c>
      <c r="F924" s="5" t="str">
        <f>IFERROR(__xludf.DUMMYFUNCTION("""COMPUTED_VALUE"""),"https://azizstan.net/student_image/25778.jpg")</f>
        <v>https://azizstan.net/student_image/25778.jpg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 t="str">
        <f>IFERROR(__xludf.DUMMYFUNCTION("""COMPUTED_VALUE"""),"25779")</f>
        <v>25779</v>
      </c>
      <c r="B925" s="3" t="str">
        <f>IFERROR(__xludf.DUMMYFUNCTION("""COMPUTED_VALUE"""),"ด.ช.นัซมีย์ บิลละโสย")</f>
        <v>ด.ช.นัซมีย์ บิลละโสย</v>
      </c>
      <c r="C925" s="3" t="str">
        <f>IFERROR(__xludf.DUMMYFUNCTION("""COMPUTED_VALUE"""),"ม.2/11")</f>
        <v>ม.2/11</v>
      </c>
      <c r="D925" s="3" t="str">
        <f>IFERROR(__xludf.DUMMYFUNCTION("""COMPUTED_VALUE"""),"อก.2/11")</f>
        <v>อก.2/11</v>
      </c>
      <c r="E925" s="2" t="str">
        <f>IFERROR(__xludf.DUMMYFUNCTION("""COMPUTED_VALUE"""),"ชาย")</f>
        <v>ชาย</v>
      </c>
      <c r="F925" s="5" t="str">
        <f>IFERROR(__xludf.DUMMYFUNCTION("""COMPUTED_VALUE"""),"https://azizstan.net/student_image/25779.jpg")</f>
        <v>https://azizstan.net/student_image/25779.jpg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 t="str">
        <f>IFERROR(__xludf.DUMMYFUNCTION("""COMPUTED_VALUE"""),"25861")</f>
        <v>25861</v>
      </c>
      <c r="B926" s="3" t="str">
        <f>IFERROR(__xludf.DUMMYFUNCTION("""COMPUTED_VALUE"""),"ด.ญ.โรสมีย์ มามะ")</f>
        <v>ด.ญ.โรสมีย์ มามะ</v>
      </c>
      <c r="C926" s="3" t="str">
        <f>IFERROR(__xludf.DUMMYFUNCTION("""COMPUTED_VALUE"""),"ม.2/11")</f>
        <v>ม.2/11</v>
      </c>
      <c r="D926" s="3" t="str">
        <f>IFERROR(__xludf.DUMMYFUNCTION("""COMPUTED_VALUE"""),"อก.2/11")</f>
        <v>อก.2/11</v>
      </c>
      <c r="E926" s="2" t="str">
        <f>IFERROR(__xludf.DUMMYFUNCTION("""COMPUTED_VALUE"""),"หญิง")</f>
        <v>หญิง</v>
      </c>
      <c r="F926" s="5" t="str">
        <f>IFERROR(__xludf.DUMMYFUNCTION("""COMPUTED_VALUE"""),"https://azizstan.net/student_image/25861.jpg")</f>
        <v>https://azizstan.net/student_image/25861.jpg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 t="str">
        <f>IFERROR(__xludf.DUMMYFUNCTION("""COMPUTED_VALUE"""),"25910")</f>
        <v>25910</v>
      </c>
      <c r="B927" s="3" t="str">
        <f>IFERROR(__xludf.DUMMYFUNCTION("""COMPUTED_VALUE"""),"ด.ช.อิกรอม มะดีเยาะ")</f>
        <v>ด.ช.อิกรอม มะดีเยาะ</v>
      </c>
      <c r="C927" s="3" t="str">
        <f>IFERROR(__xludf.DUMMYFUNCTION("""COMPUTED_VALUE"""),"ม.2/11")</f>
        <v>ม.2/11</v>
      </c>
      <c r="D927" s="3" t="str">
        <f>IFERROR(__xludf.DUMMYFUNCTION("""COMPUTED_VALUE"""),"อก.2/11")</f>
        <v>อก.2/11</v>
      </c>
      <c r="E927" s="2" t="str">
        <f>IFERROR(__xludf.DUMMYFUNCTION("""COMPUTED_VALUE"""),"ชาย")</f>
        <v>ชาย</v>
      </c>
      <c r="F927" s="5" t="str">
        <f>IFERROR(__xludf.DUMMYFUNCTION("""COMPUTED_VALUE"""),"https://azizstan.net/student_image/25910.jpg")</f>
        <v>https://azizstan.net/student_image/25910.jpg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 t="str">
        <f>IFERROR(__xludf.DUMMYFUNCTION("""COMPUTED_VALUE"""),"25911")</f>
        <v>25911</v>
      </c>
      <c r="B928" s="3" t="str">
        <f>IFERROR(__xludf.DUMMYFUNCTION("""COMPUTED_VALUE"""),"ด.ญ.ฮานาน หะยีอาแว")</f>
        <v>ด.ญ.ฮานาน หะยีอาแว</v>
      </c>
      <c r="C928" s="3" t="str">
        <f>IFERROR(__xludf.DUMMYFUNCTION("""COMPUTED_VALUE"""),"ม.2/11")</f>
        <v>ม.2/11</v>
      </c>
      <c r="D928" s="3" t="str">
        <f>IFERROR(__xludf.DUMMYFUNCTION("""COMPUTED_VALUE"""),"อก.2/11")</f>
        <v>อก.2/11</v>
      </c>
      <c r="E928" s="2" t="str">
        <f>IFERROR(__xludf.DUMMYFUNCTION("""COMPUTED_VALUE"""),"หญิง")</f>
        <v>หญิง</v>
      </c>
      <c r="F928" s="5" t="str">
        <f>IFERROR(__xludf.DUMMYFUNCTION("""COMPUTED_VALUE"""),"https://azizstan.net/student_image/25911.jpg")</f>
        <v>https://azizstan.net/student_image/25911.jpg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 t="str">
        <f>IFERROR(__xludf.DUMMYFUNCTION("""COMPUTED_VALUE"""),"25949")</f>
        <v>25949</v>
      </c>
      <c r="B929" s="3" t="str">
        <f>IFERROR(__xludf.DUMMYFUNCTION("""COMPUTED_VALUE"""),"ด.ช.นัควัต อิสลาม")</f>
        <v>ด.ช.นัควัต อิสลาม</v>
      </c>
      <c r="C929" s="3" t="str">
        <f>IFERROR(__xludf.DUMMYFUNCTION("""COMPUTED_VALUE"""),"ม.2/11")</f>
        <v>ม.2/11</v>
      </c>
      <c r="D929" s="3" t="str">
        <f>IFERROR(__xludf.DUMMYFUNCTION("""COMPUTED_VALUE"""),"อก.2/11")</f>
        <v>อก.2/11</v>
      </c>
      <c r="E929" s="2" t="str">
        <f>IFERROR(__xludf.DUMMYFUNCTION("""COMPUTED_VALUE"""),"ชาย")</f>
        <v>ชาย</v>
      </c>
      <c r="F929" s="5" t="str">
        <f>IFERROR(__xludf.DUMMYFUNCTION("""COMPUTED_VALUE"""),"https://azizstan.net/student_image/25949.jpg")</f>
        <v>https://azizstan.net/student_image/25949.jpg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 t="str">
        <f>IFERROR(__xludf.DUMMYFUNCTION("""COMPUTED_VALUE"""),"25966")</f>
        <v>25966</v>
      </c>
      <c r="B930" s="3" t="str">
        <f>IFERROR(__xludf.DUMMYFUNCTION("""COMPUTED_VALUE"""),"ด.ช.ตะวัน ธานมาศ")</f>
        <v>ด.ช.ตะวัน ธานมาศ</v>
      </c>
      <c r="C930" s="3" t="str">
        <f>IFERROR(__xludf.DUMMYFUNCTION("""COMPUTED_VALUE"""),"ม.2/11")</f>
        <v>ม.2/11</v>
      </c>
      <c r="D930" s="3" t="str">
        <f>IFERROR(__xludf.DUMMYFUNCTION("""COMPUTED_VALUE"""),"อก.2/11")</f>
        <v>อก.2/11</v>
      </c>
      <c r="E930" s="2" t="str">
        <f>IFERROR(__xludf.DUMMYFUNCTION("""COMPUTED_VALUE"""),"ชาย")</f>
        <v>ชาย</v>
      </c>
      <c r="F930" s="5" t="str">
        <f>IFERROR(__xludf.DUMMYFUNCTION("""COMPUTED_VALUE"""),"https://azizstan.net/student_image/25966.jpg")</f>
        <v>https://azizstan.net/student_image/25966.jpg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 t="str">
        <f>IFERROR(__xludf.DUMMYFUNCTION("""COMPUTED_VALUE"""),"25975")</f>
        <v>25975</v>
      </c>
      <c r="B931" s="3" t="str">
        <f>IFERROR(__xludf.DUMMYFUNCTION("""COMPUTED_VALUE"""),"ด.ญ.นูรุลฮูดา อูเซ็ง")</f>
        <v>ด.ญ.นูรุลฮูดา อูเซ็ง</v>
      </c>
      <c r="C931" s="3" t="str">
        <f>IFERROR(__xludf.DUMMYFUNCTION("""COMPUTED_VALUE"""),"ม.2/11")</f>
        <v>ม.2/11</v>
      </c>
      <c r="D931" s="3" t="str">
        <f>IFERROR(__xludf.DUMMYFUNCTION("""COMPUTED_VALUE"""),"อก.2/11")</f>
        <v>อก.2/11</v>
      </c>
      <c r="E931" s="2" t="str">
        <f>IFERROR(__xludf.DUMMYFUNCTION("""COMPUTED_VALUE"""),"หญิง")</f>
        <v>หญิง</v>
      </c>
      <c r="F931" s="5" t="str">
        <f>IFERROR(__xludf.DUMMYFUNCTION("""COMPUTED_VALUE"""),"https://azizstan.net/student_image/25975.jpg")</f>
        <v>https://azizstan.net/student_image/25975.jpg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 t="str">
        <f>IFERROR(__xludf.DUMMYFUNCTION("""COMPUTED_VALUE"""),"25353")</f>
        <v>25353</v>
      </c>
      <c r="B932" s="3" t="str">
        <f>IFERROR(__xludf.DUMMYFUNCTION("""COMPUTED_VALUE"""),"ด.ญ.อัยรีณน่า เอี่ยมโสภา")</f>
        <v>ด.ญ.อัยรีณน่า เอี่ยมโสภา</v>
      </c>
      <c r="C932" s="3" t="str">
        <f>IFERROR(__xludf.DUMMYFUNCTION("""COMPUTED_VALUE"""),"ม.2/12")</f>
        <v>ม.2/12</v>
      </c>
      <c r="D932" s="3" t="str">
        <f>IFERROR(__xludf.DUMMYFUNCTION("""COMPUTED_VALUE"""),"อก.2/12")</f>
        <v>อก.2/12</v>
      </c>
      <c r="E932" s="2" t="str">
        <f>IFERROR(__xludf.DUMMYFUNCTION("""COMPUTED_VALUE"""),"หญิง")</f>
        <v>หญิง</v>
      </c>
      <c r="F932" s="5" t="str">
        <f>IFERROR(__xludf.DUMMYFUNCTION("""COMPUTED_VALUE"""),"https://azizstan.net/student_image/25353.jpg")</f>
        <v>https://azizstan.net/student_image/25353.jpg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 t="str">
        <f>IFERROR(__xludf.DUMMYFUNCTION("""COMPUTED_VALUE"""),"25368")</f>
        <v>25368</v>
      </c>
      <c r="B933" s="3" t="str">
        <f>IFERROR(__xludf.DUMMYFUNCTION("""COMPUTED_VALUE"""),"ด.ญ.รัยญาณ บือซา")</f>
        <v>ด.ญ.รัยญาณ บือซา</v>
      </c>
      <c r="C933" s="3" t="str">
        <f>IFERROR(__xludf.DUMMYFUNCTION("""COMPUTED_VALUE"""),"ม.2/12")</f>
        <v>ม.2/12</v>
      </c>
      <c r="D933" s="3" t="str">
        <f>IFERROR(__xludf.DUMMYFUNCTION("""COMPUTED_VALUE"""),"อก.2/12")</f>
        <v>อก.2/12</v>
      </c>
      <c r="E933" s="2" t="str">
        <f>IFERROR(__xludf.DUMMYFUNCTION("""COMPUTED_VALUE"""),"หญิง")</f>
        <v>หญิง</v>
      </c>
      <c r="F933" s="5" t="str">
        <f>IFERROR(__xludf.DUMMYFUNCTION("""COMPUTED_VALUE"""),"https://azizstan.net/student_image/25368.jpg")</f>
        <v>https://azizstan.net/student_image/25368.jpg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 t="str">
        <f>IFERROR(__xludf.DUMMYFUNCTION("""COMPUTED_VALUE"""),"25382")</f>
        <v>25382</v>
      </c>
      <c r="B934" s="3" t="str">
        <f>IFERROR(__xludf.DUMMYFUNCTION("""COMPUTED_VALUE"""),"ด.ญ.นุรไรฮาน สาเมาะ")</f>
        <v>ด.ญ.นุรไรฮาน สาเมาะ</v>
      </c>
      <c r="C934" s="3" t="str">
        <f>IFERROR(__xludf.DUMMYFUNCTION("""COMPUTED_VALUE"""),"ม.2/12")</f>
        <v>ม.2/12</v>
      </c>
      <c r="D934" s="3" t="str">
        <f>IFERROR(__xludf.DUMMYFUNCTION("""COMPUTED_VALUE"""),"อก.2/12")</f>
        <v>อก.2/12</v>
      </c>
      <c r="E934" s="2" t="str">
        <f>IFERROR(__xludf.DUMMYFUNCTION("""COMPUTED_VALUE"""),"หญิง")</f>
        <v>หญิง</v>
      </c>
      <c r="F934" s="5" t="str">
        <f>IFERROR(__xludf.DUMMYFUNCTION("""COMPUTED_VALUE"""),"https://azizstan.net/student_image/25382.jpg")</f>
        <v>https://azizstan.net/student_image/25382.jpg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 t="str">
        <f>IFERROR(__xludf.DUMMYFUNCTION("""COMPUTED_VALUE"""),"25384")</f>
        <v>25384</v>
      </c>
      <c r="B935" s="3" t="str">
        <f>IFERROR(__xludf.DUMMYFUNCTION("""COMPUTED_VALUE"""),"ด.ญ.นูรฟารีดา หมันล๊ะ")</f>
        <v>ด.ญ.นูรฟารีดา หมันล๊ะ</v>
      </c>
      <c r="C935" s="3" t="str">
        <f>IFERROR(__xludf.DUMMYFUNCTION("""COMPUTED_VALUE"""),"ม.2/12")</f>
        <v>ม.2/12</v>
      </c>
      <c r="D935" s="3" t="str">
        <f>IFERROR(__xludf.DUMMYFUNCTION("""COMPUTED_VALUE"""),"อก.2/12")</f>
        <v>อก.2/12</v>
      </c>
      <c r="E935" s="2" t="str">
        <f>IFERROR(__xludf.DUMMYFUNCTION("""COMPUTED_VALUE"""),"หญิง")</f>
        <v>หญิง</v>
      </c>
      <c r="F935" s="5" t="str">
        <f>IFERROR(__xludf.DUMMYFUNCTION("""COMPUTED_VALUE"""),"https://azizstan.net/student_image/25384.jpg")</f>
        <v>https://azizstan.net/student_image/25384.jpg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 t="str">
        <f>IFERROR(__xludf.DUMMYFUNCTION("""COMPUTED_VALUE"""),"25401")</f>
        <v>25401</v>
      </c>
      <c r="B936" s="3" t="str">
        <f>IFERROR(__xludf.DUMMYFUNCTION("""COMPUTED_VALUE"""),"ด.ญ.บัลกิส บือราเฮง")</f>
        <v>ด.ญ.บัลกิส บือราเฮง</v>
      </c>
      <c r="C936" s="3" t="str">
        <f>IFERROR(__xludf.DUMMYFUNCTION("""COMPUTED_VALUE"""),"ม.2/12")</f>
        <v>ม.2/12</v>
      </c>
      <c r="D936" s="3" t="str">
        <f>IFERROR(__xludf.DUMMYFUNCTION("""COMPUTED_VALUE"""),"อก.2/12")</f>
        <v>อก.2/12</v>
      </c>
      <c r="E936" s="2" t="str">
        <f>IFERROR(__xludf.DUMMYFUNCTION("""COMPUTED_VALUE"""),"หญิง")</f>
        <v>หญิง</v>
      </c>
      <c r="F936" s="5" t="str">
        <f>IFERROR(__xludf.DUMMYFUNCTION("""COMPUTED_VALUE"""),"https://azizstan.net/student_image/25401.jpg")</f>
        <v>https://azizstan.net/student_image/25401.jpg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 t="str">
        <f>IFERROR(__xludf.DUMMYFUNCTION("""COMPUTED_VALUE"""),"25418")</f>
        <v>25418</v>
      </c>
      <c r="B937" s="3" t="str">
        <f>IFERROR(__xludf.DUMMYFUNCTION("""COMPUTED_VALUE"""),"ด.ญ.ปาริตา หวังแฉะ")</f>
        <v>ด.ญ.ปาริตา หวังแฉะ</v>
      </c>
      <c r="C937" s="3" t="str">
        <f>IFERROR(__xludf.DUMMYFUNCTION("""COMPUTED_VALUE"""),"ม.2/12")</f>
        <v>ม.2/12</v>
      </c>
      <c r="D937" s="3" t="str">
        <f>IFERROR(__xludf.DUMMYFUNCTION("""COMPUTED_VALUE"""),"อก.2/12")</f>
        <v>อก.2/12</v>
      </c>
      <c r="E937" s="2" t="str">
        <f>IFERROR(__xludf.DUMMYFUNCTION("""COMPUTED_VALUE"""),"หญิง")</f>
        <v>หญิง</v>
      </c>
      <c r="F937" s="5" t="str">
        <f>IFERROR(__xludf.DUMMYFUNCTION("""COMPUTED_VALUE"""),"https://azizstan.net/student_image/25418.jpg")</f>
        <v>https://azizstan.net/student_image/25418.jpg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 t="str">
        <f>IFERROR(__xludf.DUMMYFUNCTION("""COMPUTED_VALUE"""),"25422")</f>
        <v>25422</v>
      </c>
      <c r="B938" s="3" t="str">
        <f>IFERROR(__xludf.DUMMYFUNCTION("""COMPUTED_VALUE"""),"ด.ญ.นิรุสนา ดาโอะ")</f>
        <v>ด.ญ.นิรุสนา ดาโอะ</v>
      </c>
      <c r="C938" s="3" t="str">
        <f>IFERROR(__xludf.DUMMYFUNCTION("""COMPUTED_VALUE"""),"ม.2/12")</f>
        <v>ม.2/12</v>
      </c>
      <c r="D938" s="3" t="str">
        <f>IFERROR(__xludf.DUMMYFUNCTION("""COMPUTED_VALUE"""),"อก.2/12")</f>
        <v>อก.2/12</v>
      </c>
      <c r="E938" s="2" t="str">
        <f>IFERROR(__xludf.DUMMYFUNCTION("""COMPUTED_VALUE"""),"หญิง")</f>
        <v>หญิง</v>
      </c>
      <c r="F938" s="5" t="str">
        <f>IFERROR(__xludf.DUMMYFUNCTION("""COMPUTED_VALUE"""),"https://azizstan.net/student_image/25422.jpg")</f>
        <v>https://azizstan.net/student_image/25422.jpg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 t="str">
        <f>IFERROR(__xludf.DUMMYFUNCTION("""COMPUTED_VALUE"""),"25426")</f>
        <v>25426</v>
      </c>
      <c r="B939" s="3" t="str">
        <f>IFERROR(__xludf.DUMMYFUNCTION("""COMPUTED_VALUE"""),"ด.ญ.บุรลันตีย์ กูนา")</f>
        <v>ด.ญ.บุรลันตีย์ กูนา</v>
      </c>
      <c r="C939" s="3" t="str">
        <f>IFERROR(__xludf.DUMMYFUNCTION("""COMPUTED_VALUE"""),"ม.2/12")</f>
        <v>ม.2/12</v>
      </c>
      <c r="D939" s="3" t="str">
        <f>IFERROR(__xludf.DUMMYFUNCTION("""COMPUTED_VALUE"""),"อก.2/12")</f>
        <v>อก.2/12</v>
      </c>
      <c r="E939" s="2" t="str">
        <f>IFERROR(__xludf.DUMMYFUNCTION("""COMPUTED_VALUE"""),"หญิง")</f>
        <v>หญิง</v>
      </c>
      <c r="F939" s="5" t="str">
        <f>IFERROR(__xludf.DUMMYFUNCTION("""COMPUTED_VALUE"""),"https://azizstan.net/student_image/25426.jpg")</f>
        <v>https://azizstan.net/student_image/25426.jpg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 t="str">
        <f>IFERROR(__xludf.DUMMYFUNCTION("""COMPUTED_VALUE"""),"25470")</f>
        <v>25470</v>
      </c>
      <c r="B940" s="3" t="str">
        <f>IFERROR(__xludf.DUMMYFUNCTION("""COMPUTED_VALUE"""),"ด.ญ.นุรฟิรดาวส์ แวอุมา")</f>
        <v>ด.ญ.นุรฟิรดาวส์ แวอุมา</v>
      </c>
      <c r="C940" s="3" t="str">
        <f>IFERROR(__xludf.DUMMYFUNCTION("""COMPUTED_VALUE"""),"ม.2/12")</f>
        <v>ม.2/12</v>
      </c>
      <c r="D940" s="3" t="str">
        <f>IFERROR(__xludf.DUMMYFUNCTION("""COMPUTED_VALUE"""),"อก.2/12")</f>
        <v>อก.2/12</v>
      </c>
      <c r="E940" s="2" t="str">
        <f>IFERROR(__xludf.DUMMYFUNCTION("""COMPUTED_VALUE"""),"หญิง")</f>
        <v>หญิง</v>
      </c>
      <c r="F940" s="5" t="str">
        <f>IFERROR(__xludf.DUMMYFUNCTION("""COMPUTED_VALUE"""),"https://azizstan.net/student_image/25470.jpg")</f>
        <v>https://azizstan.net/student_image/25470.jpg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 t="str">
        <f>IFERROR(__xludf.DUMMYFUNCTION("""COMPUTED_VALUE"""),"25474")</f>
        <v>25474</v>
      </c>
      <c r="B941" s="3" t="str">
        <f>IFERROR(__xludf.DUMMYFUNCTION("""COMPUTED_VALUE"""),"ด.ญ.วรรณิษา แก้วกุ้ง")</f>
        <v>ด.ญ.วรรณิษา แก้วกุ้ง</v>
      </c>
      <c r="C941" s="3" t="str">
        <f>IFERROR(__xludf.DUMMYFUNCTION("""COMPUTED_VALUE"""),"ม.2/12")</f>
        <v>ม.2/12</v>
      </c>
      <c r="D941" s="3" t="str">
        <f>IFERROR(__xludf.DUMMYFUNCTION("""COMPUTED_VALUE"""),"อก.2/12")</f>
        <v>อก.2/12</v>
      </c>
      <c r="E941" s="2" t="str">
        <f>IFERROR(__xludf.DUMMYFUNCTION("""COMPUTED_VALUE"""),"หญิง")</f>
        <v>หญิง</v>
      </c>
      <c r="F941" s="5" t="str">
        <f>IFERROR(__xludf.DUMMYFUNCTION("""COMPUTED_VALUE"""),"https://azizstan.net/student_image/25474.jpg")</f>
        <v>https://azizstan.net/student_image/25474.jpg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 t="str">
        <f>IFERROR(__xludf.DUMMYFUNCTION("""COMPUTED_VALUE"""),"25514")</f>
        <v>25514</v>
      </c>
      <c r="B942" s="3" t="str">
        <f>IFERROR(__xludf.DUMMYFUNCTION("""COMPUTED_VALUE"""),"ด.ญ.สารีนา สาเลง")</f>
        <v>ด.ญ.สารีนา สาเลง</v>
      </c>
      <c r="C942" s="3" t="str">
        <f>IFERROR(__xludf.DUMMYFUNCTION("""COMPUTED_VALUE"""),"ม.2/12")</f>
        <v>ม.2/12</v>
      </c>
      <c r="D942" s="3" t="str">
        <f>IFERROR(__xludf.DUMMYFUNCTION("""COMPUTED_VALUE"""),"อก.2/12")</f>
        <v>อก.2/12</v>
      </c>
      <c r="E942" s="2" t="str">
        <f>IFERROR(__xludf.DUMMYFUNCTION("""COMPUTED_VALUE"""),"หญิง")</f>
        <v>หญิง</v>
      </c>
      <c r="F942" s="5" t="str">
        <f>IFERROR(__xludf.DUMMYFUNCTION("""COMPUTED_VALUE"""),"https://azizstan.net/student_image/25514.jpg")</f>
        <v>https://azizstan.net/student_image/25514.jpg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 t="str">
        <f>IFERROR(__xludf.DUMMYFUNCTION("""COMPUTED_VALUE"""),"25518")</f>
        <v>25518</v>
      </c>
      <c r="B943" s="3" t="str">
        <f>IFERROR(__xludf.DUMMYFUNCTION("""COMPUTED_VALUE"""),"ด.ญ.อารีน่า บือแน")</f>
        <v>ด.ญ.อารีน่า บือแน</v>
      </c>
      <c r="C943" s="3" t="str">
        <f>IFERROR(__xludf.DUMMYFUNCTION("""COMPUTED_VALUE"""),"ม.2/12")</f>
        <v>ม.2/12</v>
      </c>
      <c r="D943" s="3" t="str">
        <f>IFERROR(__xludf.DUMMYFUNCTION("""COMPUTED_VALUE"""),"อก.2/12")</f>
        <v>อก.2/12</v>
      </c>
      <c r="E943" s="2" t="str">
        <f>IFERROR(__xludf.DUMMYFUNCTION("""COMPUTED_VALUE"""),"หญิง")</f>
        <v>หญิง</v>
      </c>
      <c r="F943" s="5" t="str">
        <f>IFERROR(__xludf.DUMMYFUNCTION("""COMPUTED_VALUE"""),"https://azizstan.net/student_image/25518.jpg")</f>
        <v>https://azizstan.net/student_image/25518.jpg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 t="str">
        <f>IFERROR(__xludf.DUMMYFUNCTION("""COMPUTED_VALUE"""),"25519")</f>
        <v>25519</v>
      </c>
      <c r="B944" s="3" t="str">
        <f>IFERROR(__xludf.DUMMYFUNCTION("""COMPUTED_VALUE"""),"ด.ญ.ซัลซาบีล บาโด")</f>
        <v>ด.ญ.ซัลซาบีล บาโด</v>
      </c>
      <c r="C944" s="3" t="str">
        <f>IFERROR(__xludf.DUMMYFUNCTION("""COMPUTED_VALUE"""),"ม.2/12")</f>
        <v>ม.2/12</v>
      </c>
      <c r="D944" s="3" t="str">
        <f>IFERROR(__xludf.DUMMYFUNCTION("""COMPUTED_VALUE"""),"อก.2/12")</f>
        <v>อก.2/12</v>
      </c>
      <c r="E944" s="2" t="str">
        <f>IFERROR(__xludf.DUMMYFUNCTION("""COMPUTED_VALUE"""),"หญิง")</f>
        <v>หญิง</v>
      </c>
      <c r="F944" s="5" t="str">
        <f>IFERROR(__xludf.DUMMYFUNCTION("""COMPUTED_VALUE"""),"https://azizstan.net/student_image/25519.jpg")</f>
        <v>https://azizstan.net/student_image/25519.jpg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 t="str">
        <f>IFERROR(__xludf.DUMMYFUNCTION("""COMPUTED_VALUE"""),"25537")</f>
        <v>25537</v>
      </c>
      <c r="B945" s="3" t="str">
        <f>IFERROR(__xludf.DUMMYFUNCTION("""COMPUTED_VALUE"""),"ด.ญ.ฮานีฟะห์ ตาเยะ")</f>
        <v>ด.ญ.ฮานีฟะห์ ตาเยะ</v>
      </c>
      <c r="C945" s="3" t="str">
        <f>IFERROR(__xludf.DUMMYFUNCTION("""COMPUTED_VALUE"""),"ม.2/12")</f>
        <v>ม.2/12</v>
      </c>
      <c r="D945" s="3" t="str">
        <f>IFERROR(__xludf.DUMMYFUNCTION("""COMPUTED_VALUE"""),"อก.2/12")</f>
        <v>อก.2/12</v>
      </c>
      <c r="E945" s="2" t="str">
        <f>IFERROR(__xludf.DUMMYFUNCTION("""COMPUTED_VALUE"""),"หญิง")</f>
        <v>หญิง</v>
      </c>
      <c r="F945" s="5" t="str">
        <f>IFERROR(__xludf.DUMMYFUNCTION("""COMPUTED_VALUE"""),"https://azizstan.net/student_image/25537.jpg")</f>
        <v>https://azizstan.net/student_image/25537.jpg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 t="str">
        <f>IFERROR(__xludf.DUMMYFUNCTION("""COMPUTED_VALUE"""),"25538")</f>
        <v>25538</v>
      </c>
      <c r="B946" s="3" t="str">
        <f>IFERROR(__xludf.DUMMYFUNCTION("""COMPUTED_VALUE"""),"ด.ญ.ซัลวาร์ ยะมะแซ")</f>
        <v>ด.ญ.ซัลวาร์ ยะมะแซ</v>
      </c>
      <c r="C946" s="3" t="str">
        <f>IFERROR(__xludf.DUMMYFUNCTION("""COMPUTED_VALUE"""),"ม.2/12")</f>
        <v>ม.2/12</v>
      </c>
      <c r="D946" s="3" t="str">
        <f>IFERROR(__xludf.DUMMYFUNCTION("""COMPUTED_VALUE"""),"อก.2/12")</f>
        <v>อก.2/12</v>
      </c>
      <c r="E946" s="2" t="str">
        <f>IFERROR(__xludf.DUMMYFUNCTION("""COMPUTED_VALUE"""),"หญิง")</f>
        <v>หญิง</v>
      </c>
      <c r="F946" s="5" t="str">
        <f>IFERROR(__xludf.DUMMYFUNCTION("""COMPUTED_VALUE"""),"https://azizstan.net/student_image/25538.jpg")</f>
        <v>https://azizstan.net/student_image/25538.jpg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 t="str">
        <f>IFERROR(__xludf.DUMMYFUNCTION("""COMPUTED_VALUE"""),"25552")</f>
        <v>25552</v>
      </c>
      <c r="B947" s="3" t="str">
        <f>IFERROR(__xludf.DUMMYFUNCTION("""COMPUTED_VALUE"""),"ด.ญ.นัสรีน หะยีมะแซ")</f>
        <v>ด.ญ.นัสรีน หะยีมะแซ</v>
      </c>
      <c r="C947" s="3" t="str">
        <f>IFERROR(__xludf.DUMMYFUNCTION("""COMPUTED_VALUE"""),"ม.2/12")</f>
        <v>ม.2/12</v>
      </c>
      <c r="D947" s="3" t="str">
        <f>IFERROR(__xludf.DUMMYFUNCTION("""COMPUTED_VALUE"""),"อก.2/12")</f>
        <v>อก.2/12</v>
      </c>
      <c r="E947" s="2" t="str">
        <f>IFERROR(__xludf.DUMMYFUNCTION("""COMPUTED_VALUE"""),"หญิง")</f>
        <v>หญิง</v>
      </c>
      <c r="F947" s="5" t="str">
        <f>IFERROR(__xludf.DUMMYFUNCTION("""COMPUTED_VALUE"""),"https://azizstan.net/student_image/25552.jpg")</f>
        <v>https://azizstan.net/student_image/25552.jpg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 t="str">
        <f>IFERROR(__xludf.DUMMYFUNCTION("""COMPUTED_VALUE"""),"25559")</f>
        <v>25559</v>
      </c>
      <c r="B948" s="3" t="str">
        <f>IFERROR(__xludf.DUMMYFUNCTION("""COMPUTED_VALUE"""),"ด.ญ.ฟาดา สนิตา")</f>
        <v>ด.ญ.ฟาดา สนิตา</v>
      </c>
      <c r="C948" s="3" t="str">
        <f>IFERROR(__xludf.DUMMYFUNCTION("""COMPUTED_VALUE"""),"ม.2/12")</f>
        <v>ม.2/12</v>
      </c>
      <c r="D948" s="3" t="str">
        <f>IFERROR(__xludf.DUMMYFUNCTION("""COMPUTED_VALUE"""),"อก.2/12")</f>
        <v>อก.2/12</v>
      </c>
      <c r="E948" s="2" t="str">
        <f>IFERROR(__xludf.DUMMYFUNCTION("""COMPUTED_VALUE"""),"หญิง")</f>
        <v>หญิง</v>
      </c>
      <c r="F948" s="5" t="str">
        <f>IFERROR(__xludf.DUMMYFUNCTION("""COMPUTED_VALUE"""),"https://azizstan.net/student_image/25559.jpg")</f>
        <v>https://azizstan.net/student_image/25559.jpg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 t="str">
        <f>IFERROR(__xludf.DUMMYFUNCTION("""COMPUTED_VALUE"""),"25561")</f>
        <v>25561</v>
      </c>
      <c r="B949" s="3" t="str">
        <f>IFERROR(__xludf.DUMMYFUNCTION("""COMPUTED_VALUE"""),"ด.ญ.นูรีน ดอเลาะ")</f>
        <v>ด.ญ.นูรีน ดอเลาะ</v>
      </c>
      <c r="C949" s="3" t="str">
        <f>IFERROR(__xludf.DUMMYFUNCTION("""COMPUTED_VALUE"""),"ม.2/12")</f>
        <v>ม.2/12</v>
      </c>
      <c r="D949" s="3" t="str">
        <f>IFERROR(__xludf.DUMMYFUNCTION("""COMPUTED_VALUE"""),"อก.2/12")</f>
        <v>อก.2/12</v>
      </c>
      <c r="E949" s="2" t="str">
        <f>IFERROR(__xludf.DUMMYFUNCTION("""COMPUTED_VALUE"""),"หญิง")</f>
        <v>หญิง</v>
      </c>
      <c r="F949" s="5" t="str">
        <f>IFERROR(__xludf.DUMMYFUNCTION("""COMPUTED_VALUE"""),"https://azizstan.net/student_image/25561.jpg")</f>
        <v>https://azizstan.net/student_image/25561.jpg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 t="str">
        <f>IFERROR(__xludf.DUMMYFUNCTION("""COMPUTED_VALUE"""),"25568")</f>
        <v>25568</v>
      </c>
      <c r="B950" s="3" t="str">
        <f>IFERROR(__xludf.DUMMYFUNCTION("""COMPUTED_VALUE"""),"ด.ญ.นูรนาดา สาและ")</f>
        <v>ด.ญ.นูรนาดา สาและ</v>
      </c>
      <c r="C950" s="3" t="str">
        <f>IFERROR(__xludf.DUMMYFUNCTION("""COMPUTED_VALUE"""),"ม.2/12")</f>
        <v>ม.2/12</v>
      </c>
      <c r="D950" s="3" t="str">
        <f>IFERROR(__xludf.DUMMYFUNCTION("""COMPUTED_VALUE"""),"อก.2/12")</f>
        <v>อก.2/12</v>
      </c>
      <c r="E950" s="2" t="str">
        <f>IFERROR(__xludf.DUMMYFUNCTION("""COMPUTED_VALUE"""),"หญิง")</f>
        <v>หญิง</v>
      </c>
      <c r="F950" s="5" t="str">
        <f>IFERROR(__xludf.DUMMYFUNCTION("""COMPUTED_VALUE"""),"https://azizstan.net/student_image/25568.jpg")</f>
        <v>https://azizstan.net/student_image/25568.jpg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 t="str">
        <f>IFERROR(__xludf.DUMMYFUNCTION("""COMPUTED_VALUE"""),"25577")</f>
        <v>25577</v>
      </c>
      <c r="B951" s="3" t="str">
        <f>IFERROR(__xludf.DUMMYFUNCTION("""COMPUTED_VALUE"""),"ด.ญ.อิสรา เมโส")</f>
        <v>ด.ญ.อิสรา เมโส</v>
      </c>
      <c r="C951" s="3" t="str">
        <f>IFERROR(__xludf.DUMMYFUNCTION("""COMPUTED_VALUE"""),"ม.2/12")</f>
        <v>ม.2/12</v>
      </c>
      <c r="D951" s="3" t="str">
        <f>IFERROR(__xludf.DUMMYFUNCTION("""COMPUTED_VALUE"""),"อก.2/12")</f>
        <v>อก.2/12</v>
      </c>
      <c r="E951" s="2" t="str">
        <f>IFERROR(__xludf.DUMMYFUNCTION("""COMPUTED_VALUE"""),"หญิง")</f>
        <v>หญิง</v>
      </c>
      <c r="F951" s="5" t="str">
        <f>IFERROR(__xludf.DUMMYFUNCTION("""COMPUTED_VALUE"""),"https://azizstan.net/student_image/25577.jpg")</f>
        <v>https://azizstan.net/student_image/25577.jpg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 t="str">
        <f>IFERROR(__xludf.DUMMYFUNCTION("""COMPUTED_VALUE"""),"25592")</f>
        <v>25592</v>
      </c>
      <c r="B952" s="3" t="str">
        <f>IFERROR(__xludf.DUMMYFUNCTION("""COMPUTED_VALUE"""),"ด.ญ.ตัสนีม ดาฮิม")</f>
        <v>ด.ญ.ตัสนีม ดาฮิม</v>
      </c>
      <c r="C952" s="3" t="str">
        <f>IFERROR(__xludf.DUMMYFUNCTION("""COMPUTED_VALUE"""),"ม.2/12")</f>
        <v>ม.2/12</v>
      </c>
      <c r="D952" s="3" t="str">
        <f>IFERROR(__xludf.DUMMYFUNCTION("""COMPUTED_VALUE"""),"อก.2/12")</f>
        <v>อก.2/12</v>
      </c>
      <c r="E952" s="2" t="str">
        <f>IFERROR(__xludf.DUMMYFUNCTION("""COMPUTED_VALUE"""),"หญิง")</f>
        <v>หญิง</v>
      </c>
      <c r="F952" s="5" t="str">
        <f>IFERROR(__xludf.DUMMYFUNCTION("""COMPUTED_VALUE"""),"https://azizstan.net/student_image/25592.jpg")</f>
        <v>https://azizstan.net/student_image/25592.jpg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 t="str">
        <f>IFERROR(__xludf.DUMMYFUNCTION("""COMPUTED_VALUE"""),"25618")</f>
        <v>25618</v>
      </c>
      <c r="B953" s="3" t="str">
        <f>IFERROR(__xludf.DUMMYFUNCTION("""COMPUTED_VALUE"""),"ด.ญ.นูรุลฮูดา สะแม")</f>
        <v>ด.ญ.นูรุลฮูดา สะแม</v>
      </c>
      <c r="C953" s="3" t="str">
        <f>IFERROR(__xludf.DUMMYFUNCTION("""COMPUTED_VALUE"""),"ม.2/12")</f>
        <v>ม.2/12</v>
      </c>
      <c r="D953" s="3" t="str">
        <f>IFERROR(__xludf.DUMMYFUNCTION("""COMPUTED_VALUE"""),"อก.2/12")</f>
        <v>อก.2/12</v>
      </c>
      <c r="E953" s="2" t="str">
        <f>IFERROR(__xludf.DUMMYFUNCTION("""COMPUTED_VALUE"""),"หญิง")</f>
        <v>หญิง</v>
      </c>
      <c r="F953" s="5" t="str">
        <f>IFERROR(__xludf.DUMMYFUNCTION("""COMPUTED_VALUE"""),"https://azizstan.net/student_image/25618.jpg")</f>
        <v>https://azizstan.net/student_image/25618.jpg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 t="str">
        <f>IFERROR(__xludf.DUMMYFUNCTION("""COMPUTED_VALUE"""),"25644")</f>
        <v>25644</v>
      </c>
      <c r="B954" s="3" t="str">
        <f>IFERROR(__xludf.DUMMYFUNCTION("""COMPUTED_VALUE"""),"ด.ญ.อัมณีญา เลาะมัน")</f>
        <v>ด.ญ.อัมณีญา เลาะมัน</v>
      </c>
      <c r="C954" s="3" t="str">
        <f>IFERROR(__xludf.DUMMYFUNCTION("""COMPUTED_VALUE"""),"ม.2/12")</f>
        <v>ม.2/12</v>
      </c>
      <c r="D954" s="3" t="str">
        <f>IFERROR(__xludf.DUMMYFUNCTION("""COMPUTED_VALUE"""),"อก.2/12")</f>
        <v>อก.2/12</v>
      </c>
      <c r="E954" s="2" t="str">
        <f>IFERROR(__xludf.DUMMYFUNCTION("""COMPUTED_VALUE"""),"หญิง")</f>
        <v>หญิง</v>
      </c>
      <c r="F954" s="5" t="str">
        <f>IFERROR(__xludf.DUMMYFUNCTION("""COMPUTED_VALUE"""),"https://azizstan.net/student_image/25644.jpg")</f>
        <v>https://azizstan.net/student_image/25644.jpg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 t="str">
        <f>IFERROR(__xludf.DUMMYFUNCTION("""COMPUTED_VALUE"""),"25663")</f>
        <v>25663</v>
      </c>
      <c r="B955" s="3" t="str">
        <f>IFERROR(__xludf.DUMMYFUNCTION("""COMPUTED_VALUE"""),"ด.ญ.ร๊อฎวา อับดุลซอมะ")</f>
        <v>ด.ญ.ร๊อฎวา อับดุลซอมะ</v>
      </c>
      <c r="C955" s="3" t="str">
        <f>IFERROR(__xludf.DUMMYFUNCTION("""COMPUTED_VALUE"""),"ม.2/12")</f>
        <v>ม.2/12</v>
      </c>
      <c r="D955" s="3" t="str">
        <f>IFERROR(__xludf.DUMMYFUNCTION("""COMPUTED_VALUE"""),"อก.2/12")</f>
        <v>อก.2/12</v>
      </c>
      <c r="E955" s="2" t="str">
        <f>IFERROR(__xludf.DUMMYFUNCTION("""COMPUTED_VALUE"""),"หญิง")</f>
        <v>หญิง</v>
      </c>
      <c r="F955" s="5" t="str">
        <f>IFERROR(__xludf.DUMMYFUNCTION("""COMPUTED_VALUE"""),"https://azizstan.net/student_image/25663.jpg")</f>
        <v>https://azizstan.net/student_image/25663.jpg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 t="str">
        <f>IFERROR(__xludf.DUMMYFUNCTION("""COMPUTED_VALUE"""),"25677")</f>
        <v>25677</v>
      </c>
      <c r="B956" s="3" t="str">
        <f>IFERROR(__xludf.DUMMYFUNCTION("""COMPUTED_VALUE"""),"ด.ญ.นุรอัยนาบีลา เจะและ")</f>
        <v>ด.ญ.นุรอัยนาบีลา เจะและ</v>
      </c>
      <c r="C956" s="3" t="str">
        <f>IFERROR(__xludf.DUMMYFUNCTION("""COMPUTED_VALUE"""),"ม.2/12")</f>
        <v>ม.2/12</v>
      </c>
      <c r="D956" s="3" t="str">
        <f>IFERROR(__xludf.DUMMYFUNCTION("""COMPUTED_VALUE"""),"อก.2/12")</f>
        <v>อก.2/12</v>
      </c>
      <c r="E956" s="2" t="str">
        <f>IFERROR(__xludf.DUMMYFUNCTION("""COMPUTED_VALUE"""),"หญิง")</f>
        <v>หญิง</v>
      </c>
      <c r="F956" s="5" t="str">
        <f>IFERROR(__xludf.DUMMYFUNCTION("""COMPUTED_VALUE"""),"https://azizstan.net/student_image/25677.jpg")</f>
        <v>https://azizstan.net/student_image/25677.jpg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 t="str">
        <f>IFERROR(__xludf.DUMMYFUNCTION("""COMPUTED_VALUE"""),"25706")</f>
        <v>25706</v>
      </c>
      <c r="B957" s="3" t="str">
        <f>IFERROR(__xludf.DUMMYFUNCTION("""COMPUTED_VALUE"""),"ด.ญ.ฟัรฮานา สิดิ")</f>
        <v>ด.ญ.ฟัรฮานา สิดิ</v>
      </c>
      <c r="C957" s="3" t="str">
        <f>IFERROR(__xludf.DUMMYFUNCTION("""COMPUTED_VALUE"""),"ม.2/12")</f>
        <v>ม.2/12</v>
      </c>
      <c r="D957" s="3" t="str">
        <f>IFERROR(__xludf.DUMMYFUNCTION("""COMPUTED_VALUE"""),"อก.2/12")</f>
        <v>อก.2/12</v>
      </c>
      <c r="E957" s="2" t="str">
        <f>IFERROR(__xludf.DUMMYFUNCTION("""COMPUTED_VALUE"""),"หญิง")</f>
        <v>หญิง</v>
      </c>
      <c r="F957" s="5" t="str">
        <f>IFERROR(__xludf.DUMMYFUNCTION("""COMPUTED_VALUE"""),"https://azizstan.net/student_image/25706.jpg")</f>
        <v>https://azizstan.net/student_image/25706.jpg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 t="str">
        <f>IFERROR(__xludf.DUMMYFUNCTION("""COMPUTED_VALUE"""),"25708")</f>
        <v>25708</v>
      </c>
      <c r="B958" s="3" t="str">
        <f>IFERROR(__xludf.DUMMYFUNCTION("""COMPUTED_VALUE"""),"ด.ญ.ฟีรเดาซ์ ยูโซะ")</f>
        <v>ด.ญ.ฟีรเดาซ์ ยูโซะ</v>
      </c>
      <c r="C958" s="3" t="str">
        <f>IFERROR(__xludf.DUMMYFUNCTION("""COMPUTED_VALUE"""),"ม.2/12")</f>
        <v>ม.2/12</v>
      </c>
      <c r="D958" s="3" t="str">
        <f>IFERROR(__xludf.DUMMYFUNCTION("""COMPUTED_VALUE"""),"อก.2/12")</f>
        <v>อก.2/12</v>
      </c>
      <c r="E958" s="2" t="str">
        <f>IFERROR(__xludf.DUMMYFUNCTION("""COMPUTED_VALUE"""),"หญิง")</f>
        <v>หญิง</v>
      </c>
      <c r="F958" s="5" t="str">
        <f>IFERROR(__xludf.DUMMYFUNCTION("""COMPUTED_VALUE"""),"https://azizstan.net/student_image/25708.jpg")</f>
        <v>https://azizstan.net/student_image/25708.jpg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 t="str">
        <f>IFERROR(__xludf.DUMMYFUNCTION("""COMPUTED_VALUE"""),"25768")</f>
        <v>25768</v>
      </c>
      <c r="B959" s="3" t="str">
        <f>IFERROR(__xludf.DUMMYFUNCTION("""COMPUTED_VALUE"""),"ด.ญ.อิลฮัม บือแน")</f>
        <v>ด.ญ.อิลฮัม บือแน</v>
      </c>
      <c r="C959" s="3" t="str">
        <f>IFERROR(__xludf.DUMMYFUNCTION("""COMPUTED_VALUE"""),"ม.2/12")</f>
        <v>ม.2/12</v>
      </c>
      <c r="D959" s="3" t="str">
        <f>IFERROR(__xludf.DUMMYFUNCTION("""COMPUTED_VALUE"""),"อก.2/12")</f>
        <v>อก.2/12</v>
      </c>
      <c r="E959" s="2" t="str">
        <f>IFERROR(__xludf.DUMMYFUNCTION("""COMPUTED_VALUE"""),"หญิง")</f>
        <v>หญิง</v>
      </c>
      <c r="F959" s="5" t="str">
        <f>IFERROR(__xludf.DUMMYFUNCTION("""COMPUTED_VALUE"""),"https://azizstan.net/student_image/25768.jpg")</f>
        <v>https://azizstan.net/student_image/25768.jpg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 t="str">
        <f>IFERROR(__xludf.DUMMYFUNCTION("""COMPUTED_VALUE"""),"25809")</f>
        <v>25809</v>
      </c>
      <c r="B960" s="3" t="str">
        <f>IFERROR(__xludf.DUMMYFUNCTION("""COMPUTED_VALUE"""),"ด.ญ.นูรอามีนีน ดาหมิ")</f>
        <v>ด.ญ.นูรอามีนีน ดาหมิ</v>
      </c>
      <c r="C960" s="3" t="str">
        <f>IFERROR(__xludf.DUMMYFUNCTION("""COMPUTED_VALUE"""),"ม.2/12")</f>
        <v>ม.2/12</v>
      </c>
      <c r="D960" s="3" t="str">
        <f>IFERROR(__xludf.DUMMYFUNCTION("""COMPUTED_VALUE"""),"อก.2/12")</f>
        <v>อก.2/12</v>
      </c>
      <c r="E960" s="2" t="str">
        <f>IFERROR(__xludf.DUMMYFUNCTION("""COMPUTED_VALUE"""),"หญิง")</f>
        <v>หญิง</v>
      </c>
      <c r="F960" s="5" t="str">
        <f>IFERROR(__xludf.DUMMYFUNCTION("""COMPUTED_VALUE"""),"https://azizstan.net/student_image/25809.jpg")</f>
        <v>https://azizstan.net/student_image/25809.jpg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 t="str">
        <f>IFERROR(__xludf.DUMMYFUNCTION("""COMPUTED_VALUE"""),"25827")</f>
        <v>25827</v>
      </c>
      <c r="B961" s="3" t="str">
        <f>IFERROR(__xludf.DUMMYFUNCTION("""COMPUTED_VALUE"""),"ด.ญ.อาดีละห์ มาฮะ")</f>
        <v>ด.ญ.อาดีละห์ มาฮะ</v>
      </c>
      <c r="C961" s="3" t="str">
        <f>IFERROR(__xludf.DUMMYFUNCTION("""COMPUTED_VALUE"""),"ม.2/12")</f>
        <v>ม.2/12</v>
      </c>
      <c r="D961" s="3" t="str">
        <f>IFERROR(__xludf.DUMMYFUNCTION("""COMPUTED_VALUE"""),"อก.2/12")</f>
        <v>อก.2/12</v>
      </c>
      <c r="E961" s="2" t="str">
        <f>IFERROR(__xludf.DUMMYFUNCTION("""COMPUTED_VALUE"""),"หญิง")</f>
        <v>หญิง</v>
      </c>
      <c r="F961" s="5" t="str">
        <f>IFERROR(__xludf.DUMMYFUNCTION("""COMPUTED_VALUE"""),"https://azizstan.net/student_image/25827.jpg")</f>
        <v>https://azizstan.net/student_image/25827.jpg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 t="str">
        <f>IFERROR(__xludf.DUMMYFUNCTION("""COMPUTED_VALUE"""),"25882")</f>
        <v>25882</v>
      </c>
      <c r="B962" s="3" t="str">
        <f>IFERROR(__xludf.DUMMYFUNCTION("""COMPUTED_VALUE"""),"ด.ญ.ชนิสรา มิน่าวัง")</f>
        <v>ด.ญ.ชนิสรา มิน่าวัง</v>
      </c>
      <c r="C962" s="3" t="str">
        <f>IFERROR(__xludf.DUMMYFUNCTION("""COMPUTED_VALUE"""),"ม.2/12")</f>
        <v>ม.2/12</v>
      </c>
      <c r="D962" s="3" t="str">
        <f>IFERROR(__xludf.DUMMYFUNCTION("""COMPUTED_VALUE"""),"อก.2/12")</f>
        <v>อก.2/12</v>
      </c>
      <c r="E962" s="2" t="str">
        <f>IFERROR(__xludf.DUMMYFUNCTION("""COMPUTED_VALUE"""),"หญิง")</f>
        <v>หญิง</v>
      </c>
      <c r="F962" s="5" t="str">
        <f>IFERROR(__xludf.DUMMYFUNCTION("""COMPUTED_VALUE"""),"https://azizstan.net/student_image/25882.jpg")</f>
        <v>https://azizstan.net/student_image/25882.jpg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 t="str">
        <f>IFERROR(__xludf.DUMMYFUNCTION("""COMPUTED_VALUE"""),"25995")</f>
        <v>25995</v>
      </c>
      <c r="B963" s="3" t="str">
        <f>IFERROR(__xludf.DUMMYFUNCTION("""COMPUTED_VALUE"""),"ด.ญ.จัสมีน ใบตาเย๊ะ")</f>
        <v>ด.ญ.จัสมีน ใบตาเย๊ะ</v>
      </c>
      <c r="C963" s="3" t="str">
        <f>IFERROR(__xludf.DUMMYFUNCTION("""COMPUTED_VALUE"""),"ม.2/12")</f>
        <v>ม.2/12</v>
      </c>
      <c r="D963" s="3" t="str">
        <f>IFERROR(__xludf.DUMMYFUNCTION("""COMPUTED_VALUE"""),"อก.2/12")</f>
        <v>อก.2/12</v>
      </c>
      <c r="E963" s="2" t="str">
        <f>IFERROR(__xludf.DUMMYFUNCTION("""COMPUTED_VALUE"""),"หญิง")</f>
        <v>หญิง</v>
      </c>
      <c r="F963" s="5" t="str">
        <f>IFERROR(__xludf.DUMMYFUNCTION("""COMPUTED_VALUE"""),"https://azizstan.net/student_image/25995.jpg")</f>
        <v>https://azizstan.net/student_image/25995.jpg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 t="str">
        <f>IFERROR(__xludf.DUMMYFUNCTION("""COMPUTED_VALUE"""),"24592")</f>
        <v>24592</v>
      </c>
      <c r="B964" s="3" t="str">
        <f>IFERROR(__xludf.DUMMYFUNCTION("""COMPUTED_VALUE"""),"ด.ช.อิคลาส บาฮอ")</f>
        <v>ด.ช.อิคลาส บาฮอ</v>
      </c>
      <c r="C964" s="3" t="str">
        <f>IFERROR(__xludf.DUMMYFUNCTION("""COMPUTED_VALUE"""),"ม.3/1")</f>
        <v>ม.3/1</v>
      </c>
      <c r="D964" s="3" t="str">
        <f>IFERROR(__xludf.DUMMYFUNCTION("""COMPUTED_VALUE"""),"อก.2/1")</f>
        <v>อก.2/1</v>
      </c>
      <c r="E964" s="2" t="str">
        <f>IFERROR(__xludf.DUMMYFUNCTION("""COMPUTED_VALUE"""),"ชาย")</f>
        <v>ชาย</v>
      </c>
      <c r="F964" s="5" t="str">
        <f>IFERROR(__xludf.DUMMYFUNCTION("""COMPUTED_VALUE"""),"https://azizstan.net/student_image/24592.jpg")</f>
        <v>https://azizstan.net/student_image/24592.jpg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 t="str">
        <f>IFERROR(__xludf.DUMMYFUNCTION("""COMPUTED_VALUE"""),"24618")</f>
        <v>24618</v>
      </c>
      <c r="B965" s="3" t="str">
        <f>IFERROR(__xludf.DUMMYFUNCTION("""COMPUTED_VALUE"""),"ด.ช.อิมรอน อามัด")</f>
        <v>ด.ช.อิมรอน อามัด</v>
      </c>
      <c r="C965" s="3" t="str">
        <f>IFERROR(__xludf.DUMMYFUNCTION("""COMPUTED_VALUE"""),"ม.3/1")</f>
        <v>ม.3/1</v>
      </c>
      <c r="D965" s="3" t="str">
        <f>IFERROR(__xludf.DUMMYFUNCTION("""COMPUTED_VALUE"""),"อก.2/1")</f>
        <v>อก.2/1</v>
      </c>
      <c r="E965" s="2" t="str">
        <f>IFERROR(__xludf.DUMMYFUNCTION("""COMPUTED_VALUE"""),"ชาย")</f>
        <v>ชาย</v>
      </c>
      <c r="F965" s="5" t="str">
        <f>IFERROR(__xludf.DUMMYFUNCTION("""COMPUTED_VALUE"""),"https://azizstan.net/student_image/24618.jpg")</f>
        <v>https://azizstan.net/student_image/24618.jpg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 t="str">
        <f>IFERROR(__xludf.DUMMYFUNCTION("""COMPUTED_VALUE"""),"24622")</f>
        <v>24622</v>
      </c>
      <c r="B966" s="3" t="str">
        <f>IFERROR(__xludf.DUMMYFUNCTION("""COMPUTED_VALUE"""),"ด.ช.อาร์ฟาน ยุโซ๊ะ")</f>
        <v>ด.ช.อาร์ฟาน ยุโซ๊ะ</v>
      </c>
      <c r="C966" s="3" t="str">
        <f>IFERROR(__xludf.DUMMYFUNCTION("""COMPUTED_VALUE"""),"ม.3/1")</f>
        <v>ม.3/1</v>
      </c>
      <c r="D966" s="3" t="str">
        <f>IFERROR(__xludf.DUMMYFUNCTION("""COMPUTED_VALUE"""),"อก.2/1")</f>
        <v>อก.2/1</v>
      </c>
      <c r="E966" s="2" t="str">
        <f>IFERROR(__xludf.DUMMYFUNCTION("""COMPUTED_VALUE"""),"ชาย")</f>
        <v>ชาย</v>
      </c>
      <c r="F966" s="5" t="str">
        <f>IFERROR(__xludf.DUMMYFUNCTION("""COMPUTED_VALUE"""),"https://azizstan.net/student_image/24622.jpg")</f>
        <v>https://azizstan.net/student_image/24622.jpg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 t="str">
        <f>IFERROR(__xludf.DUMMYFUNCTION("""COMPUTED_VALUE"""),"24650")</f>
        <v>24650</v>
      </c>
      <c r="B967" s="3" t="str">
        <f>IFERROR(__xludf.DUMMYFUNCTION("""COMPUTED_VALUE"""),"ด.ช.มูฮำหมัดซากีร ดาหมิ")</f>
        <v>ด.ช.มูฮำหมัดซากีร ดาหมิ</v>
      </c>
      <c r="C967" s="3" t="str">
        <f>IFERROR(__xludf.DUMMYFUNCTION("""COMPUTED_VALUE"""),"ม.3/1")</f>
        <v>ม.3/1</v>
      </c>
      <c r="D967" s="3" t="str">
        <f>IFERROR(__xludf.DUMMYFUNCTION("""COMPUTED_VALUE"""),"อก.2/1")</f>
        <v>อก.2/1</v>
      </c>
      <c r="E967" s="2" t="str">
        <f>IFERROR(__xludf.DUMMYFUNCTION("""COMPUTED_VALUE"""),"ชาย")</f>
        <v>ชาย</v>
      </c>
      <c r="F967" s="5" t="str">
        <f>IFERROR(__xludf.DUMMYFUNCTION("""COMPUTED_VALUE"""),"https://azizstan.net/student_image/24650.jpg")</f>
        <v>https://azizstan.net/student_image/24650.jpg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 t="str">
        <f>IFERROR(__xludf.DUMMYFUNCTION("""COMPUTED_VALUE"""),"24663")</f>
        <v>24663</v>
      </c>
      <c r="B968" s="3" t="str">
        <f>IFERROR(__xludf.DUMMYFUNCTION("""COMPUTED_VALUE"""),"ด.ช.อานัสรี มะลี")</f>
        <v>ด.ช.อานัสรี มะลี</v>
      </c>
      <c r="C968" s="3" t="str">
        <f>IFERROR(__xludf.DUMMYFUNCTION("""COMPUTED_VALUE"""),"ม.3/1")</f>
        <v>ม.3/1</v>
      </c>
      <c r="D968" s="3" t="str">
        <f>IFERROR(__xludf.DUMMYFUNCTION("""COMPUTED_VALUE"""),"อก.2/1")</f>
        <v>อก.2/1</v>
      </c>
      <c r="E968" s="2" t="str">
        <f>IFERROR(__xludf.DUMMYFUNCTION("""COMPUTED_VALUE"""),"ชาย")</f>
        <v>ชาย</v>
      </c>
      <c r="F968" s="5" t="str">
        <f>IFERROR(__xludf.DUMMYFUNCTION("""COMPUTED_VALUE"""),"https://azizstan.net/student_image/24663.jpg")</f>
        <v>https://azizstan.net/student_image/24663.jpg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 t="str">
        <f>IFERROR(__xludf.DUMMYFUNCTION("""COMPUTED_VALUE"""),"24664")</f>
        <v>24664</v>
      </c>
      <c r="B969" s="3" t="str">
        <f>IFERROR(__xludf.DUMMYFUNCTION("""COMPUTED_VALUE"""),"ด.ช.ลุตฟีย์ มะซง")</f>
        <v>ด.ช.ลุตฟีย์ มะซง</v>
      </c>
      <c r="C969" s="3" t="str">
        <f>IFERROR(__xludf.DUMMYFUNCTION("""COMPUTED_VALUE"""),"ม.3/1")</f>
        <v>ม.3/1</v>
      </c>
      <c r="D969" s="3" t="str">
        <f>IFERROR(__xludf.DUMMYFUNCTION("""COMPUTED_VALUE"""),"อก.2/1")</f>
        <v>อก.2/1</v>
      </c>
      <c r="E969" s="2" t="str">
        <f>IFERROR(__xludf.DUMMYFUNCTION("""COMPUTED_VALUE"""),"ชาย")</f>
        <v>ชาย</v>
      </c>
      <c r="F969" s="5" t="str">
        <f>IFERROR(__xludf.DUMMYFUNCTION("""COMPUTED_VALUE"""),"https://azizstan.net/student_image/24664.jpg")</f>
        <v>https://azizstan.net/student_image/24664.jpg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 t="str">
        <f>IFERROR(__xludf.DUMMYFUNCTION("""COMPUTED_VALUE"""),"24696")</f>
        <v>24696</v>
      </c>
      <c r="B970" s="3" t="str">
        <f>IFERROR(__xludf.DUMMYFUNCTION("""COMPUTED_VALUE"""),"ด.ช.ฮัสบุลเลาะห์ ซา")</f>
        <v>ด.ช.ฮัสบุลเลาะห์ ซา</v>
      </c>
      <c r="C970" s="3" t="str">
        <f>IFERROR(__xludf.DUMMYFUNCTION("""COMPUTED_VALUE"""),"ม.3/1")</f>
        <v>ม.3/1</v>
      </c>
      <c r="D970" s="3" t="str">
        <f>IFERROR(__xludf.DUMMYFUNCTION("""COMPUTED_VALUE"""),"อก.2/1")</f>
        <v>อก.2/1</v>
      </c>
      <c r="E970" s="2" t="str">
        <f>IFERROR(__xludf.DUMMYFUNCTION("""COMPUTED_VALUE"""),"ชาย")</f>
        <v>ชาย</v>
      </c>
      <c r="F970" s="5" t="str">
        <f>IFERROR(__xludf.DUMMYFUNCTION("""COMPUTED_VALUE"""),"https://azizstan.net/student_image/24696.jpg")</f>
        <v>https://azizstan.net/student_image/24696.jpg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 t="str">
        <f>IFERROR(__xludf.DUMMYFUNCTION("""COMPUTED_VALUE"""),"24706")</f>
        <v>24706</v>
      </c>
      <c r="B971" s="3" t="str">
        <f>IFERROR(__xludf.DUMMYFUNCTION("""COMPUTED_VALUE"""),"ด.ช.ฮาริซ สาแล๊ะหมิน")</f>
        <v>ด.ช.ฮาริซ สาแล๊ะหมิน</v>
      </c>
      <c r="C971" s="3" t="str">
        <f>IFERROR(__xludf.DUMMYFUNCTION("""COMPUTED_VALUE"""),"ม.3/1")</f>
        <v>ม.3/1</v>
      </c>
      <c r="D971" s="3" t="str">
        <f>IFERROR(__xludf.DUMMYFUNCTION("""COMPUTED_VALUE"""),"อก.2/1")</f>
        <v>อก.2/1</v>
      </c>
      <c r="E971" s="2" t="str">
        <f>IFERROR(__xludf.DUMMYFUNCTION("""COMPUTED_VALUE"""),"ชาย")</f>
        <v>ชาย</v>
      </c>
      <c r="F971" s="5" t="str">
        <f>IFERROR(__xludf.DUMMYFUNCTION("""COMPUTED_VALUE"""),"https://azizstan.net/student_image/24706.jpg")</f>
        <v>https://azizstan.net/student_image/24706.jpg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 t="str">
        <f>IFERROR(__xludf.DUMMYFUNCTION("""COMPUTED_VALUE"""),"24737")</f>
        <v>24737</v>
      </c>
      <c r="B972" s="3" t="str">
        <f>IFERROR(__xludf.DUMMYFUNCTION("""COMPUTED_VALUE"""),"ด.ช.มะกอเซ็ง ลาเต๊ะ")</f>
        <v>ด.ช.มะกอเซ็ง ลาเต๊ะ</v>
      </c>
      <c r="C972" s="3" t="str">
        <f>IFERROR(__xludf.DUMMYFUNCTION("""COMPUTED_VALUE"""),"ม.3/1")</f>
        <v>ม.3/1</v>
      </c>
      <c r="D972" s="3" t="str">
        <f>IFERROR(__xludf.DUMMYFUNCTION("""COMPUTED_VALUE"""),"อก.2/1")</f>
        <v>อก.2/1</v>
      </c>
      <c r="E972" s="2" t="str">
        <f>IFERROR(__xludf.DUMMYFUNCTION("""COMPUTED_VALUE"""),"ชาย")</f>
        <v>ชาย</v>
      </c>
      <c r="F972" s="5" t="str">
        <f>IFERROR(__xludf.DUMMYFUNCTION("""COMPUTED_VALUE"""),"https://azizstan.net/student_image/24737.jpg")</f>
        <v>https://azizstan.net/student_image/24737.jpg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 t="str">
        <f>IFERROR(__xludf.DUMMYFUNCTION("""COMPUTED_VALUE"""),"24767")</f>
        <v>24767</v>
      </c>
      <c r="B973" s="3" t="str">
        <f>IFERROR(__xludf.DUMMYFUNCTION("""COMPUTED_VALUE"""),"ด.ช.หนิฮะซะนัย หลงหนิ")</f>
        <v>ด.ช.หนิฮะซะนัย หลงหนิ</v>
      </c>
      <c r="C973" s="3" t="str">
        <f>IFERROR(__xludf.DUMMYFUNCTION("""COMPUTED_VALUE"""),"ม.3/1")</f>
        <v>ม.3/1</v>
      </c>
      <c r="D973" s="3" t="str">
        <f>IFERROR(__xludf.DUMMYFUNCTION("""COMPUTED_VALUE"""),"อก.2/1")</f>
        <v>อก.2/1</v>
      </c>
      <c r="E973" s="2" t="str">
        <f>IFERROR(__xludf.DUMMYFUNCTION("""COMPUTED_VALUE"""),"ชาย")</f>
        <v>ชาย</v>
      </c>
      <c r="F973" s="5" t="str">
        <f>IFERROR(__xludf.DUMMYFUNCTION("""COMPUTED_VALUE"""),"https://azizstan.net/student_image/24767.jpg")</f>
        <v>https://azizstan.net/student_image/24767.jpg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 t="str">
        <f>IFERROR(__xludf.DUMMYFUNCTION("""COMPUTED_VALUE"""),"24800")</f>
        <v>24800</v>
      </c>
      <c r="B974" s="3" t="str">
        <f>IFERROR(__xludf.DUMMYFUNCTION("""COMPUTED_VALUE"""),"ด.ช.อนัส สาและ")</f>
        <v>ด.ช.อนัส สาและ</v>
      </c>
      <c r="C974" s="3" t="str">
        <f>IFERROR(__xludf.DUMMYFUNCTION("""COMPUTED_VALUE"""),"ม.3/1")</f>
        <v>ม.3/1</v>
      </c>
      <c r="D974" s="3" t="str">
        <f>IFERROR(__xludf.DUMMYFUNCTION("""COMPUTED_VALUE"""),"อก.2/1")</f>
        <v>อก.2/1</v>
      </c>
      <c r="E974" s="2" t="str">
        <f>IFERROR(__xludf.DUMMYFUNCTION("""COMPUTED_VALUE"""),"ชาย")</f>
        <v>ชาย</v>
      </c>
      <c r="F974" s="5" t="str">
        <f>IFERROR(__xludf.DUMMYFUNCTION("""COMPUTED_VALUE"""),"https://azizstan.net/student_image/24800.jpg")</f>
        <v>https://azizstan.net/student_image/24800.jpg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 t="str">
        <f>IFERROR(__xludf.DUMMYFUNCTION("""COMPUTED_VALUE"""),"24817")</f>
        <v>24817</v>
      </c>
      <c r="B975" s="3" t="str">
        <f>IFERROR(__xludf.DUMMYFUNCTION("""COMPUTED_VALUE"""),"ด.ช.อิลฮัม ลือแบเต๊ะ")</f>
        <v>ด.ช.อิลฮัม ลือแบเต๊ะ</v>
      </c>
      <c r="C975" s="3" t="str">
        <f>IFERROR(__xludf.DUMMYFUNCTION("""COMPUTED_VALUE"""),"ม.3/1")</f>
        <v>ม.3/1</v>
      </c>
      <c r="D975" s="3" t="str">
        <f>IFERROR(__xludf.DUMMYFUNCTION("""COMPUTED_VALUE"""),"อก.2/1")</f>
        <v>อก.2/1</v>
      </c>
      <c r="E975" s="2" t="str">
        <f>IFERROR(__xludf.DUMMYFUNCTION("""COMPUTED_VALUE"""),"ชาย")</f>
        <v>ชาย</v>
      </c>
      <c r="F975" s="5" t="str">
        <f>IFERROR(__xludf.DUMMYFUNCTION("""COMPUTED_VALUE"""),"https://azizstan.net/student_image/24817.jpg")</f>
        <v>https://azizstan.net/student_image/24817.jpg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" t="str">
        <f>IFERROR(__xludf.DUMMYFUNCTION("""COMPUTED_VALUE"""),"24819")</f>
        <v>24819</v>
      </c>
      <c r="B976" s="3" t="str">
        <f>IFERROR(__xludf.DUMMYFUNCTION("""COMPUTED_VALUE"""),"ด.ช.อัสนาวี สะอุ")</f>
        <v>ด.ช.อัสนาวี สะอุ</v>
      </c>
      <c r="C976" s="3" t="str">
        <f>IFERROR(__xludf.DUMMYFUNCTION("""COMPUTED_VALUE"""),"ม.3/1")</f>
        <v>ม.3/1</v>
      </c>
      <c r="D976" s="3" t="str">
        <f>IFERROR(__xludf.DUMMYFUNCTION("""COMPUTED_VALUE"""),"อก.2/1")</f>
        <v>อก.2/1</v>
      </c>
      <c r="E976" s="2" t="str">
        <f>IFERROR(__xludf.DUMMYFUNCTION("""COMPUTED_VALUE"""),"ชาย")</f>
        <v>ชาย</v>
      </c>
      <c r="F976" s="5" t="str">
        <f>IFERROR(__xludf.DUMMYFUNCTION("""COMPUTED_VALUE"""),"https://azizstan.net/student_image/24819.jpg")</f>
        <v>https://azizstan.net/student_image/24819.jpg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" t="str">
        <f>IFERROR(__xludf.DUMMYFUNCTION("""COMPUTED_VALUE"""),"24864")</f>
        <v>24864</v>
      </c>
      <c r="B977" s="3" t="str">
        <f>IFERROR(__xludf.DUMMYFUNCTION("""COMPUTED_VALUE"""),"ด.ช.อัฟฎอล หะยีจิ")</f>
        <v>ด.ช.อัฟฎอล หะยีจิ</v>
      </c>
      <c r="C977" s="3" t="str">
        <f>IFERROR(__xludf.DUMMYFUNCTION("""COMPUTED_VALUE"""),"ม.3/1")</f>
        <v>ม.3/1</v>
      </c>
      <c r="D977" s="3" t="str">
        <f>IFERROR(__xludf.DUMMYFUNCTION("""COMPUTED_VALUE"""),"อก.2/1")</f>
        <v>อก.2/1</v>
      </c>
      <c r="E977" s="2" t="str">
        <f>IFERROR(__xludf.DUMMYFUNCTION("""COMPUTED_VALUE"""),"ชาย")</f>
        <v>ชาย</v>
      </c>
      <c r="F977" s="5" t="str">
        <f>IFERROR(__xludf.DUMMYFUNCTION("""COMPUTED_VALUE"""),"https://azizstan.net/student_image/24864.jpg")</f>
        <v>https://azizstan.net/student_image/24864.jpg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" t="str">
        <f>IFERROR(__xludf.DUMMYFUNCTION("""COMPUTED_VALUE"""),"24881")</f>
        <v>24881</v>
      </c>
      <c r="B978" s="3" t="str">
        <f>IFERROR(__xludf.DUMMYFUNCTION("""COMPUTED_VALUE"""),"ด.ช.ฟารูกอาดัม มิน่าวัง")</f>
        <v>ด.ช.ฟารูกอาดัม มิน่าวัง</v>
      </c>
      <c r="C978" s="3" t="str">
        <f>IFERROR(__xludf.DUMMYFUNCTION("""COMPUTED_VALUE"""),"ม.3/1")</f>
        <v>ม.3/1</v>
      </c>
      <c r="D978" s="3" t="str">
        <f>IFERROR(__xludf.DUMMYFUNCTION("""COMPUTED_VALUE"""),"อก.2/1")</f>
        <v>อก.2/1</v>
      </c>
      <c r="E978" s="2" t="str">
        <f>IFERROR(__xludf.DUMMYFUNCTION("""COMPUTED_VALUE"""),"ชาย")</f>
        <v>ชาย</v>
      </c>
      <c r="F978" s="5" t="str">
        <f>IFERROR(__xludf.DUMMYFUNCTION("""COMPUTED_VALUE"""),"https://azizstan.net/student_image/24881.jpg")</f>
        <v>https://azizstan.net/student_image/24881.jpg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" t="str">
        <f>IFERROR(__xludf.DUMMYFUNCTION("""COMPUTED_VALUE"""),"24902")</f>
        <v>24902</v>
      </c>
      <c r="B979" s="3" t="str">
        <f>IFERROR(__xludf.DUMMYFUNCTION("""COMPUTED_VALUE"""),"ด.ช.บัดรูน ยะโยะ")</f>
        <v>ด.ช.บัดรูน ยะโยะ</v>
      </c>
      <c r="C979" s="3" t="str">
        <f>IFERROR(__xludf.DUMMYFUNCTION("""COMPUTED_VALUE"""),"ม.3/1")</f>
        <v>ม.3/1</v>
      </c>
      <c r="D979" s="3" t="str">
        <f>IFERROR(__xludf.DUMMYFUNCTION("""COMPUTED_VALUE"""),"อก.2/1")</f>
        <v>อก.2/1</v>
      </c>
      <c r="E979" s="2" t="str">
        <f>IFERROR(__xludf.DUMMYFUNCTION("""COMPUTED_VALUE"""),"ชาย")</f>
        <v>ชาย</v>
      </c>
      <c r="F979" s="5" t="str">
        <f>IFERROR(__xludf.DUMMYFUNCTION("""COMPUTED_VALUE"""),"https://azizstan.net/student_image/24902.jpg")</f>
        <v>https://azizstan.net/student_image/24902.jpg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" t="str">
        <f>IFERROR(__xludf.DUMMYFUNCTION("""COMPUTED_VALUE"""),"24920")</f>
        <v>24920</v>
      </c>
      <c r="B980" s="3" t="str">
        <f>IFERROR(__xludf.DUMMYFUNCTION("""COMPUTED_VALUE"""),"ด.ช.ซัยนุดดีน สะอะ")</f>
        <v>ด.ช.ซัยนุดดีน สะอะ</v>
      </c>
      <c r="C980" s="3" t="str">
        <f>IFERROR(__xludf.DUMMYFUNCTION("""COMPUTED_VALUE"""),"ม.3/1")</f>
        <v>ม.3/1</v>
      </c>
      <c r="D980" s="3" t="str">
        <f>IFERROR(__xludf.DUMMYFUNCTION("""COMPUTED_VALUE"""),"อก.2/1")</f>
        <v>อก.2/1</v>
      </c>
      <c r="E980" s="2" t="str">
        <f>IFERROR(__xludf.DUMMYFUNCTION("""COMPUTED_VALUE"""),"ชาย")</f>
        <v>ชาย</v>
      </c>
      <c r="F980" s="5" t="str">
        <f>IFERROR(__xludf.DUMMYFUNCTION("""COMPUTED_VALUE"""),"https://azizstan.net/student_image/24920.jpg")</f>
        <v>https://azizstan.net/student_image/24920.jpg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" t="str">
        <f>IFERROR(__xludf.DUMMYFUNCTION("""COMPUTED_VALUE"""),"24925")</f>
        <v>24925</v>
      </c>
      <c r="B981" s="3" t="str">
        <f>IFERROR(__xludf.DUMMYFUNCTION("""COMPUTED_VALUE"""),"ด.ช.อานัส จิตรศิริ")</f>
        <v>ด.ช.อานัส จิตรศิริ</v>
      </c>
      <c r="C981" s="3" t="str">
        <f>IFERROR(__xludf.DUMMYFUNCTION("""COMPUTED_VALUE"""),"ม.3/1")</f>
        <v>ม.3/1</v>
      </c>
      <c r="D981" s="3" t="str">
        <f>IFERROR(__xludf.DUMMYFUNCTION("""COMPUTED_VALUE"""),"อก.2/1")</f>
        <v>อก.2/1</v>
      </c>
      <c r="E981" s="2" t="str">
        <f>IFERROR(__xludf.DUMMYFUNCTION("""COMPUTED_VALUE"""),"ชาย")</f>
        <v>ชาย</v>
      </c>
      <c r="F981" s="5" t="str">
        <f>IFERROR(__xludf.DUMMYFUNCTION("""COMPUTED_VALUE"""),"https://azizstan.net/student_image/24925.jpg")</f>
        <v>https://azizstan.net/student_image/24925.jpg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" t="str">
        <f>IFERROR(__xludf.DUMMYFUNCTION("""COMPUTED_VALUE"""),"24939")</f>
        <v>24939</v>
      </c>
      <c r="B982" s="3" t="str">
        <f>IFERROR(__xludf.DUMMYFUNCTION("""COMPUTED_VALUE"""),"ด.ช.สุลัยมาน ดอเลาะโง")</f>
        <v>ด.ช.สุลัยมาน ดอเลาะโง</v>
      </c>
      <c r="C982" s="3" t="str">
        <f>IFERROR(__xludf.DUMMYFUNCTION("""COMPUTED_VALUE"""),"ม.3/1")</f>
        <v>ม.3/1</v>
      </c>
      <c r="D982" s="3" t="str">
        <f>IFERROR(__xludf.DUMMYFUNCTION("""COMPUTED_VALUE"""),"อก.2/1")</f>
        <v>อก.2/1</v>
      </c>
      <c r="E982" s="2" t="str">
        <f>IFERROR(__xludf.DUMMYFUNCTION("""COMPUTED_VALUE"""),"ชาย")</f>
        <v>ชาย</v>
      </c>
      <c r="F982" s="5" t="str">
        <f>IFERROR(__xludf.DUMMYFUNCTION("""COMPUTED_VALUE"""),"https://azizstan.net/student_image/24939.jpg")</f>
        <v>https://azizstan.net/student_image/24939.jpg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 t="str">
        <f>IFERROR(__xludf.DUMMYFUNCTION("""COMPUTED_VALUE"""),"24977")</f>
        <v>24977</v>
      </c>
      <c r="B983" s="3" t="str">
        <f>IFERROR(__xludf.DUMMYFUNCTION("""COMPUTED_VALUE"""),"ด.ช.อานัส ลูกหยี")</f>
        <v>ด.ช.อานัส ลูกหยี</v>
      </c>
      <c r="C983" s="3" t="str">
        <f>IFERROR(__xludf.DUMMYFUNCTION("""COMPUTED_VALUE"""),"ม.3/1")</f>
        <v>ม.3/1</v>
      </c>
      <c r="D983" s="3" t="str">
        <f>IFERROR(__xludf.DUMMYFUNCTION("""COMPUTED_VALUE"""),"อก.2/1")</f>
        <v>อก.2/1</v>
      </c>
      <c r="E983" s="2" t="str">
        <f>IFERROR(__xludf.DUMMYFUNCTION("""COMPUTED_VALUE"""),"ชาย")</f>
        <v>ชาย</v>
      </c>
      <c r="F983" s="5" t="str">
        <f>IFERROR(__xludf.DUMMYFUNCTION("""COMPUTED_VALUE"""),"https://azizstan.net/student_image/24977.jpg")</f>
        <v>https://azizstan.net/student_image/24977.jpg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 t="str">
        <f>IFERROR(__xludf.DUMMYFUNCTION("""COMPUTED_VALUE"""),"24984")</f>
        <v>24984</v>
      </c>
      <c r="B984" s="3" t="str">
        <f>IFERROR(__xludf.DUMMYFUNCTION("""COMPUTED_VALUE"""),"ด.ช.แวฮาซัน หะยีแวบูละ")</f>
        <v>ด.ช.แวฮาซัน หะยีแวบูละ</v>
      </c>
      <c r="C984" s="3" t="str">
        <f>IFERROR(__xludf.DUMMYFUNCTION("""COMPUTED_VALUE"""),"ม.3/1")</f>
        <v>ม.3/1</v>
      </c>
      <c r="D984" s="3" t="str">
        <f>IFERROR(__xludf.DUMMYFUNCTION("""COMPUTED_VALUE"""),"อก.2/1")</f>
        <v>อก.2/1</v>
      </c>
      <c r="E984" s="2" t="str">
        <f>IFERROR(__xludf.DUMMYFUNCTION("""COMPUTED_VALUE"""),"ชาย")</f>
        <v>ชาย</v>
      </c>
      <c r="F984" s="5" t="str">
        <f>IFERROR(__xludf.DUMMYFUNCTION("""COMPUTED_VALUE"""),"https://azizstan.net/student_image/24984.jpg")</f>
        <v>https://azizstan.net/student_image/24984.jpg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" t="str">
        <f>IFERROR(__xludf.DUMMYFUNCTION("""COMPUTED_VALUE"""),"25017")</f>
        <v>25017</v>
      </c>
      <c r="B985" s="3" t="str">
        <f>IFERROR(__xludf.DUMMYFUNCTION("""COMPUTED_VALUE"""),"ด.ช.มูฮัมหมัดซัยฟู แขวง")</f>
        <v>ด.ช.มูฮัมหมัดซัยฟู แขวง</v>
      </c>
      <c r="C985" s="3" t="str">
        <f>IFERROR(__xludf.DUMMYFUNCTION("""COMPUTED_VALUE"""),"ม.3/1")</f>
        <v>ม.3/1</v>
      </c>
      <c r="D985" s="3" t="str">
        <f>IFERROR(__xludf.DUMMYFUNCTION("""COMPUTED_VALUE"""),"อก.2/1")</f>
        <v>อก.2/1</v>
      </c>
      <c r="E985" s="2" t="str">
        <f>IFERROR(__xludf.DUMMYFUNCTION("""COMPUTED_VALUE"""),"ชาย")</f>
        <v>ชาย</v>
      </c>
      <c r="F985" s="5" t="str">
        <f>IFERROR(__xludf.DUMMYFUNCTION("""COMPUTED_VALUE"""),"https://azizstan.net/student_image/25017.jpg")</f>
        <v>https://azizstan.net/student_image/25017.jpg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" t="str">
        <f>IFERROR(__xludf.DUMMYFUNCTION("""COMPUTED_VALUE"""),"25049")</f>
        <v>25049</v>
      </c>
      <c r="B986" s="3" t="str">
        <f>IFERROR(__xludf.DUMMYFUNCTION("""COMPUTED_VALUE"""),"ด.ช.มูฮำหมัดบัซรี เปาะเงาะ")</f>
        <v>ด.ช.มูฮำหมัดบัซรี เปาะเงาะ</v>
      </c>
      <c r="C986" s="3" t="str">
        <f>IFERROR(__xludf.DUMMYFUNCTION("""COMPUTED_VALUE"""),"ม.3/1")</f>
        <v>ม.3/1</v>
      </c>
      <c r="D986" s="3" t="str">
        <f>IFERROR(__xludf.DUMMYFUNCTION("""COMPUTED_VALUE"""),"อก.2/1")</f>
        <v>อก.2/1</v>
      </c>
      <c r="E986" s="2" t="str">
        <f>IFERROR(__xludf.DUMMYFUNCTION("""COMPUTED_VALUE"""),"ชาย")</f>
        <v>ชาย</v>
      </c>
      <c r="F986" s="5" t="str">
        <f>IFERROR(__xludf.DUMMYFUNCTION("""COMPUTED_VALUE"""),"https://azizstan.net/student_image/25049.jpg")</f>
        <v>https://azizstan.net/student_image/25049.jpg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" t="str">
        <f>IFERROR(__xludf.DUMMYFUNCTION("""COMPUTED_VALUE"""),"25063")</f>
        <v>25063</v>
      </c>
      <c r="B987" s="3" t="str">
        <f>IFERROR(__xludf.DUMMYFUNCTION("""COMPUTED_VALUE"""),"ด.ช.มาฮิร ยูโซ๊ะ")</f>
        <v>ด.ช.มาฮิร ยูโซ๊ะ</v>
      </c>
      <c r="C987" s="3" t="str">
        <f>IFERROR(__xludf.DUMMYFUNCTION("""COMPUTED_VALUE"""),"ม.3/1")</f>
        <v>ม.3/1</v>
      </c>
      <c r="D987" s="3" t="str">
        <f>IFERROR(__xludf.DUMMYFUNCTION("""COMPUTED_VALUE"""),"อก.2/1")</f>
        <v>อก.2/1</v>
      </c>
      <c r="E987" s="2" t="str">
        <f>IFERROR(__xludf.DUMMYFUNCTION("""COMPUTED_VALUE"""),"ชาย")</f>
        <v>ชาย</v>
      </c>
      <c r="F987" s="5" t="str">
        <f>IFERROR(__xludf.DUMMYFUNCTION("""COMPUTED_VALUE"""),"https://azizstan.net/student_image/25063.jpg")</f>
        <v>https://azizstan.net/student_image/25063.jpg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" t="str">
        <f>IFERROR(__xludf.DUMMYFUNCTION("""COMPUTED_VALUE"""),"25094")</f>
        <v>25094</v>
      </c>
      <c r="B988" s="3" t="str">
        <f>IFERROR(__xludf.DUMMYFUNCTION("""COMPUTED_VALUE"""),"ด.ช.มูฮัมหมัดไซฟูน สาและ")</f>
        <v>ด.ช.มูฮัมหมัดไซฟูน สาและ</v>
      </c>
      <c r="C988" s="3" t="str">
        <f>IFERROR(__xludf.DUMMYFUNCTION("""COMPUTED_VALUE"""),"ม.3/1")</f>
        <v>ม.3/1</v>
      </c>
      <c r="D988" s="3" t="str">
        <f>IFERROR(__xludf.DUMMYFUNCTION("""COMPUTED_VALUE"""),"อก.2/1")</f>
        <v>อก.2/1</v>
      </c>
      <c r="E988" s="2" t="str">
        <f>IFERROR(__xludf.DUMMYFUNCTION("""COMPUTED_VALUE"""),"ชาย")</f>
        <v>ชาย</v>
      </c>
      <c r="F988" s="5" t="str">
        <f>IFERROR(__xludf.DUMMYFUNCTION("""COMPUTED_VALUE"""),"https://azizstan.net/student_image/25094.jpg")</f>
        <v>https://azizstan.net/student_image/25094.jpg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 t="str">
        <f>IFERROR(__xludf.DUMMYFUNCTION("""COMPUTED_VALUE"""),"25101")</f>
        <v>25101</v>
      </c>
      <c r="B989" s="3" t="str">
        <f>IFERROR(__xludf.DUMMYFUNCTION("""COMPUTED_VALUE"""),"ด.ช.บัดรี่ ตาเห")</f>
        <v>ด.ช.บัดรี่ ตาเห</v>
      </c>
      <c r="C989" s="3" t="str">
        <f>IFERROR(__xludf.DUMMYFUNCTION("""COMPUTED_VALUE"""),"ม.3/1")</f>
        <v>ม.3/1</v>
      </c>
      <c r="D989" s="3" t="str">
        <f>IFERROR(__xludf.DUMMYFUNCTION("""COMPUTED_VALUE"""),"อก.2/1")</f>
        <v>อก.2/1</v>
      </c>
      <c r="E989" s="2" t="str">
        <f>IFERROR(__xludf.DUMMYFUNCTION("""COMPUTED_VALUE"""),"ชาย")</f>
        <v>ชาย</v>
      </c>
      <c r="F989" s="5" t="str">
        <f>IFERROR(__xludf.DUMMYFUNCTION("""COMPUTED_VALUE"""),"https://azizstan.net/student_image/25101.jpg")</f>
        <v>https://azizstan.net/student_image/25101.jpg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 t="str">
        <f>IFERROR(__xludf.DUMMYFUNCTION("""COMPUTED_VALUE"""),"25114")</f>
        <v>25114</v>
      </c>
      <c r="B990" s="3" t="str">
        <f>IFERROR(__xludf.DUMMYFUNCTION("""COMPUTED_VALUE"""),"ด.ช.รออีฟ ดือราแม")</f>
        <v>ด.ช.รออีฟ ดือราแม</v>
      </c>
      <c r="C990" s="3" t="str">
        <f>IFERROR(__xludf.DUMMYFUNCTION("""COMPUTED_VALUE"""),"ม.3/1")</f>
        <v>ม.3/1</v>
      </c>
      <c r="D990" s="3" t="str">
        <f>IFERROR(__xludf.DUMMYFUNCTION("""COMPUTED_VALUE"""),"อก.2/1")</f>
        <v>อก.2/1</v>
      </c>
      <c r="E990" s="2" t="str">
        <f>IFERROR(__xludf.DUMMYFUNCTION("""COMPUTED_VALUE"""),"ชาย")</f>
        <v>ชาย</v>
      </c>
      <c r="F990" s="5" t="str">
        <f>IFERROR(__xludf.DUMMYFUNCTION("""COMPUTED_VALUE"""),"https://azizstan.net/student_image/25114.jpg")</f>
        <v>https://azizstan.net/student_image/25114.jpg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 t="str">
        <f>IFERROR(__xludf.DUMMYFUNCTION("""COMPUTED_VALUE"""),"25130")</f>
        <v>25130</v>
      </c>
      <c r="B991" s="3" t="str">
        <f>IFERROR(__xludf.DUMMYFUNCTION("""COMPUTED_VALUE"""),"ด.ช.ฟุรกอน ดอเลาะ")</f>
        <v>ด.ช.ฟุรกอน ดอเลาะ</v>
      </c>
      <c r="C991" s="3" t="str">
        <f>IFERROR(__xludf.DUMMYFUNCTION("""COMPUTED_VALUE"""),"ม.3/1")</f>
        <v>ม.3/1</v>
      </c>
      <c r="D991" s="3" t="str">
        <f>IFERROR(__xludf.DUMMYFUNCTION("""COMPUTED_VALUE"""),"อก.2/1")</f>
        <v>อก.2/1</v>
      </c>
      <c r="E991" s="2" t="str">
        <f>IFERROR(__xludf.DUMMYFUNCTION("""COMPUTED_VALUE"""),"ชาย")</f>
        <v>ชาย</v>
      </c>
      <c r="F991" s="5" t="str">
        <f>IFERROR(__xludf.DUMMYFUNCTION("""COMPUTED_VALUE"""),"https://azizstan.net/student_image/25130.jpg")</f>
        <v>https://azizstan.net/student_image/25130.jpg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 t="str">
        <f>IFERROR(__xludf.DUMMYFUNCTION("""COMPUTED_VALUE"""),"25141")</f>
        <v>25141</v>
      </c>
      <c r="B992" s="3" t="str">
        <f>IFERROR(__xludf.DUMMYFUNCTION("""COMPUTED_VALUE"""),"ด.ช.ฟาริส เหมมา")</f>
        <v>ด.ช.ฟาริส เหมมา</v>
      </c>
      <c r="C992" s="3" t="str">
        <f>IFERROR(__xludf.DUMMYFUNCTION("""COMPUTED_VALUE"""),"ม.3/1")</f>
        <v>ม.3/1</v>
      </c>
      <c r="D992" s="3" t="str">
        <f>IFERROR(__xludf.DUMMYFUNCTION("""COMPUTED_VALUE"""),"อก.2/1")</f>
        <v>อก.2/1</v>
      </c>
      <c r="E992" s="2" t="str">
        <f>IFERROR(__xludf.DUMMYFUNCTION("""COMPUTED_VALUE"""),"ชาย")</f>
        <v>ชาย</v>
      </c>
      <c r="F992" s="5" t="str">
        <f>IFERROR(__xludf.DUMMYFUNCTION("""COMPUTED_VALUE"""),"https://azizstan.net/student_image/25141.jpg")</f>
        <v>https://azizstan.net/student_image/25141.jpg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 t="str">
        <f>IFERROR(__xludf.DUMMYFUNCTION("""COMPUTED_VALUE"""),"25177")</f>
        <v>25177</v>
      </c>
      <c r="B993" s="3" t="str">
        <f>IFERROR(__xludf.DUMMYFUNCTION("""COMPUTED_VALUE"""),"ด.ช.มูฮำหมัดสุกรี สาแม")</f>
        <v>ด.ช.มูฮำหมัดสุกรี สาแม</v>
      </c>
      <c r="C993" s="3" t="str">
        <f>IFERROR(__xludf.DUMMYFUNCTION("""COMPUTED_VALUE"""),"ม.3/1")</f>
        <v>ม.3/1</v>
      </c>
      <c r="D993" s="3" t="str">
        <f>IFERROR(__xludf.DUMMYFUNCTION("""COMPUTED_VALUE"""),"อก.2/1")</f>
        <v>อก.2/1</v>
      </c>
      <c r="E993" s="2" t="str">
        <f>IFERROR(__xludf.DUMMYFUNCTION("""COMPUTED_VALUE"""),"ชาย")</f>
        <v>ชาย</v>
      </c>
      <c r="F993" s="5" t="str">
        <f>IFERROR(__xludf.DUMMYFUNCTION("""COMPUTED_VALUE"""),"https://azizstan.net/student_image/25177.jpg")</f>
        <v>https://azizstan.net/student_image/25177.jpg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 t="str">
        <f>IFERROR(__xludf.DUMMYFUNCTION("""COMPUTED_VALUE"""),"25182")</f>
        <v>25182</v>
      </c>
      <c r="B994" s="3" t="str">
        <f>IFERROR(__xludf.DUMMYFUNCTION("""COMPUTED_VALUE"""),"ด.ช.มูฮัมหมัดอานาวี หะ")</f>
        <v>ด.ช.มูฮัมหมัดอานาวี หะ</v>
      </c>
      <c r="C994" s="3" t="str">
        <f>IFERROR(__xludf.DUMMYFUNCTION("""COMPUTED_VALUE"""),"ม.3/1")</f>
        <v>ม.3/1</v>
      </c>
      <c r="D994" s="3" t="str">
        <f>IFERROR(__xludf.DUMMYFUNCTION("""COMPUTED_VALUE"""),"อก.2/1")</f>
        <v>อก.2/1</v>
      </c>
      <c r="E994" s="2" t="str">
        <f>IFERROR(__xludf.DUMMYFUNCTION("""COMPUTED_VALUE"""),"ชาย")</f>
        <v>ชาย</v>
      </c>
      <c r="F994" s="5" t="str">
        <f>IFERROR(__xludf.DUMMYFUNCTION("""COMPUTED_VALUE"""),"https://azizstan.net/student_image/25182.jpg")</f>
        <v>https://azizstan.net/student_image/25182.jpg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 t="str">
        <f>IFERROR(__xludf.DUMMYFUNCTION("""COMPUTED_VALUE"""),"25190")</f>
        <v>25190</v>
      </c>
      <c r="B995" s="3" t="str">
        <f>IFERROR(__xludf.DUMMYFUNCTION("""COMPUTED_VALUE"""),"ด.ช.ซีดิกร์ อาแด")</f>
        <v>ด.ช.ซีดิกร์ อาแด</v>
      </c>
      <c r="C995" s="3" t="str">
        <f>IFERROR(__xludf.DUMMYFUNCTION("""COMPUTED_VALUE"""),"ม.3/1")</f>
        <v>ม.3/1</v>
      </c>
      <c r="D995" s="3" t="str">
        <f>IFERROR(__xludf.DUMMYFUNCTION("""COMPUTED_VALUE"""),"อก.2/1")</f>
        <v>อก.2/1</v>
      </c>
      <c r="E995" s="2" t="str">
        <f>IFERROR(__xludf.DUMMYFUNCTION("""COMPUTED_VALUE"""),"ชาย")</f>
        <v>ชาย</v>
      </c>
      <c r="F995" s="5" t="str">
        <f>IFERROR(__xludf.DUMMYFUNCTION("""COMPUTED_VALUE"""),"https://azizstan.net/student_image/25190.jpg")</f>
        <v>https://azizstan.net/student_image/25190.jpg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 t="str">
        <f>IFERROR(__xludf.DUMMYFUNCTION("""COMPUTED_VALUE"""),"25210")</f>
        <v>25210</v>
      </c>
      <c r="B996" s="3" t="str">
        <f>IFERROR(__xludf.DUMMYFUNCTION("""COMPUTED_VALUE"""),"ด.ช.ซัมอูนล์ สาและ")</f>
        <v>ด.ช.ซัมอูนล์ สาและ</v>
      </c>
      <c r="C996" s="3" t="str">
        <f>IFERROR(__xludf.DUMMYFUNCTION("""COMPUTED_VALUE"""),"ม.3/1")</f>
        <v>ม.3/1</v>
      </c>
      <c r="D996" s="3" t="str">
        <f>IFERROR(__xludf.DUMMYFUNCTION("""COMPUTED_VALUE"""),"อก.2/1")</f>
        <v>อก.2/1</v>
      </c>
      <c r="E996" s="2" t="str">
        <f>IFERROR(__xludf.DUMMYFUNCTION("""COMPUTED_VALUE"""),"ชาย")</f>
        <v>ชาย</v>
      </c>
      <c r="F996" s="5" t="str">
        <f>IFERROR(__xludf.DUMMYFUNCTION("""COMPUTED_VALUE"""),"https://azizstan.net/student_image/25210.jpg")</f>
        <v>https://azizstan.net/student_image/25210.jpg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 t="str">
        <f>IFERROR(__xludf.DUMMYFUNCTION("""COMPUTED_VALUE"""),"25244")</f>
        <v>25244</v>
      </c>
      <c r="B997" s="3" t="str">
        <f>IFERROR(__xludf.DUMMYFUNCTION("""COMPUTED_VALUE"""),"ด.ช.อัฟนัน ดามะยะ")</f>
        <v>ด.ช.อัฟนัน ดามะยะ</v>
      </c>
      <c r="C997" s="3" t="str">
        <f>IFERROR(__xludf.DUMMYFUNCTION("""COMPUTED_VALUE"""),"ม.3/1")</f>
        <v>ม.3/1</v>
      </c>
      <c r="D997" s="3" t="str">
        <f>IFERROR(__xludf.DUMMYFUNCTION("""COMPUTED_VALUE"""),"อก.2/1")</f>
        <v>อก.2/1</v>
      </c>
      <c r="E997" s="2" t="str">
        <f>IFERROR(__xludf.DUMMYFUNCTION("""COMPUTED_VALUE"""),"ชาย")</f>
        <v>ชาย</v>
      </c>
      <c r="F997" s="5" t="str">
        <f>IFERROR(__xludf.DUMMYFUNCTION("""COMPUTED_VALUE"""),"https://azizstan.net/student_image/25244.jpg")</f>
        <v>https://azizstan.net/student_image/25244.jpg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 t="str">
        <f>IFERROR(__xludf.DUMMYFUNCTION("""COMPUTED_VALUE"""),"25258")</f>
        <v>25258</v>
      </c>
      <c r="B998" s="3" t="str">
        <f>IFERROR(__xludf.DUMMYFUNCTION("""COMPUTED_VALUE"""),"ด.ช.นิอาฟานดี ดอเลาะ")</f>
        <v>ด.ช.นิอาฟานดี ดอเลาะ</v>
      </c>
      <c r="C998" s="3" t="str">
        <f>IFERROR(__xludf.DUMMYFUNCTION("""COMPUTED_VALUE"""),"ม.3/1")</f>
        <v>ม.3/1</v>
      </c>
      <c r="D998" s="3" t="str">
        <f>IFERROR(__xludf.DUMMYFUNCTION("""COMPUTED_VALUE"""),"อก.2/1")</f>
        <v>อก.2/1</v>
      </c>
      <c r="E998" s="2" t="str">
        <f>IFERROR(__xludf.DUMMYFUNCTION("""COMPUTED_VALUE"""),"ชาย")</f>
        <v>ชาย</v>
      </c>
      <c r="F998" s="5" t="str">
        <f>IFERROR(__xludf.DUMMYFUNCTION("""COMPUTED_VALUE"""),"https://azizstan.net/student_image/25258.jpg")</f>
        <v>https://azizstan.net/student_image/25258.jpg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 t="str">
        <f>IFERROR(__xludf.DUMMYFUNCTION("""COMPUTED_VALUE"""),"25310")</f>
        <v>25310</v>
      </c>
      <c r="B999" s="3" t="str">
        <f>IFERROR(__xludf.DUMMYFUNCTION("""COMPUTED_VALUE"""),"ด.ช.ฟาริก ดอเลาะ")</f>
        <v>ด.ช.ฟาริก ดอเลาะ</v>
      </c>
      <c r="C999" s="3" t="str">
        <f>IFERROR(__xludf.DUMMYFUNCTION("""COMPUTED_VALUE"""),"ม.3/1")</f>
        <v>ม.3/1</v>
      </c>
      <c r="D999" s="3" t="str">
        <f>IFERROR(__xludf.DUMMYFUNCTION("""COMPUTED_VALUE"""),"อก.2/1")</f>
        <v>อก.2/1</v>
      </c>
      <c r="E999" s="2" t="str">
        <f>IFERROR(__xludf.DUMMYFUNCTION("""COMPUTED_VALUE"""),"ชาย")</f>
        <v>ชาย</v>
      </c>
      <c r="F999" s="5" t="str">
        <f>IFERROR(__xludf.DUMMYFUNCTION("""COMPUTED_VALUE"""),"https://azizstan.net/student_image/25310.jpg")</f>
        <v>https://azizstan.net/student_image/25310.jpg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 t="str">
        <f>IFERROR(__xludf.DUMMYFUNCTION("""COMPUTED_VALUE"""),"25313")</f>
        <v>25313</v>
      </c>
      <c r="B1000" s="3" t="str">
        <f>IFERROR(__xludf.DUMMYFUNCTION("""COMPUTED_VALUE"""),"ด.ช.ซรี อาลี")</f>
        <v>ด.ช.ซรี อาลี</v>
      </c>
      <c r="C1000" s="3" t="str">
        <f>IFERROR(__xludf.DUMMYFUNCTION("""COMPUTED_VALUE"""),"ม.3/1")</f>
        <v>ม.3/1</v>
      </c>
      <c r="D1000" s="3" t="str">
        <f>IFERROR(__xludf.DUMMYFUNCTION("""COMPUTED_VALUE"""),"อก.2/1")</f>
        <v>อก.2/1</v>
      </c>
      <c r="E1000" s="2" t="str">
        <f>IFERROR(__xludf.DUMMYFUNCTION("""COMPUTED_VALUE"""),"ชาย")</f>
        <v>ชาย</v>
      </c>
      <c r="F1000" s="5" t="str">
        <f>IFERROR(__xludf.DUMMYFUNCTION("""COMPUTED_VALUE"""),"https://azizstan.net/student_image/25313.jpg")</f>
        <v>https://azizstan.net/student_image/25313.jpg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" t="str">
        <f>IFERROR(__xludf.DUMMYFUNCTION("""COMPUTED_VALUE"""),"25314")</f>
        <v>25314</v>
      </c>
      <c r="B1001" s="3" t="str">
        <f>IFERROR(__xludf.DUMMYFUNCTION("""COMPUTED_VALUE"""),"ด.ช.แวฟุรกอน ยูโซะ")</f>
        <v>ด.ช.แวฟุรกอน ยูโซะ</v>
      </c>
      <c r="C1001" s="3" t="str">
        <f>IFERROR(__xludf.DUMMYFUNCTION("""COMPUTED_VALUE"""),"ม.3/1")</f>
        <v>ม.3/1</v>
      </c>
      <c r="D1001" s="3" t="str">
        <f>IFERROR(__xludf.DUMMYFUNCTION("""COMPUTED_VALUE"""),"อก.2/1")</f>
        <v>อก.2/1</v>
      </c>
      <c r="E1001" s="2" t="str">
        <f>IFERROR(__xludf.DUMMYFUNCTION("""COMPUTED_VALUE"""),"ชาย")</f>
        <v>ชาย</v>
      </c>
      <c r="F1001" s="5" t="str">
        <f>IFERROR(__xludf.DUMMYFUNCTION("""COMPUTED_VALUE"""),"https://azizstan.net/student_image/25314.jpg")</f>
        <v>https://azizstan.net/student_image/25314.jpg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" t="str">
        <f>IFERROR(__xludf.DUMMYFUNCTION("""COMPUTED_VALUE"""),"25329")</f>
        <v>25329</v>
      </c>
      <c r="B1002" s="3" t="str">
        <f>IFERROR(__xludf.DUMMYFUNCTION("""COMPUTED_VALUE"""),"ด.ช.ฮานาฟีย์ วาเตะ")</f>
        <v>ด.ช.ฮานาฟีย์ วาเตะ</v>
      </c>
      <c r="C1002" s="3" t="str">
        <f>IFERROR(__xludf.DUMMYFUNCTION("""COMPUTED_VALUE"""),"ม.3/1")</f>
        <v>ม.3/1</v>
      </c>
      <c r="D1002" s="3" t="str">
        <f>IFERROR(__xludf.DUMMYFUNCTION("""COMPUTED_VALUE"""),"อก.2/1")</f>
        <v>อก.2/1</v>
      </c>
      <c r="E1002" s="2" t="str">
        <f>IFERROR(__xludf.DUMMYFUNCTION("""COMPUTED_VALUE"""),"ชาย")</f>
        <v>ชาย</v>
      </c>
      <c r="F1002" s="5" t="str">
        <f>IFERROR(__xludf.DUMMYFUNCTION("""COMPUTED_VALUE"""),"https://azizstan.net/student_image/25329.jpg")</f>
        <v>https://azizstan.net/student_image/25329.jpg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3" t="str">
        <f>IFERROR(__xludf.DUMMYFUNCTION("""COMPUTED_VALUE"""),"25865")</f>
        <v>25865</v>
      </c>
      <c r="B1003" s="3" t="str">
        <f>IFERROR(__xludf.DUMMYFUNCTION("""COMPUTED_VALUE"""),"ด.ช.บัดรี เจะหะ")</f>
        <v>ด.ช.บัดรี เจะหะ</v>
      </c>
      <c r="C1003" s="3" t="str">
        <f>IFERROR(__xludf.DUMMYFUNCTION("""COMPUTED_VALUE"""),"ม.3/1")</f>
        <v>ม.3/1</v>
      </c>
      <c r="D1003" s="3" t="str">
        <f>IFERROR(__xludf.DUMMYFUNCTION("""COMPUTED_VALUE"""),"อก.2/1")</f>
        <v>อก.2/1</v>
      </c>
      <c r="E1003" s="2" t="str">
        <f>IFERROR(__xludf.DUMMYFUNCTION("""COMPUTED_VALUE"""),"ชาย")</f>
        <v>ชาย</v>
      </c>
      <c r="F1003" s="5" t="str">
        <f>IFERROR(__xludf.DUMMYFUNCTION("""COMPUTED_VALUE"""),"https://azizstan.net/student_image/25865.jpg")</f>
        <v>https://azizstan.net/student_image/25865.jpg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3" t="str">
        <f>IFERROR(__xludf.DUMMYFUNCTION("""COMPUTED_VALUE"""),"24602")</f>
        <v>24602</v>
      </c>
      <c r="B1004" s="3" t="str">
        <f>IFERROR(__xludf.DUMMYFUNCTION("""COMPUTED_VALUE"""),"ด.ญ.นูรฮัลฟารา มะมิง")</f>
        <v>ด.ญ.นูรฮัลฟารา มะมิง</v>
      </c>
      <c r="C1004" s="3" t="str">
        <f>IFERROR(__xludf.DUMMYFUNCTION("""COMPUTED_VALUE"""),"ม.3/2")</f>
        <v>ม.3/2</v>
      </c>
      <c r="D1004" s="3" t="str">
        <f>IFERROR(__xludf.DUMMYFUNCTION("""COMPUTED_VALUE"""),"อก.2/2")</f>
        <v>อก.2/2</v>
      </c>
      <c r="E1004" s="2" t="str">
        <f>IFERROR(__xludf.DUMMYFUNCTION("""COMPUTED_VALUE"""),"หญิง")</f>
        <v>หญิง</v>
      </c>
      <c r="F1004" s="5" t="str">
        <f>IFERROR(__xludf.DUMMYFUNCTION("""COMPUTED_VALUE"""),"https://azizstan.net/student_image/24602.jpg")</f>
        <v>https://azizstan.net/student_image/24602.jpg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3" t="str">
        <f>IFERROR(__xludf.DUMMYFUNCTION("""COMPUTED_VALUE"""),"24656")</f>
        <v>24656</v>
      </c>
      <c r="B1005" s="3" t="str">
        <f>IFERROR(__xludf.DUMMYFUNCTION("""COMPUTED_VALUE"""),"ด.ญ.อัสมา จิสา")</f>
        <v>ด.ญ.อัสมา จิสา</v>
      </c>
      <c r="C1005" s="3" t="str">
        <f>IFERROR(__xludf.DUMMYFUNCTION("""COMPUTED_VALUE"""),"ม.3/2")</f>
        <v>ม.3/2</v>
      </c>
      <c r="D1005" s="3" t="str">
        <f>IFERROR(__xludf.DUMMYFUNCTION("""COMPUTED_VALUE"""),"อก.2/2")</f>
        <v>อก.2/2</v>
      </c>
      <c r="E1005" s="2" t="str">
        <f>IFERROR(__xludf.DUMMYFUNCTION("""COMPUTED_VALUE"""),"หญิง")</f>
        <v>หญิง</v>
      </c>
      <c r="F1005" s="5" t="str">
        <f>IFERROR(__xludf.DUMMYFUNCTION("""COMPUTED_VALUE"""),"https://azizstan.net/student_image/24656.jpg")</f>
        <v>https://azizstan.net/student_image/24656.jpg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3" t="str">
        <f>IFERROR(__xludf.DUMMYFUNCTION("""COMPUTED_VALUE"""),"24675")</f>
        <v>24675</v>
      </c>
      <c r="B1006" s="3" t="str">
        <f>IFERROR(__xludf.DUMMYFUNCTION("""COMPUTED_VALUE"""),"ด.ญ.นูรฮัยรา หะยีเยะ")</f>
        <v>ด.ญ.นูรฮัยรา หะยีเยะ</v>
      </c>
      <c r="C1006" s="3" t="str">
        <f>IFERROR(__xludf.DUMMYFUNCTION("""COMPUTED_VALUE"""),"ม.3/2")</f>
        <v>ม.3/2</v>
      </c>
      <c r="D1006" s="3" t="str">
        <f>IFERROR(__xludf.DUMMYFUNCTION("""COMPUTED_VALUE"""),"อก.2/2")</f>
        <v>อก.2/2</v>
      </c>
      <c r="E1006" s="2" t="str">
        <f>IFERROR(__xludf.DUMMYFUNCTION("""COMPUTED_VALUE"""),"หญิง")</f>
        <v>หญิง</v>
      </c>
      <c r="F1006" s="5" t="str">
        <f>IFERROR(__xludf.DUMMYFUNCTION("""COMPUTED_VALUE"""),"https://azizstan.net/student_image/24675.jpg")</f>
        <v>https://azizstan.net/student_image/24675.jpg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3" t="str">
        <f>IFERROR(__xludf.DUMMYFUNCTION("""COMPUTED_VALUE"""),"24681")</f>
        <v>24681</v>
      </c>
      <c r="B1007" s="3" t="str">
        <f>IFERROR(__xludf.DUMMYFUNCTION("""COMPUTED_VALUE"""),"ด.ญ.นูรซาซ่า แวมายอ")</f>
        <v>ด.ญ.นูรซาซ่า แวมายอ</v>
      </c>
      <c r="C1007" s="3" t="str">
        <f>IFERROR(__xludf.DUMMYFUNCTION("""COMPUTED_VALUE"""),"ม.3/2")</f>
        <v>ม.3/2</v>
      </c>
      <c r="D1007" s="3" t="str">
        <f>IFERROR(__xludf.DUMMYFUNCTION("""COMPUTED_VALUE"""),"อก.2/2")</f>
        <v>อก.2/2</v>
      </c>
      <c r="E1007" s="2" t="str">
        <f>IFERROR(__xludf.DUMMYFUNCTION("""COMPUTED_VALUE"""),"หญิง")</f>
        <v>หญิง</v>
      </c>
      <c r="F1007" s="5" t="str">
        <f>IFERROR(__xludf.DUMMYFUNCTION("""COMPUTED_VALUE"""),"https://azizstan.net/student_image/24681.jpg")</f>
        <v>https://azizstan.net/student_image/24681.jpg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3" t="str">
        <f>IFERROR(__xludf.DUMMYFUNCTION("""COMPUTED_VALUE"""),"24689")</f>
        <v>24689</v>
      </c>
      <c r="B1008" s="3" t="str">
        <f>IFERROR(__xludf.DUMMYFUNCTION("""COMPUTED_VALUE"""),"ด.ญ.นัสรีน มิเด")</f>
        <v>ด.ญ.นัสรีน มิเด</v>
      </c>
      <c r="C1008" s="3" t="str">
        <f>IFERROR(__xludf.DUMMYFUNCTION("""COMPUTED_VALUE"""),"ม.3/2")</f>
        <v>ม.3/2</v>
      </c>
      <c r="D1008" s="3" t="str">
        <f>IFERROR(__xludf.DUMMYFUNCTION("""COMPUTED_VALUE"""),"อก.2/2")</f>
        <v>อก.2/2</v>
      </c>
      <c r="E1008" s="2" t="str">
        <f>IFERROR(__xludf.DUMMYFUNCTION("""COMPUTED_VALUE"""),"หญิง")</f>
        <v>หญิง</v>
      </c>
      <c r="F1008" s="5" t="str">
        <f>IFERROR(__xludf.DUMMYFUNCTION("""COMPUTED_VALUE"""),"https://azizstan.net/student_image/24689.jpg")</f>
        <v>https://azizstan.net/student_image/24689.jpg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3" t="str">
        <f>IFERROR(__xludf.DUMMYFUNCTION("""COMPUTED_VALUE"""),"24705")</f>
        <v>24705</v>
      </c>
      <c r="B1009" s="3" t="str">
        <f>IFERROR(__xludf.DUMMYFUNCTION("""COMPUTED_VALUE"""),"ด.ญ.ซัลมีลา นามายัม")</f>
        <v>ด.ญ.ซัลมีลา นามายัม</v>
      </c>
      <c r="C1009" s="3" t="str">
        <f>IFERROR(__xludf.DUMMYFUNCTION("""COMPUTED_VALUE"""),"ม.3/2")</f>
        <v>ม.3/2</v>
      </c>
      <c r="D1009" s="3" t="str">
        <f>IFERROR(__xludf.DUMMYFUNCTION("""COMPUTED_VALUE"""),"อก.2/2")</f>
        <v>อก.2/2</v>
      </c>
      <c r="E1009" s="2" t="str">
        <f>IFERROR(__xludf.DUMMYFUNCTION("""COMPUTED_VALUE"""),"หญิง")</f>
        <v>หญิง</v>
      </c>
      <c r="F1009" s="5" t="str">
        <f>IFERROR(__xludf.DUMMYFUNCTION("""COMPUTED_VALUE"""),"https://azizstan.net/student_image/24705.jpg")</f>
        <v>https://azizstan.net/student_image/24705.jpg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3" t="str">
        <f>IFERROR(__xludf.DUMMYFUNCTION("""COMPUTED_VALUE"""),"24732")</f>
        <v>24732</v>
      </c>
      <c r="B1010" s="3" t="str">
        <f>IFERROR(__xludf.DUMMYFUNCTION("""COMPUTED_VALUE"""),"ด.ญ.กัฟฟานี อาซ่อง")</f>
        <v>ด.ญ.กัฟฟานี อาซ่อง</v>
      </c>
      <c r="C1010" s="3" t="str">
        <f>IFERROR(__xludf.DUMMYFUNCTION("""COMPUTED_VALUE"""),"ม.3/2")</f>
        <v>ม.3/2</v>
      </c>
      <c r="D1010" s="3" t="str">
        <f>IFERROR(__xludf.DUMMYFUNCTION("""COMPUTED_VALUE"""),"อก.2/2")</f>
        <v>อก.2/2</v>
      </c>
      <c r="E1010" s="2" t="str">
        <f>IFERROR(__xludf.DUMMYFUNCTION("""COMPUTED_VALUE"""),"หญิง")</f>
        <v>หญิง</v>
      </c>
      <c r="F1010" s="5" t="str">
        <f>IFERROR(__xludf.DUMMYFUNCTION("""COMPUTED_VALUE"""),"https://azizstan.net/student_image/24732.jpg")</f>
        <v>https://azizstan.net/student_image/24732.jpg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3" t="str">
        <f>IFERROR(__xludf.DUMMYFUNCTION("""COMPUTED_VALUE"""),"24735")</f>
        <v>24735</v>
      </c>
      <c r="B1011" s="3" t="str">
        <f>IFERROR(__xludf.DUMMYFUNCTION("""COMPUTED_VALUE"""),"ด.ญ.นิสรีน หมันหมู้")</f>
        <v>ด.ญ.นิสรีน หมันหมู้</v>
      </c>
      <c r="C1011" s="3" t="str">
        <f>IFERROR(__xludf.DUMMYFUNCTION("""COMPUTED_VALUE"""),"ม.3/2")</f>
        <v>ม.3/2</v>
      </c>
      <c r="D1011" s="3" t="str">
        <f>IFERROR(__xludf.DUMMYFUNCTION("""COMPUTED_VALUE"""),"อก.2/2")</f>
        <v>อก.2/2</v>
      </c>
      <c r="E1011" s="2" t="str">
        <f>IFERROR(__xludf.DUMMYFUNCTION("""COMPUTED_VALUE"""),"หญิง")</f>
        <v>หญิง</v>
      </c>
      <c r="F1011" s="5" t="str">
        <f>IFERROR(__xludf.DUMMYFUNCTION("""COMPUTED_VALUE"""),"https://azizstan.net/student_image/24735.jpg")</f>
        <v>https://azizstan.net/student_image/24735.jpg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3" t="str">
        <f>IFERROR(__xludf.DUMMYFUNCTION("""COMPUTED_VALUE"""),"24736")</f>
        <v>24736</v>
      </c>
      <c r="B1012" s="3" t="str">
        <f>IFERROR(__xludf.DUMMYFUNCTION("""COMPUTED_VALUE"""),"ด.ญ.วรัญญา จิอู๋")</f>
        <v>ด.ญ.วรัญญา จิอู๋</v>
      </c>
      <c r="C1012" s="3" t="str">
        <f>IFERROR(__xludf.DUMMYFUNCTION("""COMPUTED_VALUE"""),"ม.3/2")</f>
        <v>ม.3/2</v>
      </c>
      <c r="D1012" s="3" t="str">
        <f>IFERROR(__xludf.DUMMYFUNCTION("""COMPUTED_VALUE"""),"อก.2/2")</f>
        <v>อก.2/2</v>
      </c>
      <c r="E1012" s="2" t="str">
        <f>IFERROR(__xludf.DUMMYFUNCTION("""COMPUTED_VALUE"""),"หญิง")</f>
        <v>หญิง</v>
      </c>
      <c r="F1012" s="5" t="str">
        <f>IFERROR(__xludf.DUMMYFUNCTION("""COMPUTED_VALUE"""),"https://azizstan.net/student_image/24736.jpg")</f>
        <v>https://azizstan.net/student_image/24736.jpg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3" t="str">
        <f>IFERROR(__xludf.DUMMYFUNCTION("""COMPUTED_VALUE"""),"24753")</f>
        <v>24753</v>
      </c>
      <c r="B1013" s="3" t="str">
        <f>IFERROR(__xludf.DUMMYFUNCTION("""COMPUTED_VALUE"""),"ด.ญ.นูรูลฮูดา สากา")</f>
        <v>ด.ญ.นูรูลฮูดา สากา</v>
      </c>
      <c r="C1013" s="3" t="str">
        <f>IFERROR(__xludf.DUMMYFUNCTION("""COMPUTED_VALUE"""),"ม.3/2")</f>
        <v>ม.3/2</v>
      </c>
      <c r="D1013" s="3" t="str">
        <f>IFERROR(__xludf.DUMMYFUNCTION("""COMPUTED_VALUE"""),"อก.2/2")</f>
        <v>อก.2/2</v>
      </c>
      <c r="E1013" s="2" t="str">
        <f>IFERROR(__xludf.DUMMYFUNCTION("""COMPUTED_VALUE"""),"หญิง")</f>
        <v>หญิง</v>
      </c>
      <c r="F1013" s="5" t="str">
        <f>IFERROR(__xludf.DUMMYFUNCTION("""COMPUTED_VALUE"""),"https://azizstan.net/student_image/24753.jpg")</f>
        <v>https://azizstan.net/student_image/24753.jpg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3" t="str">
        <f>IFERROR(__xludf.DUMMYFUNCTION("""COMPUTED_VALUE"""),"24754")</f>
        <v>24754</v>
      </c>
      <c r="B1014" s="3" t="str">
        <f>IFERROR(__xludf.DUMMYFUNCTION("""COMPUTED_VALUE"""),"ด.ญ.กมลกาญจน์ ทองรอด")</f>
        <v>ด.ญ.กมลกาญจน์ ทองรอด</v>
      </c>
      <c r="C1014" s="3" t="str">
        <f>IFERROR(__xludf.DUMMYFUNCTION("""COMPUTED_VALUE"""),"ม.3/2")</f>
        <v>ม.3/2</v>
      </c>
      <c r="D1014" s="3" t="str">
        <f>IFERROR(__xludf.DUMMYFUNCTION("""COMPUTED_VALUE"""),"อก.2/2")</f>
        <v>อก.2/2</v>
      </c>
      <c r="E1014" s="2" t="str">
        <f>IFERROR(__xludf.DUMMYFUNCTION("""COMPUTED_VALUE"""),"หญิง")</f>
        <v>หญิง</v>
      </c>
      <c r="F1014" s="5" t="str">
        <f>IFERROR(__xludf.DUMMYFUNCTION("""COMPUTED_VALUE"""),"https://azizstan.net/student_image/24754.jpg")</f>
        <v>https://azizstan.net/student_image/24754.jpg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3" t="str">
        <f>IFERROR(__xludf.DUMMYFUNCTION("""COMPUTED_VALUE"""),"24798")</f>
        <v>24798</v>
      </c>
      <c r="B1015" s="3" t="str">
        <f>IFERROR(__xludf.DUMMYFUNCTION("""COMPUTED_VALUE"""),"ด.ญ.นิซัรวาน สามะอาลี")</f>
        <v>ด.ญ.นิซัรวาน สามะอาลี</v>
      </c>
      <c r="C1015" s="3" t="str">
        <f>IFERROR(__xludf.DUMMYFUNCTION("""COMPUTED_VALUE"""),"ม.3/2")</f>
        <v>ม.3/2</v>
      </c>
      <c r="D1015" s="3" t="str">
        <f>IFERROR(__xludf.DUMMYFUNCTION("""COMPUTED_VALUE"""),"อก.2/2")</f>
        <v>อก.2/2</v>
      </c>
      <c r="E1015" s="2" t="str">
        <f>IFERROR(__xludf.DUMMYFUNCTION("""COMPUTED_VALUE"""),"หญิง")</f>
        <v>หญิง</v>
      </c>
      <c r="F1015" s="5" t="str">
        <f>IFERROR(__xludf.DUMMYFUNCTION("""COMPUTED_VALUE"""),"https://azizstan.net/student_image/24798.jpg")</f>
        <v>https://azizstan.net/student_image/24798.jpg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3" t="str">
        <f>IFERROR(__xludf.DUMMYFUNCTION("""COMPUTED_VALUE"""),"24801")</f>
        <v>24801</v>
      </c>
      <c r="B1016" s="3" t="str">
        <f>IFERROR(__xludf.DUMMYFUNCTION("""COMPUTED_VALUE"""),"ด.ญ.นิยัสมีณ นิเฮ็ง")</f>
        <v>ด.ญ.นิยัสมีณ นิเฮ็ง</v>
      </c>
      <c r="C1016" s="3" t="str">
        <f>IFERROR(__xludf.DUMMYFUNCTION("""COMPUTED_VALUE"""),"ม.3/2")</f>
        <v>ม.3/2</v>
      </c>
      <c r="D1016" s="3" t="str">
        <f>IFERROR(__xludf.DUMMYFUNCTION("""COMPUTED_VALUE"""),"อก.2/2")</f>
        <v>อก.2/2</v>
      </c>
      <c r="E1016" s="2" t="str">
        <f>IFERROR(__xludf.DUMMYFUNCTION("""COMPUTED_VALUE"""),"หญิง")</f>
        <v>หญิง</v>
      </c>
      <c r="F1016" s="5" t="str">
        <f>IFERROR(__xludf.DUMMYFUNCTION("""COMPUTED_VALUE"""),"https://azizstan.net/student_image/24801.jpg")</f>
        <v>https://azizstan.net/student_image/24801.jpg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3" t="str">
        <f>IFERROR(__xludf.DUMMYFUNCTION("""COMPUTED_VALUE"""),"24844")</f>
        <v>24844</v>
      </c>
      <c r="B1017" s="3" t="str">
        <f>IFERROR(__xludf.DUMMYFUNCTION("""COMPUTED_VALUE"""),"ด.ญ.ฮัสนา อับดุลลี")</f>
        <v>ด.ญ.ฮัสนา อับดุลลี</v>
      </c>
      <c r="C1017" s="3" t="str">
        <f>IFERROR(__xludf.DUMMYFUNCTION("""COMPUTED_VALUE"""),"ม.3/2")</f>
        <v>ม.3/2</v>
      </c>
      <c r="D1017" s="3" t="str">
        <f>IFERROR(__xludf.DUMMYFUNCTION("""COMPUTED_VALUE"""),"อก.2/2")</f>
        <v>อก.2/2</v>
      </c>
      <c r="E1017" s="2" t="str">
        <f>IFERROR(__xludf.DUMMYFUNCTION("""COMPUTED_VALUE"""),"หญิง")</f>
        <v>หญิง</v>
      </c>
      <c r="F1017" s="5" t="str">
        <f>IFERROR(__xludf.DUMMYFUNCTION("""COMPUTED_VALUE"""),"https://azizstan.net/student_image/24844.jpg")</f>
        <v>https://azizstan.net/student_image/24844.jpg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3" t="str">
        <f>IFERROR(__xludf.DUMMYFUNCTION("""COMPUTED_VALUE"""),"24845")</f>
        <v>24845</v>
      </c>
      <c r="B1018" s="3" t="str">
        <f>IFERROR(__xludf.DUMMYFUNCTION("""COMPUTED_VALUE"""),"ด.ญ.นาดีเราะ หมะสาเม๊าะ")</f>
        <v>ด.ญ.นาดีเราะ หมะสาเม๊าะ</v>
      </c>
      <c r="C1018" s="3" t="str">
        <f>IFERROR(__xludf.DUMMYFUNCTION("""COMPUTED_VALUE"""),"ม.3/2")</f>
        <v>ม.3/2</v>
      </c>
      <c r="D1018" s="3" t="str">
        <f>IFERROR(__xludf.DUMMYFUNCTION("""COMPUTED_VALUE"""),"อก.2/2")</f>
        <v>อก.2/2</v>
      </c>
      <c r="E1018" s="2" t="str">
        <f>IFERROR(__xludf.DUMMYFUNCTION("""COMPUTED_VALUE"""),"หญิง")</f>
        <v>หญิง</v>
      </c>
      <c r="F1018" s="5" t="str">
        <f>IFERROR(__xludf.DUMMYFUNCTION("""COMPUTED_VALUE"""),"https://azizstan.net/student_image/24845.jpg")</f>
        <v>https://azizstan.net/student_image/24845.jpg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3" t="str">
        <f>IFERROR(__xludf.DUMMYFUNCTION("""COMPUTED_VALUE"""),"24848")</f>
        <v>24848</v>
      </c>
      <c r="B1019" s="3" t="str">
        <f>IFERROR(__xludf.DUMMYFUNCTION("""COMPUTED_VALUE"""),"ด.ญ.รอซีกีน มาเละ")</f>
        <v>ด.ญ.รอซีกีน มาเละ</v>
      </c>
      <c r="C1019" s="3" t="str">
        <f>IFERROR(__xludf.DUMMYFUNCTION("""COMPUTED_VALUE"""),"ม.3/2")</f>
        <v>ม.3/2</v>
      </c>
      <c r="D1019" s="3" t="str">
        <f>IFERROR(__xludf.DUMMYFUNCTION("""COMPUTED_VALUE"""),"อก.2/2")</f>
        <v>อก.2/2</v>
      </c>
      <c r="E1019" s="2" t="str">
        <f>IFERROR(__xludf.DUMMYFUNCTION("""COMPUTED_VALUE"""),"หญิง")</f>
        <v>หญิง</v>
      </c>
      <c r="F1019" s="5" t="str">
        <f>IFERROR(__xludf.DUMMYFUNCTION("""COMPUTED_VALUE"""),"https://azizstan.net/student_image/24848.jpg")</f>
        <v>https://azizstan.net/student_image/24848.jpg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3" t="str">
        <f>IFERROR(__xludf.DUMMYFUNCTION("""COMPUTED_VALUE"""),"24860")</f>
        <v>24860</v>
      </c>
      <c r="B1020" s="3" t="str">
        <f>IFERROR(__xludf.DUMMYFUNCTION("""COMPUTED_VALUE"""),"ด.ญ.อาดีลา สาและ")</f>
        <v>ด.ญ.อาดีลา สาและ</v>
      </c>
      <c r="C1020" s="3" t="str">
        <f>IFERROR(__xludf.DUMMYFUNCTION("""COMPUTED_VALUE"""),"ม.3/2")</f>
        <v>ม.3/2</v>
      </c>
      <c r="D1020" s="3" t="str">
        <f>IFERROR(__xludf.DUMMYFUNCTION("""COMPUTED_VALUE"""),"อก.2/2")</f>
        <v>อก.2/2</v>
      </c>
      <c r="E1020" s="2" t="str">
        <f>IFERROR(__xludf.DUMMYFUNCTION("""COMPUTED_VALUE"""),"หญิง")</f>
        <v>หญิง</v>
      </c>
      <c r="F1020" s="5" t="str">
        <f>IFERROR(__xludf.DUMMYFUNCTION("""COMPUTED_VALUE"""),"https://azizstan.net/student_image/24860.jpg")</f>
        <v>https://azizstan.net/student_image/24860.jpg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3" t="str">
        <f>IFERROR(__xludf.DUMMYFUNCTION("""COMPUTED_VALUE"""),"24951")</f>
        <v>24951</v>
      </c>
      <c r="B1021" s="3" t="str">
        <f>IFERROR(__xludf.DUMMYFUNCTION("""COMPUTED_VALUE"""),"ด.ญ.นูฮา บือราเฮง")</f>
        <v>ด.ญ.นูฮา บือราเฮง</v>
      </c>
      <c r="C1021" s="3" t="str">
        <f>IFERROR(__xludf.DUMMYFUNCTION("""COMPUTED_VALUE"""),"ม.3/2")</f>
        <v>ม.3/2</v>
      </c>
      <c r="D1021" s="3" t="str">
        <f>IFERROR(__xludf.DUMMYFUNCTION("""COMPUTED_VALUE"""),"อก.2/2")</f>
        <v>อก.2/2</v>
      </c>
      <c r="E1021" s="2" t="str">
        <f>IFERROR(__xludf.DUMMYFUNCTION("""COMPUTED_VALUE"""),"หญิง")</f>
        <v>หญิง</v>
      </c>
      <c r="F1021" s="5" t="str">
        <f>IFERROR(__xludf.DUMMYFUNCTION("""COMPUTED_VALUE"""),"https://azizstan.net/student_image/24951.jpg")</f>
        <v>https://azizstan.net/student_image/24951.jpg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3" t="str">
        <f>IFERROR(__xludf.DUMMYFUNCTION("""COMPUTED_VALUE"""),"24982")</f>
        <v>24982</v>
      </c>
      <c r="B1022" s="3" t="str">
        <f>IFERROR(__xludf.DUMMYFUNCTION("""COMPUTED_VALUE"""),"ด.ญ.ปวีณ์นุช คงสมคิด")</f>
        <v>ด.ญ.ปวีณ์นุช คงสมคิด</v>
      </c>
      <c r="C1022" s="3" t="str">
        <f>IFERROR(__xludf.DUMMYFUNCTION("""COMPUTED_VALUE"""),"ม.3/2")</f>
        <v>ม.3/2</v>
      </c>
      <c r="D1022" s="3" t="str">
        <f>IFERROR(__xludf.DUMMYFUNCTION("""COMPUTED_VALUE"""),"อก.2/2")</f>
        <v>อก.2/2</v>
      </c>
      <c r="E1022" s="2" t="str">
        <f>IFERROR(__xludf.DUMMYFUNCTION("""COMPUTED_VALUE"""),"หญิง")</f>
        <v>หญิง</v>
      </c>
      <c r="F1022" s="5" t="str">
        <f>IFERROR(__xludf.DUMMYFUNCTION("""COMPUTED_VALUE"""),"https://azizstan.net/student_image/24982.jpg")</f>
        <v>https://azizstan.net/student_image/24982.jpg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3" t="str">
        <f>IFERROR(__xludf.DUMMYFUNCTION("""COMPUTED_VALUE"""),"25001")</f>
        <v>25001</v>
      </c>
      <c r="B1023" s="3" t="str">
        <f>IFERROR(__xludf.DUMMYFUNCTION("""COMPUTED_VALUE"""),"ด.ญ.ฟาตอนะอ์ ศรีน้อย")</f>
        <v>ด.ญ.ฟาตอนะอ์ ศรีน้อย</v>
      </c>
      <c r="C1023" s="3" t="str">
        <f>IFERROR(__xludf.DUMMYFUNCTION("""COMPUTED_VALUE"""),"ม.3/2")</f>
        <v>ม.3/2</v>
      </c>
      <c r="D1023" s="3" t="str">
        <f>IFERROR(__xludf.DUMMYFUNCTION("""COMPUTED_VALUE"""),"อก.2/2")</f>
        <v>อก.2/2</v>
      </c>
      <c r="E1023" s="2" t="str">
        <f>IFERROR(__xludf.DUMMYFUNCTION("""COMPUTED_VALUE"""),"หญิง")</f>
        <v>หญิง</v>
      </c>
      <c r="F1023" s="5" t="str">
        <f>IFERROR(__xludf.DUMMYFUNCTION("""COMPUTED_VALUE"""),"https://azizstan.net/student_image/25001.jpg")</f>
        <v>https://azizstan.net/student_image/25001.jpg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3" t="str">
        <f>IFERROR(__xludf.DUMMYFUNCTION("""COMPUTED_VALUE"""),"25005")</f>
        <v>25005</v>
      </c>
      <c r="B1024" s="3" t="str">
        <f>IFERROR(__xludf.DUMMYFUNCTION("""COMPUTED_VALUE"""),"ด.ญ.อัสวามี โต๊ะสอ")</f>
        <v>ด.ญ.อัสวามี โต๊ะสอ</v>
      </c>
      <c r="C1024" s="3" t="str">
        <f>IFERROR(__xludf.DUMMYFUNCTION("""COMPUTED_VALUE"""),"ม.3/2")</f>
        <v>ม.3/2</v>
      </c>
      <c r="D1024" s="3" t="str">
        <f>IFERROR(__xludf.DUMMYFUNCTION("""COMPUTED_VALUE"""),"อก.2/2")</f>
        <v>อก.2/2</v>
      </c>
      <c r="E1024" s="2" t="str">
        <f>IFERROR(__xludf.DUMMYFUNCTION("""COMPUTED_VALUE"""),"หญิง")</f>
        <v>หญิง</v>
      </c>
      <c r="F1024" s="5" t="str">
        <f>IFERROR(__xludf.DUMMYFUNCTION("""COMPUTED_VALUE"""),"https://azizstan.net/student_image/25005.jpg")</f>
        <v>https://azizstan.net/student_image/25005.jpg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3" t="str">
        <f>IFERROR(__xludf.DUMMYFUNCTION("""COMPUTED_VALUE"""),"25022")</f>
        <v>25022</v>
      </c>
      <c r="B1025" s="3" t="str">
        <f>IFERROR(__xludf.DUMMYFUNCTION("""COMPUTED_VALUE"""),"ด.ญ.สุกัณยา หะยีสาแม")</f>
        <v>ด.ญ.สุกัณยา หะยีสาแม</v>
      </c>
      <c r="C1025" s="3" t="str">
        <f>IFERROR(__xludf.DUMMYFUNCTION("""COMPUTED_VALUE"""),"ม.3/2")</f>
        <v>ม.3/2</v>
      </c>
      <c r="D1025" s="3" t="str">
        <f>IFERROR(__xludf.DUMMYFUNCTION("""COMPUTED_VALUE"""),"อก.2/2")</f>
        <v>อก.2/2</v>
      </c>
      <c r="E1025" s="2" t="str">
        <f>IFERROR(__xludf.DUMMYFUNCTION("""COMPUTED_VALUE"""),"หญิง")</f>
        <v>หญิง</v>
      </c>
      <c r="F1025" s="5" t="str">
        <f>IFERROR(__xludf.DUMMYFUNCTION("""COMPUTED_VALUE"""),"https://azizstan.net/student_image/25022.jpg")</f>
        <v>https://azizstan.net/student_image/25022.jpg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3" t="str">
        <f>IFERROR(__xludf.DUMMYFUNCTION("""COMPUTED_VALUE"""),"25091")</f>
        <v>25091</v>
      </c>
      <c r="B1026" s="3" t="str">
        <f>IFERROR(__xludf.DUMMYFUNCTION("""COMPUTED_VALUE"""),"ด.ญ.ฟาตีฮะฮ โพธิ์ศรี")</f>
        <v>ด.ญ.ฟาตีฮะฮ โพธิ์ศรี</v>
      </c>
      <c r="C1026" s="3" t="str">
        <f>IFERROR(__xludf.DUMMYFUNCTION("""COMPUTED_VALUE"""),"ม.3/2")</f>
        <v>ม.3/2</v>
      </c>
      <c r="D1026" s="3" t="str">
        <f>IFERROR(__xludf.DUMMYFUNCTION("""COMPUTED_VALUE"""),"อก.2/2")</f>
        <v>อก.2/2</v>
      </c>
      <c r="E1026" s="2" t="str">
        <f>IFERROR(__xludf.DUMMYFUNCTION("""COMPUTED_VALUE"""),"หญิง")</f>
        <v>หญิง</v>
      </c>
      <c r="F1026" s="5" t="str">
        <f>IFERROR(__xludf.DUMMYFUNCTION("""COMPUTED_VALUE"""),"https://azizstan.net/student_image/25091.jpg")</f>
        <v>https://azizstan.net/student_image/25091.jpg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3" t="str">
        <f>IFERROR(__xludf.DUMMYFUNCTION("""COMPUTED_VALUE"""),"25123")</f>
        <v>25123</v>
      </c>
      <c r="B1027" s="3" t="str">
        <f>IFERROR(__xludf.DUMMYFUNCTION("""COMPUTED_VALUE"""),"ด.ญ.อัฟดีนา วาแม็ง")</f>
        <v>ด.ญ.อัฟดีนา วาแม็ง</v>
      </c>
      <c r="C1027" s="3" t="str">
        <f>IFERROR(__xludf.DUMMYFUNCTION("""COMPUTED_VALUE"""),"ม.3/2")</f>
        <v>ม.3/2</v>
      </c>
      <c r="D1027" s="3" t="str">
        <f>IFERROR(__xludf.DUMMYFUNCTION("""COMPUTED_VALUE"""),"อก.2/2")</f>
        <v>อก.2/2</v>
      </c>
      <c r="E1027" s="2" t="str">
        <f>IFERROR(__xludf.DUMMYFUNCTION("""COMPUTED_VALUE"""),"หญิง")</f>
        <v>หญิง</v>
      </c>
      <c r="F1027" s="5" t="str">
        <f>IFERROR(__xludf.DUMMYFUNCTION("""COMPUTED_VALUE"""),"https://azizstan.net/student_image/25123.jpg")</f>
        <v>https://azizstan.net/student_image/25123.jpg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3" t="str">
        <f>IFERROR(__xludf.DUMMYFUNCTION("""COMPUTED_VALUE"""),"25145")</f>
        <v>25145</v>
      </c>
      <c r="B1028" s="3" t="str">
        <f>IFERROR(__xludf.DUMMYFUNCTION("""COMPUTED_VALUE"""),"ด.ญ.ซาฟีกา สมสะ")</f>
        <v>ด.ญ.ซาฟีกา สมสะ</v>
      </c>
      <c r="C1028" s="3" t="str">
        <f>IFERROR(__xludf.DUMMYFUNCTION("""COMPUTED_VALUE"""),"ม.3/2")</f>
        <v>ม.3/2</v>
      </c>
      <c r="D1028" s="3" t="str">
        <f>IFERROR(__xludf.DUMMYFUNCTION("""COMPUTED_VALUE"""),"อก.2/2")</f>
        <v>อก.2/2</v>
      </c>
      <c r="E1028" s="2" t="str">
        <f>IFERROR(__xludf.DUMMYFUNCTION("""COMPUTED_VALUE"""),"หญิง")</f>
        <v>หญิง</v>
      </c>
      <c r="F1028" s="5" t="str">
        <f>IFERROR(__xludf.DUMMYFUNCTION("""COMPUTED_VALUE"""),"https://azizstan.net/student_image/25145.jpg")</f>
        <v>https://azizstan.net/student_image/25145.jpg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3" t="str">
        <f>IFERROR(__xludf.DUMMYFUNCTION("""COMPUTED_VALUE"""),"25159")</f>
        <v>25159</v>
      </c>
      <c r="B1029" s="3" t="str">
        <f>IFERROR(__xludf.DUMMYFUNCTION("""COMPUTED_VALUE"""),"ด.ญ.ฮูดา อธิชากุล")</f>
        <v>ด.ญ.ฮูดา อธิชากุล</v>
      </c>
      <c r="C1029" s="3" t="str">
        <f>IFERROR(__xludf.DUMMYFUNCTION("""COMPUTED_VALUE"""),"ม.3/2")</f>
        <v>ม.3/2</v>
      </c>
      <c r="D1029" s="3" t="str">
        <f>IFERROR(__xludf.DUMMYFUNCTION("""COMPUTED_VALUE"""),"อก.2/2")</f>
        <v>อก.2/2</v>
      </c>
      <c r="E1029" s="2" t="str">
        <f>IFERROR(__xludf.DUMMYFUNCTION("""COMPUTED_VALUE"""),"หญิง")</f>
        <v>หญิง</v>
      </c>
      <c r="F1029" s="5" t="str">
        <f>IFERROR(__xludf.DUMMYFUNCTION("""COMPUTED_VALUE"""),"https://azizstan.net/student_image/25159.jpg")</f>
        <v>https://azizstan.net/student_image/25159.jpg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3" t="str">
        <f>IFERROR(__xludf.DUMMYFUNCTION("""COMPUTED_VALUE"""),"25163")</f>
        <v>25163</v>
      </c>
      <c r="B1030" s="3" t="str">
        <f>IFERROR(__xludf.DUMMYFUNCTION("""COMPUTED_VALUE"""),"ด.ญ.นูรีดา ใบโสะดำ")</f>
        <v>ด.ญ.นูรีดา ใบโสะดำ</v>
      </c>
      <c r="C1030" s="3" t="str">
        <f>IFERROR(__xludf.DUMMYFUNCTION("""COMPUTED_VALUE"""),"ม.3/2")</f>
        <v>ม.3/2</v>
      </c>
      <c r="D1030" s="3" t="str">
        <f>IFERROR(__xludf.DUMMYFUNCTION("""COMPUTED_VALUE"""),"อก.2/2")</f>
        <v>อก.2/2</v>
      </c>
      <c r="E1030" s="2" t="str">
        <f>IFERROR(__xludf.DUMMYFUNCTION("""COMPUTED_VALUE"""),"หญิง")</f>
        <v>หญิง</v>
      </c>
      <c r="F1030" s="5" t="str">
        <f>IFERROR(__xludf.DUMMYFUNCTION("""COMPUTED_VALUE"""),"https://azizstan.net/student_image/25163.jpg")</f>
        <v>https://azizstan.net/student_image/25163.jpg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3" t="str">
        <f>IFERROR(__xludf.DUMMYFUNCTION("""COMPUTED_VALUE"""),"25166")</f>
        <v>25166</v>
      </c>
      <c r="B1031" s="3" t="str">
        <f>IFERROR(__xludf.DUMMYFUNCTION("""COMPUTED_VALUE"""),"ด.ญ.ฮาสบูนา เจ๊ะอามะ")</f>
        <v>ด.ญ.ฮาสบูนา เจ๊ะอามะ</v>
      </c>
      <c r="C1031" s="3" t="str">
        <f>IFERROR(__xludf.DUMMYFUNCTION("""COMPUTED_VALUE"""),"ม.3/2")</f>
        <v>ม.3/2</v>
      </c>
      <c r="D1031" s="3" t="str">
        <f>IFERROR(__xludf.DUMMYFUNCTION("""COMPUTED_VALUE"""),"อก.2/2")</f>
        <v>อก.2/2</v>
      </c>
      <c r="E1031" s="2" t="str">
        <f>IFERROR(__xludf.DUMMYFUNCTION("""COMPUTED_VALUE"""),"หญิง")</f>
        <v>หญิง</v>
      </c>
      <c r="F1031" s="5" t="str">
        <f>IFERROR(__xludf.DUMMYFUNCTION("""COMPUTED_VALUE"""),"https://azizstan.net/student_image/25166.jpg")</f>
        <v>https://azizstan.net/student_image/25166.jpg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3" t="str">
        <f>IFERROR(__xludf.DUMMYFUNCTION("""COMPUTED_VALUE"""),"25186")</f>
        <v>25186</v>
      </c>
      <c r="B1032" s="3" t="str">
        <f>IFERROR(__xludf.DUMMYFUNCTION("""COMPUTED_VALUE"""),"ด.ญ.วานิดา สูดี")</f>
        <v>ด.ญ.วานิดา สูดี</v>
      </c>
      <c r="C1032" s="3" t="str">
        <f>IFERROR(__xludf.DUMMYFUNCTION("""COMPUTED_VALUE"""),"ม.3/2")</f>
        <v>ม.3/2</v>
      </c>
      <c r="D1032" s="3" t="str">
        <f>IFERROR(__xludf.DUMMYFUNCTION("""COMPUTED_VALUE"""),"อก.2/2")</f>
        <v>อก.2/2</v>
      </c>
      <c r="E1032" s="2" t="str">
        <f>IFERROR(__xludf.DUMMYFUNCTION("""COMPUTED_VALUE"""),"หญิง")</f>
        <v>หญิง</v>
      </c>
      <c r="F1032" s="5" t="str">
        <f>IFERROR(__xludf.DUMMYFUNCTION("""COMPUTED_VALUE"""),"https://azizstan.net/student_image/25186.jpg")</f>
        <v>https://azizstan.net/student_image/25186.jpg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3" t="str">
        <f>IFERROR(__xludf.DUMMYFUNCTION("""COMPUTED_VALUE"""),"25193")</f>
        <v>25193</v>
      </c>
      <c r="B1033" s="3" t="str">
        <f>IFERROR(__xludf.DUMMYFUNCTION("""COMPUTED_VALUE"""),"ด.ญ.สริญญารัตน์ ตอลอ")</f>
        <v>ด.ญ.สริญญารัตน์ ตอลอ</v>
      </c>
      <c r="C1033" s="3" t="str">
        <f>IFERROR(__xludf.DUMMYFUNCTION("""COMPUTED_VALUE"""),"ม.3/2")</f>
        <v>ม.3/2</v>
      </c>
      <c r="D1033" s="3" t="str">
        <f>IFERROR(__xludf.DUMMYFUNCTION("""COMPUTED_VALUE"""),"อก.2/2")</f>
        <v>อก.2/2</v>
      </c>
      <c r="E1033" s="2" t="str">
        <f>IFERROR(__xludf.DUMMYFUNCTION("""COMPUTED_VALUE"""),"หญิง")</f>
        <v>หญิง</v>
      </c>
      <c r="F1033" s="5" t="str">
        <f>IFERROR(__xludf.DUMMYFUNCTION("""COMPUTED_VALUE"""),"https://azizstan.net/student_image/25193.jpg")</f>
        <v>https://azizstan.net/student_image/25193.jpg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3" t="str">
        <f>IFERROR(__xludf.DUMMYFUNCTION("""COMPUTED_VALUE"""),"25196")</f>
        <v>25196</v>
      </c>
      <c r="B1034" s="3" t="str">
        <f>IFERROR(__xludf.DUMMYFUNCTION("""COMPUTED_VALUE"""),"ด.ญ.โนรียา สุทธิ")</f>
        <v>ด.ญ.โนรียา สุทธิ</v>
      </c>
      <c r="C1034" s="3" t="str">
        <f>IFERROR(__xludf.DUMMYFUNCTION("""COMPUTED_VALUE"""),"ม.3/2")</f>
        <v>ม.3/2</v>
      </c>
      <c r="D1034" s="3" t="str">
        <f>IFERROR(__xludf.DUMMYFUNCTION("""COMPUTED_VALUE"""),"อก.2/2")</f>
        <v>อก.2/2</v>
      </c>
      <c r="E1034" s="2" t="str">
        <f>IFERROR(__xludf.DUMMYFUNCTION("""COMPUTED_VALUE"""),"หญิง")</f>
        <v>หญิง</v>
      </c>
      <c r="F1034" s="5" t="str">
        <f>IFERROR(__xludf.DUMMYFUNCTION("""COMPUTED_VALUE"""),"https://azizstan.net/student_image/25196.jpg")</f>
        <v>https://azizstan.net/student_image/25196.jpg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3" t="str">
        <f>IFERROR(__xludf.DUMMYFUNCTION("""COMPUTED_VALUE"""),"25197")</f>
        <v>25197</v>
      </c>
      <c r="B1035" s="3" t="str">
        <f>IFERROR(__xludf.DUMMYFUNCTION("""COMPUTED_VALUE"""),"ด.ญ.นัจญ์วา ยีอาแว")</f>
        <v>ด.ญ.นัจญ์วา ยีอาแว</v>
      </c>
      <c r="C1035" s="3" t="str">
        <f>IFERROR(__xludf.DUMMYFUNCTION("""COMPUTED_VALUE"""),"ม.3/2")</f>
        <v>ม.3/2</v>
      </c>
      <c r="D1035" s="3" t="str">
        <f>IFERROR(__xludf.DUMMYFUNCTION("""COMPUTED_VALUE"""),"อก.2/2")</f>
        <v>อก.2/2</v>
      </c>
      <c r="E1035" s="2" t="str">
        <f>IFERROR(__xludf.DUMMYFUNCTION("""COMPUTED_VALUE"""),"หญิง")</f>
        <v>หญิง</v>
      </c>
      <c r="F1035" s="5" t="str">
        <f>IFERROR(__xludf.DUMMYFUNCTION("""COMPUTED_VALUE"""),"https://azizstan.net/student_image/25197.jpg")</f>
        <v>https://azizstan.net/student_image/25197.jpg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3" t="str">
        <f>IFERROR(__xludf.DUMMYFUNCTION("""COMPUTED_VALUE"""),"25215")</f>
        <v>25215</v>
      </c>
      <c r="B1036" s="3" t="str">
        <f>IFERROR(__xludf.DUMMYFUNCTION("""COMPUTED_VALUE"""),"ด.ญ.นาซีบะฮ์ ทิ้งเหม")</f>
        <v>ด.ญ.นาซีบะฮ์ ทิ้งเหม</v>
      </c>
      <c r="C1036" s="3" t="str">
        <f>IFERROR(__xludf.DUMMYFUNCTION("""COMPUTED_VALUE"""),"ม.3/2")</f>
        <v>ม.3/2</v>
      </c>
      <c r="D1036" s="3" t="str">
        <f>IFERROR(__xludf.DUMMYFUNCTION("""COMPUTED_VALUE"""),"อก.2/2")</f>
        <v>อก.2/2</v>
      </c>
      <c r="E1036" s="2" t="str">
        <f>IFERROR(__xludf.DUMMYFUNCTION("""COMPUTED_VALUE"""),"หญิง")</f>
        <v>หญิง</v>
      </c>
      <c r="F1036" s="5" t="str">
        <f>IFERROR(__xludf.DUMMYFUNCTION("""COMPUTED_VALUE"""),"https://azizstan.net/student_image/25215.jpg")</f>
        <v>https://azizstan.net/student_image/25215.jpg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3" t="str">
        <f>IFERROR(__xludf.DUMMYFUNCTION("""COMPUTED_VALUE"""),"25238")</f>
        <v>25238</v>
      </c>
      <c r="B1037" s="3" t="str">
        <f>IFERROR(__xludf.DUMMYFUNCTION("""COMPUTED_VALUE"""),"ด.ญ.นิชานันท์ บือราเฮง")</f>
        <v>ด.ญ.นิชานันท์ บือราเฮง</v>
      </c>
      <c r="C1037" s="3" t="str">
        <f>IFERROR(__xludf.DUMMYFUNCTION("""COMPUTED_VALUE"""),"ม.3/2")</f>
        <v>ม.3/2</v>
      </c>
      <c r="D1037" s="3" t="str">
        <f>IFERROR(__xludf.DUMMYFUNCTION("""COMPUTED_VALUE"""),"อก.2/2")</f>
        <v>อก.2/2</v>
      </c>
      <c r="E1037" s="2" t="str">
        <f>IFERROR(__xludf.DUMMYFUNCTION("""COMPUTED_VALUE"""),"หญิง")</f>
        <v>หญิง</v>
      </c>
      <c r="F1037" s="5" t="str">
        <f>IFERROR(__xludf.DUMMYFUNCTION("""COMPUTED_VALUE"""),"https://azizstan.net/student_image/25238.jpg")</f>
        <v>https://azizstan.net/student_image/25238.jpg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3" t="str">
        <f>IFERROR(__xludf.DUMMYFUNCTION("""COMPUTED_VALUE"""),"25249")</f>
        <v>25249</v>
      </c>
      <c r="B1038" s="3" t="str">
        <f>IFERROR(__xludf.DUMMYFUNCTION("""COMPUTED_VALUE"""),"ด.ญ.นาตาชา เงาะ")</f>
        <v>ด.ญ.นาตาชา เงาะ</v>
      </c>
      <c r="C1038" s="3" t="str">
        <f>IFERROR(__xludf.DUMMYFUNCTION("""COMPUTED_VALUE"""),"ม.3/2")</f>
        <v>ม.3/2</v>
      </c>
      <c r="D1038" s="3" t="str">
        <f>IFERROR(__xludf.DUMMYFUNCTION("""COMPUTED_VALUE"""),"อก.2/2")</f>
        <v>อก.2/2</v>
      </c>
      <c r="E1038" s="2" t="str">
        <f>IFERROR(__xludf.DUMMYFUNCTION("""COMPUTED_VALUE"""),"หญิง")</f>
        <v>หญิง</v>
      </c>
      <c r="F1038" s="5" t="str">
        <f>IFERROR(__xludf.DUMMYFUNCTION("""COMPUTED_VALUE"""),"https://azizstan.net/student_image/25249.jpg")</f>
        <v>https://azizstan.net/student_image/25249.jpg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3" t="str">
        <f>IFERROR(__xludf.DUMMYFUNCTION("""COMPUTED_VALUE"""),"25252")</f>
        <v>25252</v>
      </c>
      <c r="B1039" s="3" t="str">
        <f>IFERROR(__xludf.DUMMYFUNCTION("""COMPUTED_VALUE"""),"ด.ญ.นิฮาซานะห์ ยามา")</f>
        <v>ด.ญ.นิฮาซานะห์ ยามา</v>
      </c>
      <c r="C1039" s="3" t="str">
        <f>IFERROR(__xludf.DUMMYFUNCTION("""COMPUTED_VALUE"""),"ม.3/2")</f>
        <v>ม.3/2</v>
      </c>
      <c r="D1039" s="3" t="str">
        <f>IFERROR(__xludf.DUMMYFUNCTION("""COMPUTED_VALUE"""),"อก.2/2")</f>
        <v>อก.2/2</v>
      </c>
      <c r="E1039" s="2" t="str">
        <f>IFERROR(__xludf.DUMMYFUNCTION("""COMPUTED_VALUE"""),"หญิง")</f>
        <v>หญิง</v>
      </c>
      <c r="F1039" s="5" t="str">
        <f>IFERROR(__xludf.DUMMYFUNCTION("""COMPUTED_VALUE"""),"https://azizstan.net/student_image/25252.jpg")</f>
        <v>https://azizstan.net/student_image/25252.jpg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3" t="str">
        <f>IFERROR(__xludf.DUMMYFUNCTION("""COMPUTED_VALUE"""),"25257")</f>
        <v>25257</v>
      </c>
      <c r="B1040" s="3" t="str">
        <f>IFERROR(__xludf.DUMMYFUNCTION("""COMPUTED_VALUE"""),"ด.ญ.ซาฟีรา ตาเยะ")</f>
        <v>ด.ญ.ซาฟีรา ตาเยะ</v>
      </c>
      <c r="C1040" s="3" t="str">
        <f>IFERROR(__xludf.DUMMYFUNCTION("""COMPUTED_VALUE"""),"ม.3/2")</f>
        <v>ม.3/2</v>
      </c>
      <c r="D1040" s="3" t="str">
        <f>IFERROR(__xludf.DUMMYFUNCTION("""COMPUTED_VALUE"""),"อก.2/2")</f>
        <v>อก.2/2</v>
      </c>
      <c r="E1040" s="2" t="str">
        <f>IFERROR(__xludf.DUMMYFUNCTION("""COMPUTED_VALUE"""),"หญิง")</f>
        <v>หญิง</v>
      </c>
      <c r="F1040" s="5" t="str">
        <f>IFERROR(__xludf.DUMMYFUNCTION("""COMPUTED_VALUE"""),"https://azizstan.net/student_image/25257.jpg")</f>
        <v>https://azizstan.net/student_image/25257.jpg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3" t="str">
        <f>IFERROR(__xludf.DUMMYFUNCTION("""COMPUTED_VALUE"""),"25322")</f>
        <v>25322</v>
      </c>
      <c r="B1041" s="3" t="str">
        <f>IFERROR(__xludf.DUMMYFUNCTION("""COMPUTED_VALUE"""),"ด.ญ.สุวรรณนัดดา มะเส็น")</f>
        <v>ด.ญ.สุวรรณนัดดา มะเส็น</v>
      </c>
      <c r="C1041" s="3" t="str">
        <f>IFERROR(__xludf.DUMMYFUNCTION("""COMPUTED_VALUE"""),"ม.3/2")</f>
        <v>ม.3/2</v>
      </c>
      <c r="D1041" s="3" t="str">
        <f>IFERROR(__xludf.DUMMYFUNCTION("""COMPUTED_VALUE"""),"อก.2/2")</f>
        <v>อก.2/2</v>
      </c>
      <c r="E1041" s="2" t="str">
        <f>IFERROR(__xludf.DUMMYFUNCTION("""COMPUTED_VALUE"""),"หญิง")</f>
        <v>หญิง</v>
      </c>
      <c r="F1041" s="5" t="str">
        <f>IFERROR(__xludf.DUMMYFUNCTION("""COMPUTED_VALUE"""),"https://azizstan.net/student_image/25322.jpg")</f>
        <v>https://azizstan.net/student_image/25322.jpg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3" t="str">
        <f>IFERROR(__xludf.DUMMYFUNCTION("""COMPUTED_VALUE"""),"25330")</f>
        <v>25330</v>
      </c>
      <c r="B1042" s="3" t="str">
        <f>IFERROR(__xludf.DUMMYFUNCTION("""COMPUTED_VALUE"""),"ด.ญ.ต่วนสุไวดา แวมะ")</f>
        <v>ด.ญ.ต่วนสุไวดา แวมะ</v>
      </c>
      <c r="C1042" s="3" t="str">
        <f>IFERROR(__xludf.DUMMYFUNCTION("""COMPUTED_VALUE"""),"ม.3/2")</f>
        <v>ม.3/2</v>
      </c>
      <c r="D1042" s="3" t="str">
        <f>IFERROR(__xludf.DUMMYFUNCTION("""COMPUTED_VALUE"""),"อก.2/2")</f>
        <v>อก.2/2</v>
      </c>
      <c r="E1042" s="2" t="str">
        <f>IFERROR(__xludf.DUMMYFUNCTION("""COMPUTED_VALUE"""),"หญิง")</f>
        <v>หญิง</v>
      </c>
      <c r="F1042" s="5" t="str">
        <f>IFERROR(__xludf.DUMMYFUNCTION("""COMPUTED_VALUE"""),"https://azizstan.net/student_image/25330.jpg")</f>
        <v>https://azizstan.net/student_image/25330.jpg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3" t="str">
        <f>IFERROR(__xludf.DUMMYFUNCTION("""COMPUTED_VALUE"""),"25349")</f>
        <v>25349</v>
      </c>
      <c r="B1043" s="3" t="str">
        <f>IFERROR(__xludf.DUMMYFUNCTION("""COMPUTED_VALUE"""),"ด.ญ.มารีน่า มามะ")</f>
        <v>ด.ญ.มารีน่า มามะ</v>
      </c>
      <c r="C1043" s="3" t="str">
        <f>IFERROR(__xludf.DUMMYFUNCTION("""COMPUTED_VALUE"""),"ม.3/2")</f>
        <v>ม.3/2</v>
      </c>
      <c r="D1043" s="3" t="str">
        <f>IFERROR(__xludf.DUMMYFUNCTION("""COMPUTED_VALUE"""),"อก.2/2")</f>
        <v>อก.2/2</v>
      </c>
      <c r="E1043" s="2" t="str">
        <f>IFERROR(__xludf.DUMMYFUNCTION("""COMPUTED_VALUE"""),"หญิง")</f>
        <v>หญิง</v>
      </c>
      <c r="F1043" s="5" t="str">
        <f>IFERROR(__xludf.DUMMYFUNCTION("""COMPUTED_VALUE"""),"https://azizstan.net/student_image/25349.jpg")</f>
        <v>https://azizstan.net/student_image/25349.jpg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3" t="str">
        <f>IFERROR(__xludf.DUMMYFUNCTION("""COMPUTED_VALUE"""),"24608")</f>
        <v>24608</v>
      </c>
      <c r="B1044" s="3" t="str">
        <f>IFERROR(__xludf.DUMMYFUNCTION("""COMPUTED_VALUE"""),"ด.ช.ตัรมีซี สะแลแม")</f>
        <v>ด.ช.ตัรมีซี สะแลแม</v>
      </c>
      <c r="C1044" s="3" t="str">
        <f>IFERROR(__xludf.DUMMYFUNCTION("""COMPUTED_VALUE"""),"ม.3/3")</f>
        <v>ม.3/3</v>
      </c>
      <c r="D1044" s="3" t="str">
        <f>IFERROR(__xludf.DUMMYFUNCTION("""COMPUTED_VALUE"""),"อก.2/3")</f>
        <v>อก.2/3</v>
      </c>
      <c r="E1044" s="2" t="str">
        <f>IFERROR(__xludf.DUMMYFUNCTION("""COMPUTED_VALUE"""),"ชาย")</f>
        <v>ชาย</v>
      </c>
      <c r="F1044" s="5" t="str">
        <f>IFERROR(__xludf.DUMMYFUNCTION("""COMPUTED_VALUE"""),"https://azizstan.net/student_image/24608.jpg")</f>
        <v>https://azizstan.net/student_image/24608.jpg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3" t="str">
        <f>IFERROR(__xludf.DUMMYFUNCTION("""COMPUTED_VALUE"""),"24615")</f>
        <v>24615</v>
      </c>
      <c r="B1045" s="3" t="str">
        <f>IFERROR(__xludf.DUMMYFUNCTION("""COMPUTED_VALUE"""),"ด.ช.บัดวี ยูโซ๊ะ")</f>
        <v>ด.ช.บัดวี ยูโซ๊ะ</v>
      </c>
      <c r="C1045" s="3" t="str">
        <f>IFERROR(__xludf.DUMMYFUNCTION("""COMPUTED_VALUE"""),"ม.3/3")</f>
        <v>ม.3/3</v>
      </c>
      <c r="D1045" s="3" t="str">
        <f>IFERROR(__xludf.DUMMYFUNCTION("""COMPUTED_VALUE"""),"อก.2/3")</f>
        <v>อก.2/3</v>
      </c>
      <c r="E1045" s="2" t="str">
        <f>IFERROR(__xludf.DUMMYFUNCTION("""COMPUTED_VALUE"""),"ชาย")</f>
        <v>ชาย</v>
      </c>
      <c r="F1045" s="5" t="str">
        <f>IFERROR(__xludf.DUMMYFUNCTION("""COMPUTED_VALUE"""),"https://azizstan.net/student_image/24615.jpg")</f>
        <v>https://azizstan.net/student_image/24615.jpg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3" t="str">
        <f>IFERROR(__xludf.DUMMYFUNCTION("""COMPUTED_VALUE"""),"24665")</f>
        <v>24665</v>
      </c>
      <c r="B1046" s="3" t="str">
        <f>IFERROR(__xludf.DUMMYFUNCTION("""COMPUTED_VALUE"""),"ด.ช.ตามีซี่ แวกะจิ")</f>
        <v>ด.ช.ตามีซี่ แวกะจิ</v>
      </c>
      <c r="C1046" s="3" t="str">
        <f>IFERROR(__xludf.DUMMYFUNCTION("""COMPUTED_VALUE"""),"ม.3/3")</f>
        <v>ม.3/3</v>
      </c>
      <c r="D1046" s="3" t="str">
        <f>IFERROR(__xludf.DUMMYFUNCTION("""COMPUTED_VALUE"""),"อก.3/19")</f>
        <v>อก.3/19</v>
      </c>
      <c r="E1046" s="2" t="str">
        <f>IFERROR(__xludf.DUMMYFUNCTION("""COMPUTED_VALUE"""),"ชาย")</f>
        <v>ชาย</v>
      </c>
      <c r="F1046" s="5" t="str">
        <f>IFERROR(__xludf.DUMMYFUNCTION("""COMPUTED_VALUE"""),"https://azizstan.net/student_image/24665.jpg")</f>
        <v>https://azizstan.net/student_image/24665.jpg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3" t="str">
        <f>IFERROR(__xludf.DUMMYFUNCTION("""COMPUTED_VALUE"""),"24666")</f>
        <v>24666</v>
      </c>
      <c r="B1047" s="3" t="str">
        <f>IFERROR(__xludf.DUMMYFUNCTION("""COMPUTED_VALUE"""),"ด.ช.นิฟะฮฺมี อาแว")</f>
        <v>ด.ช.นิฟะฮฺมี อาแว</v>
      </c>
      <c r="C1047" s="3" t="str">
        <f>IFERROR(__xludf.DUMMYFUNCTION("""COMPUTED_VALUE"""),"ม.3/3")</f>
        <v>ม.3/3</v>
      </c>
      <c r="D1047" s="3" t="str">
        <f>IFERROR(__xludf.DUMMYFUNCTION("""COMPUTED_VALUE"""),"อก.3/19")</f>
        <v>อก.3/19</v>
      </c>
      <c r="E1047" s="2" t="str">
        <f>IFERROR(__xludf.DUMMYFUNCTION("""COMPUTED_VALUE"""),"ชาย")</f>
        <v>ชาย</v>
      </c>
      <c r="F1047" s="5" t="str">
        <f>IFERROR(__xludf.DUMMYFUNCTION("""COMPUTED_VALUE"""),"https://azizstan.net/student_image/24666.jpg")</f>
        <v>https://azizstan.net/student_image/24666.jpg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3" t="str">
        <f>IFERROR(__xludf.DUMMYFUNCTION("""COMPUTED_VALUE"""),"24687")</f>
        <v>24687</v>
      </c>
      <c r="B1048" s="3" t="str">
        <f>IFERROR(__xludf.DUMMYFUNCTION("""COMPUTED_VALUE"""),"ด.ช.อัฟนันร์ เกาะแกะ")</f>
        <v>ด.ช.อัฟนันร์ เกาะแกะ</v>
      </c>
      <c r="C1048" s="3" t="str">
        <f>IFERROR(__xludf.DUMMYFUNCTION("""COMPUTED_VALUE"""),"ม.3/3")</f>
        <v>ม.3/3</v>
      </c>
      <c r="D1048" s="3" t="str">
        <f>IFERROR(__xludf.DUMMYFUNCTION("""COMPUTED_VALUE"""),"อก.3/19")</f>
        <v>อก.3/19</v>
      </c>
      <c r="E1048" s="2" t="str">
        <f>IFERROR(__xludf.DUMMYFUNCTION("""COMPUTED_VALUE"""),"ชาย")</f>
        <v>ชาย</v>
      </c>
      <c r="F1048" s="5" t="str">
        <f>IFERROR(__xludf.DUMMYFUNCTION("""COMPUTED_VALUE"""),"https://azizstan.net/student_image/24687.jpg")</f>
        <v>https://azizstan.net/student_image/24687.jpg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3" t="str">
        <f>IFERROR(__xludf.DUMMYFUNCTION("""COMPUTED_VALUE"""),"24700")</f>
        <v>24700</v>
      </c>
      <c r="B1049" s="3" t="str">
        <f>IFERROR(__xludf.DUMMYFUNCTION("""COMPUTED_VALUE"""),"ด.ช.กูอิลยัส หนิจิ")</f>
        <v>ด.ช.กูอิลยัส หนิจิ</v>
      </c>
      <c r="C1049" s="3" t="str">
        <f>IFERROR(__xludf.DUMMYFUNCTION("""COMPUTED_VALUE"""),"ม.3/3")</f>
        <v>ม.3/3</v>
      </c>
      <c r="D1049" s="3" t="str">
        <f>IFERROR(__xludf.DUMMYFUNCTION("""COMPUTED_VALUE"""),"อก.2/3")</f>
        <v>อก.2/3</v>
      </c>
      <c r="E1049" s="2" t="str">
        <f>IFERROR(__xludf.DUMMYFUNCTION("""COMPUTED_VALUE"""),"ชาย")</f>
        <v>ชาย</v>
      </c>
      <c r="F1049" s="5" t="str">
        <f>IFERROR(__xludf.DUMMYFUNCTION("""COMPUTED_VALUE"""),"https://azizstan.net/student_image/24700.jpg")</f>
        <v>https://azizstan.net/student_image/24700.jpg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3" t="str">
        <f>IFERROR(__xludf.DUMMYFUNCTION("""COMPUTED_VALUE"""),"24768")</f>
        <v>24768</v>
      </c>
      <c r="B1050" s="3" t="str">
        <f>IFERROR(__xludf.DUMMYFUNCTION("""COMPUTED_VALUE"""),"ด.ช.หนินายูวา หลงหนิ")</f>
        <v>ด.ช.หนินายูวา หลงหนิ</v>
      </c>
      <c r="C1050" s="3" t="str">
        <f>IFERROR(__xludf.DUMMYFUNCTION("""COMPUTED_VALUE"""),"ม.3/3")</f>
        <v>ม.3/3</v>
      </c>
      <c r="D1050" s="3" t="str">
        <f>IFERROR(__xludf.DUMMYFUNCTION("""COMPUTED_VALUE"""),"อก.2/3")</f>
        <v>อก.2/3</v>
      </c>
      <c r="E1050" s="2" t="str">
        <f>IFERROR(__xludf.DUMMYFUNCTION("""COMPUTED_VALUE"""),"ชาย")</f>
        <v>ชาย</v>
      </c>
      <c r="F1050" s="5" t="str">
        <f>IFERROR(__xludf.DUMMYFUNCTION("""COMPUTED_VALUE"""),"https://azizstan.net/student_image/24768.jpg")</f>
        <v>https://azizstan.net/student_image/24768.jpg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3" t="str">
        <f>IFERROR(__xludf.DUMMYFUNCTION("""COMPUTED_VALUE"""),"24818")</f>
        <v>24818</v>
      </c>
      <c r="B1051" s="3" t="str">
        <f>IFERROR(__xludf.DUMMYFUNCTION("""COMPUTED_VALUE"""),"ด.ช.ซายดี อูสมัน")</f>
        <v>ด.ช.ซายดี อูสมัน</v>
      </c>
      <c r="C1051" s="3" t="str">
        <f>IFERROR(__xludf.DUMMYFUNCTION("""COMPUTED_VALUE"""),"ม.3/3")</f>
        <v>ม.3/3</v>
      </c>
      <c r="D1051" s="3" t="str">
        <f>IFERROR(__xludf.DUMMYFUNCTION("""COMPUTED_VALUE"""),"อก.3/19")</f>
        <v>อก.3/19</v>
      </c>
      <c r="E1051" s="2" t="str">
        <f>IFERROR(__xludf.DUMMYFUNCTION("""COMPUTED_VALUE"""),"ชาย")</f>
        <v>ชาย</v>
      </c>
      <c r="F1051" s="5" t="str">
        <f>IFERROR(__xludf.DUMMYFUNCTION("""COMPUTED_VALUE"""),"https://azizstan.net/student_image/24818.jpg")</f>
        <v>https://azizstan.net/student_image/24818.jpg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3" t="str">
        <f>IFERROR(__xludf.DUMMYFUNCTION("""COMPUTED_VALUE"""),"24834")</f>
        <v>24834</v>
      </c>
      <c r="B1052" s="3" t="str">
        <f>IFERROR(__xludf.DUMMYFUNCTION("""COMPUTED_VALUE"""),"ด.ช.วันซอฟฟาร ตูหยง")</f>
        <v>ด.ช.วันซอฟฟาร ตูหยง</v>
      </c>
      <c r="C1052" s="3" t="str">
        <f>IFERROR(__xludf.DUMMYFUNCTION("""COMPUTED_VALUE"""),"ม.3/3")</f>
        <v>ม.3/3</v>
      </c>
      <c r="D1052" s="3" t="str">
        <f>IFERROR(__xludf.DUMMYFUNCTION("""COMPUTED_VALUE"""),"อก.3/19")</f>
        <v>อก.3/19</v>
      </c>
      <c r="E1052" s="2" t="str">
        <f>IFERROR(__xludf.DUMMYFUNCTION("""COMPUTED_VALUE"""),"ชาย")</f>
        <v>ชาย</v>
      </c>
      <c r="F1052" s="5" t="str">
        <f>IFERROR(__xludf.DUMMYFUNCTION("""COMPUTED_VALUE"""),"https://azizstan.net/student_image/24834.jpg")</f>
        <v>https://azizstan.net/student_image/24834.jpg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3" t="str">
        <f>IFERROR(__xludf.DUMMYFUNCTION("""COMPUTED_VALUE"""),"24835")</f>
        <v>24835</v>
      </c>
      <c r="B1053" s="3" t="str">
        <f>IFERROR(__xludf.DUMMYFUNCTION("""COMPUTED_VALUE"""),"ด.ช.นิอิลซาน ลาเต๊ะ")</f>
        <v>ด.ช.นิอิลซาน ลาเต๊ะ</v>
      </c>
      <c r="C1053" s="3" t="str">
        <f>IFERROR(__xludf.DUMMYFUNCTION("""COMPUTED_VALUE"""),"ม.3/3")</f>
        <v>ม.3/3</v>
      </c>
      <c r="D1053" s="3" t="str">
        <f>IFERROR(__xludf.DUMMYFUNCTION("""COMPUTED_VALUE"""),"อก.3/19")</f>
        <v>อก.3/19</v>
      </c>
      <c r="E1053" s="2" t="str">
        <f>IFERROR(__xludf.DUMMYFUNCTION("""COMPUTED_VALUE"""),"ชาย")</f>
        <v>ชาย</v>
      </c>
      <c r="F1053" s="5" t="str">
        <f>IFERROR(__xludf.DUMMYFUNCTION("""COMPUTED_VALUE"""),"https://azizstan.net/student_image/24835.jpg")</f>
        <v>https://azizstan.net/student_image/24835.jpg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3" t="str">
        <f>IFERROR(__xludf.DUMMYFUNCTION("""COMPUTED_VALUE"""),"24866")</f>
        <v>24866</v>
      </c>
      <c r="B1054" s="3" t="str">
        <f>IFERROR(__xludf.DUMMYFUNCTION("""COMPUTED_VALUE"""),"ด.ช.ชามิล ตาเยะ")</f>
        <v>ด.ช.ชามิล ตาเยะ</v>
      </c>
      <c r="C1054" s="3" t="str">
        <f>IFERROR(__xludf.DUMMYFUNCTION("""COMPUTED_VALUE"""),"ม.3/3")</f>
        <v>ม.3/3</v>
      </c>
      <c r="D1054" s="3" t="str">
        <f>IFERROR(__xludf.DUMMYFUNCTION("""COMPUTED_VALUE"""),"อก.3/19")</f>
        <v>อก.3/19</v>
      </c>
      <c r="E1054" s="2" t="str">
        <f>IFERROR(__xludf.DUMMYFUNCTION("""COMPUTED_VALUE"""),"ชาย")</f>
        <v>ชาย</v>
      </c>
      <c r="F1054" s="5" t="str">
        <f>IFERROR(__xludf.DUMMYFUNCTION("""COMPUTED_VALUE"""),"https://azizstan.net/student_image/24866.jpg")</f>
        <v>https://azizstan.net/student_image/24866.jpg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3" t="str">
        <f>IFERROR(__xludf.DUMMYFUNCTION("""COMPUTED_VALUE"""),"24892")</f>
        <v>24892</v>
      </c>
      <c r="B1055" s="3" t="str">
        <f>IFERROR(__xludf.DUMMYFUNCTION("""COMPUTED_VALUE"""),"ด.ช.อาลีฟ หะยีมิง")</f>
        <v>ด.ช.อาลีฟ หะยีมิง</v>
      </c>
      <c r="C1055" s="3" t="str">
        <f>IFERROR(__xludf.DUMMYFUNCTION("""COMPUTED_VALUE"""),"ม.3/3")</f>
        <v>ม.3/3</v>
      </c>
      <c r="D1055" s="3" t="str">
        <f>IFERROR(__xludf.DUMMYFUNCTION("""COMPUTED_VALUE"""),"อก.2/3")</f>
        <v>อก.2/3</v>
      </c>
      <c r="E1055" s="2" t="str">
        <f>IFERROR(__xludf.DUMMYFUNCTION("""COMPUTED_VALUE"""),"ชาย")</f>
        <v>ชาย</v>
      </c>
      <c r="F1055" s="5" t="str">
        <f>IFERROR(__xludf.DUMMYFUNCTION("""COMPUTED_VALUE"""),"https://azizstan.net/student_image/24892.jpg")</f>
        <v>https://azizstan.net/student_image/24892.jpg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3" t="str">
        <f>IFERROR(__xludf.DUMMYFUNCTION("""COMPUTED_VALUE"""),"24908")</f>
        <v>24908</v>
      </c>
      <c r="B1056" s="3" t="str">
        <f>IFERROR(__xludf.DUMMYFUNCTION("""COMPUTED_VALUE"""),"ด.ช.ซูฟียูดีน ยงหมะเกะ")</f>
        <v>ด.ช.ซูฟียูดีน ยงหมะเกะ</v>
      </c>
      <c r="C1056" s="3" t="str">
        <f>IFERROR(__xludf.DUMMYFUNCTION("""COMPUTED_VALUE"""),"ม.3/3")</f>
        <v>ม.3/3</v>
      </c>
      <c r="D1056" s="3" t="str">
        <f>IFERROR(__xludf.DUMMYFUNCTION("""COMPUTED_VALUE"""),"อก.3/19")</f>
        <v>อก.3/19</v>
      </c>
      <c r="E1056" s="2" t="str">
        <f>IFERROR(__xludf.DUMMYFUNCTION("""COMPUTED_VALUE"""),"ชาย")</f>
        <v>ชาย</v>
      </c>
      <c r="F1056" s="5" t="str">
        <f>IFERROR(__xludf.DUMMYFUNCTION("""COMPUTED_VALUE"""),"https://azizstan.net/student_image/24908.jpg")</f>
        <v>https://azizstan.net/student_image/24908.jpg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3" t="str">
        <f>IFERROR(__xludf.DUMMYFUNCTION("""COMPUTED_VALUE"""),"24912")</f>
        <v>24912</v>
      </c>
      <c r="B1057" s="3" t="str">
        <f>IFERROR(__xludf.DUMMYFUNCTION("""COMPUTED_VALUE"""),"ด.ช.นิฮานาฟี หลงสะ")</f>
        <v>ด.ช.นิฮานาฟี หลงสะ</v>
      </c>
      <c r="C1057" s="3" t="str">
        <f>IFERROR(__xludf.DUMMYFUNCTION("""COMPUTED_VALUE"""),"ม.3/3")</f>
        <v>ม.3/3</v>
      </c>
      <c r="D1057" s="3" t="str">
        <f>IFERROR(__xludf.DUMMYFUNCTION("""COMPUTED_VALUE"""),"อก.2/3")</f>
        <v>อก.2/3</v>
      </c>
      <c r="E1057" s="2" t="str">
        <f>IFERROR(__xludf.DUMMYFUNCTION("""COMPUTED_VALUE"""),"ชาย")</f>
        <v>ชาย</v>
      </c>
      <c r="F1057" s="5" t="str">
        <f>IFERROR(__xludf.DUMMYFUNCTION("""COMPUTED_VALUE"""),"https://azizstan.net/student_image/24912.jpg")</f>
        <v>https://azizstan.net/student_image/24912.jpg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3" t="str">
        <f>IFERROR(__xludf.DUMMYFUNCTION("""COMPUTED_VALUE"""),"24916")</f>
        <v>24916</v>
      </c>
      <c r="B1058" s="3" t="str">
        <f>IFERROR(__xludf.DUMMYFUNCTION("""COMPUTED_VALUE"""),"ด.ช.ฟัยรุซ มะ")</f>
        <v>ด.ช.ฟัยรุซ มะ</v>
      </c>
      <c r="C1058" s="3" t="str">
        <f>IFERROR(__xludf.DUMMYFUNCTION("""COMPUTED_VALUE"""),"ม.3/3")</f>
        <v>ม.3/3</v>
      </c>
      <c r="D1058" s="3" t="str">
        <f>IFERROR(__xludf.DUMMYFUNCTION("""COMPUTED_VALUE"""),"อก.3/19")</f>
        <v>อก.3/19</v>
      </c>
      <c r="E1058" s="2" t="str">
        <f>IFERROR(__xludf.DUMMYFUNCTION("""COMPUTED_VALUE"""),"ชาย")</f>
        <v>ชาย</v>
      </c>
      <c r="F1058" s="5" t="str">
        <f>IFERROR(__xludf.DUMMYFUNCTION("""COMPUTED_VALUE"""),"https://azizstan.net/student_image/24916.jpg")</f>
        <v>https://azizstan.net/student_image/24916.jpg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3" t="str">
        <f>IFERROR(__xludf.DUMMYFUNCTION("""COMPUTED_VALUE"""),"24979")</f>
        <v>24979</v>
      </c>
      <c r="B1059" s="3" t="str">
        <f>IFERROR(__xludf.DUMMYFUNCTION("""COMPUTED_VALUE"""),"ด.ช.บูรพา น้อยดี")</f>
        <v>ด.ช.บูรพา น้อยดี</v>
      </c>
      <c r="C1059" s="3" t="str">
        <f>IFERROR(__xludf.DUMMYFUNCTION("""COMPUTED_VALUE"""),"ม.3/3")</f>
        <v>ม.3/3</v>
      </c>
      <c r="D1059" s="3" t="str">
        <f>IFERROR(__xludf.DUMMYFUNCTION("""COMPUTED_VALUE"""),"อก.2/3")</f>
        <v>อก.2/3</v>
      </c>
      <c r="E1059" s="2" t="str">
        <f>IFERROR(__xludf.DUMMYFUNCTION("""COMPUTED_VALUE"""),"ชาย")</f>
        <v>ชาย</v>
      </c>
      <c r="F1059" s="5" t="str">
        <f>IFERROR(__xludf.DUMMYFUNCTION("""COMPUTED_VALUE"""),"https://azizstan.net/student_image/24979.jpg")</f>
        <v>https://azizstan.net/student_image/24979.jpg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3" t="str">
        <f>IFERROR(__xludf.DUMMYFUNCTION("""COMPUTED_VALUE"""),"24992")</f>
        <v>24992</v>
      </c>
      <c r="B1060" s="3" t="str">
        <f>IFERROR(__xludf.DUMMYFUNCTION("""COMPUTED_VALUE"""),"ด.ช.อับดุลเลาะ สะมะแอ")</f>
        <v>ด.ช.อับดุลเลาะ สะมะแอ</v>
      </c>
      <c r="C1060" s="3" t="str">
        <f>IFERROR(__xludf.DUMMYFUNCTION("""COMPUTED_VALUE"""),"ม.3/3")</f>
        <v>ม.3/3</v>
      </c>
      <c r="D1060" s="3" t="str">
        <f>IFERROR(__xludf.DUMMYFUNCTION("""COMPUTED_VALUE"""),"อก.2/3")</f>
        <v>อก.2/3</v>
      </c>
      <c r="E1060" s="2" t="str">
        <f>IFERROR(__xludf.DUMMYFUNCTION("""COMPUTED_VALUE"""),"ชาย")</f>
        <v>ชาย</v>
      </c>
      <c r="F1060" s="5" t="str">
        <f>IFERROR(__xludf.DUMMYFUNCTION("""COMPUTED_VALUE"""),"https://azizstan.net/student_image/24992.jpg")</f>
        <v>https://azizstan.net/student_image/24992.jpg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3" t="str">
        <f>IFERROR(__xludf.DUMMYFUNCTION("""COMPUTED_VALUE"""),"24993")</f>
        <v>24993</v>
      </c>
      <c r="B1061" s="3" t="str">
        <f>IFERROR(__xludf.DUMMYFUNCTION("""COMPUTED_VALUE"""),"ด.ช.มูหมัดยูกี สาเม๊าะ")</f>
        <v>ด.ช.มูหมัดยูกี สาเม๊าะ</v>
      </c>
      <c r="C1061" s="3" t="str">
        <f>IFERROR(__xludf.DUMMYFUNCTION("""COMPUTED_VALUE"""),"ม.3/3")</f>
        <v>ม.3/3</v>
      </c>
      <c r="D1061" s="3" t="str">
        <f>IFERROR(__xludf.DUMMYFUNCTION("""COMPUTED_VALUE"""),"อก.2/3")</f>
        <v>อก.2/3</v>
      </c>
      <c r="E1061" s="2" t="str">
        <f>IFERROR(__xludf.DUMMYFUNCTION("""COMPUTED_VALUE"""),"ชาย")</f>
        <v>ชาย</v>
      </c>
      <c r="F1061" s="5" t="str">
        <f>IFERROR(__xludf.DUMMYFUNCTION("""COMPUTED_VALUE"""),"https://azizstan.net/student_image/24993.jpg")</f>
        <v>https://azizstan.net/student_image/24993.jpg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3" t="str">
        <f>IFERROR(__xludf.DUMMYFUNCTION("""COMPUTED_VALUE"""),"24996")</f>
        <v>24996</v>
      </c>
      <c r="B1062" s="3" t="str">
        <f>IFERROR(__xludf.DUMMYFUNCTION("""COMPUTED_VALUE"""),"ด.ช.อารีฟ ยีตาเห")</f>
        <v>ด.ช.อารีฟ ยีตาเห</v>
      </c>
      <c r="C1062" s="3" t="str">
        <f>IFERROR(__xludf.DUMMYFUNCTION("""COMPUTED_VALUE"""),"ม.3/3")</f>
        <v>ม.3/3</v>
      </c>
      <c r="D1062" s="3" t="str">
        <f>IFERROR(__xludf.DUMMYFUNCTION("""COMPUTED_VALUE"""),"อก.3/19")</f>
        <v>อก.3/19</v>
      </c>
      <c r="E1062" s="2" t="str">
        <f>IFERROR(__xludf.DUMMYFUNCTION("""COMPUTED_VALUE"""),"ชาย")</f>
        <v>ชาย</v>
      </c>
      <c r="F1062" s="5" t="str">
        <f>IFERROR(__xludf.DUMMYFUNCTION("""COMPUTED_VALUE"""),"https://azizstan.net/student_image/24996.jpg")</f>
        <v>https://azizstan.net/student_image/24996.jpg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3" t="str">
        <f>IFERROR(__xludf.DUMMYFUNCTION("""COMPUTED_VALUE"""),"25004")</f>
        <v>25004</v>
      </c>
      <c r="B1063" s="3" t="str">
        <f>IFERROR(__xludf.DUMMYFUNCTION("""COMPUTED_VALUE"""),"ด.ช.ฮิซมาน หีมใบ")</f>
        <v>ด.ช.ฮิซมาน หีมใบ</v>
      </c>
      <c r="C1063" s="3" t="str">
        <f>IFERROR(__xludf.DUMMYFUNCTION("""COMPUTED_VALUE"""),"ม.3/3")</f>
        <v>ม.3/3</v>
      </c>
      <c r="D1063" s="3" t="str">
        <f>IFERROR(__xludf.DUMMYFUNCTION("""COMPUTED_VALUE"""),"อก.2/3")</f>
        <v>อก.2/3</v>
      </c>
      <c r="E1063" s="2" t="str">
        <f>IFERROR(__xludf.DUMMYFUNCTION("""COMPUTED_VALUE"""),"ชาย")</f>
        <v>ชาย</v>
      </c>
      <c r="F1063" s="5" t="str">
        <f>IFERROR(__xludf.DUMMYFUNCTION("""COMPUTED_VALUE"""),"https://azizstan.net/student_image/25004.jpg")</f>
        <v>https://azizstan.net/student_image/25004.jpg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3" t="str">
        <f>IFERROR(__xludf.DUMMYFUNCTION("""COMPUTED_VALUE"""),"25014")</f>
        <v>25014</v>
      </c>
      <c r="B1064" s="3" t="str">
        <f>IFERROR(__xludf.DUMMYFUNCTION("""COMPUTED_VALUE"""),"ด.ช.อัฟดอล บาเหม")</f>
        <v>ด.ช.อัฟดอล บาเหม</v>
      </c>
      <c r="C1064" s="3" t="str">
        <f>IFERROR(__xludf.DUMMYFUNCTION("""COMPUTED_VALUE"""),"ม.3/3")</f>
        <v>ม.3/3</v>
      </c>
      <c r="D1064" s="3" t="str">
        <f>IFERROR(__xludf.DUMMYFUNCTION("""COMPUTED_VALUE"""),"อก.2/3")</f>
        <v>อก.2/3</v>
      </c>
      <c r="E1064" s="2" t="str">
        <f>IFERROR(__xludf.DUMMYFUNCTION("""COMPUTED_VALUE"""),"ชาย")</f>
        <v>ชาย</v>
      </c>
      <c r="F1064" s="5" t="str">
        <f>IFERROR(__xludf.DUMMYFUNCTION("""COMPUTED_VALUE"""),"https://azizstan.net/student_image/25014.jpg")</f>
        <v>https://azizstan.net/student_image/25014.jpg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3" t="str">
        <f>IFERROR(__xludf.DUMMYFUNCTION("""COMPUTED_VALUE"""),"25053")</f>
        <v>25053</v>
      </c>
      <c r="B1065" s="3" t="str">
        <f>IFERROR(__xludf.DUMMYFUNCTION("""COMPUTED_VALUE"""),"ด.ช.นัสรู อูมา")</f>
        <v>ด.ช.นัสรู อูมา</v>
      </c>
      <c r="C1065" s="3" t="str">
        <f>IFERROR(__xludf.DUMMYFUNCTION("""COMPUTED_VALUE"""),"ม.3/3")</f>
        <v>ม.3/3</v>
      </c>
      <c r="D1065" s="3" t="str">
        <f>IFERROR(__xludf.DUMMYFUNCTION("""COMPUTED_VALUE"""),"อก.2/3")</f>
        <v>อก.2/3</v>
      </c>
      <c r="E1065" s="2" t="str">
        <f>IFERROR(__xludf.DUMMYFUNCTION("""COMPUTED_VALUE"""),"ชาย")</f>
        <v>ชาย</v>
      </c>
      <c r="F1065" s="5" t="str">
        <f>IFERROR(__xludf.DUMMYFUNCTION("""COMPUTED_VALUE"""),"https://azizstan.net/student_image/25053.jpg")</f>
        <v>https://azizstan.net/student_image/25053.jpg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3" t="str">
        <f>IFERROR(__xludf.DUMMYFUNCTION("""COMPUTED_VALUE"""),"25062")</f>
        <v>25062</v>
      </c>
      <c r="B1066" s="3" t="str">
        <f>IFERROR(__xludf.DUMMYFUNCTION("""COMPUTED_VALUE"""),"ด.ช.อิดริษ ซา")</f>
        <v>ด.ช.อิดริษ ซา</v>
      </c>
      <c r="C1066" s="3" t="str">
        <f>IFERROR(__xludf.DUMMYFUNCTION("""COMPUTED_VALUE"""),"ม.3/3")</f>
        <v>ม.3/3</v>
      </c>
      <c r="D1066" s="3" t="str">
        <f>IFERROR(__xludf.DUMMYFUNCTION("""COMPUTED_VALUE"""),"อก.3/19")</f>
        <v>อก.3/19</v>
      </c>
      <c r="E1066" s="2" t="str">
        <f>IFERROR(__xludf.DUMMYFUNCTION("""COMPUTED_VALUE"""),"ชาย")</f>
        <v>ชาย</v>
      </c>
      <c r="F1066" s="5" t="str">
        <f>IFERROR(__xludf.DUMMYFUNCTION("""COMPUTED_VALUE"""),"https://azizstan.net/student_image/25062.jpg")</f>
        <v>https://azizstan.net/student_image/25062.jpg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3" t="str">
        <f>IFERROR(__xludf.DUMMYFUNCTION("""COMPUTED_VALUE"""),"25064")</f>
        <v>25064</v>
      </c>
      <c r="B1067" s="3" t="str">
        <f>IFERROR(__xludf.DUMMYFUNCTION("""COMPUTED_VALUE"""),"ด.ช.ซัยรุดดีน สะมะ")</f>
        <v>ด.ช.ซัยรุดดีน สะมะ</v>
      </c>
      <c r="C1067" s="3" t="str">
        <f>IFERROR(__xludf.DUMMYFUNCTION("""COMPUTED_VALUE"""),"ม.3/3")</f>
        <v>ม.3/3</v>
      </c>
      <c r="D1067" s="3" t="str">
        <f>IFERROR(__xludf.DUMMYFUNCTION("""COMPUTED_VALUE"""),"อก.2/3")</f>
        <v>อก.2/3</v>
      </c>
      <c r="E1067" s="2" t="str">
        <f>IFERROR(__xludf.DUMMYFUNCTION("""COMPUTED_VALUE"""),"ชาย")</f>
        <v>ชาย</v>
      </c>
      <c r="F1067" s="5" t="str">
        <f>IFERROR(__xludf.DUMMYFUNCTION("""COMPUTED_VALUE"""),"https://azizstan.net/student_image/25064.jpg")</f>
        <v>https://azizstan.net/student_image/25064.jpg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3" t="str">
        <f>IFERROR(__xludf.DUMMYFUNCTION("""COMPUTED_VALUE"""),"25070")</f>
        <v>25070</v>
      </c>
      <c r="B1068" s="3" t="str">
        <f>IFERROR(__xludf.DUMMYFUNCTION("""COMPUTED_VALUE"""),"ด.ช.ฟาเดล สาและ")</f>
        <v>ด.ช.ฟาเดล สาและ</v>
      </c>
      <c r="C1068" s="3" t="str">
        <f>IFERROR(__xludf.DUMMYFUNCTION("""COMPUTED_VALUE"""),"ม.3/3")</f>
        <v>ม.3/3</v>
      </c>
      <c r="D1068" s="3" t="str">
        <f>IFERROR(__xludf.DUMMYFUNCTION("""COMPUTED_VALUE"""),"อก.2/3")</f>
        <v>อก.2/3</v>
      </c>
      <c r="E1068" s="2" t="str">
        <f>IFERROR(__xludf.DUMMYFUNCTION("""COMPUTED_VALUE"""),"ชาย")</f>
        <v>ชาย</v>
      </c>
      <c r="F1068" s="5" t="str">
        <f>IFERROR(__xludf.DUMMYFUNCTION("""COMPUTED_VALUE"""),"https://azizstan.net/student_image/25070.jpg")</f>
        <v>https://azizstan.net/student_image/25070.jpg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3" t="str">
        <f>IFERROR(__xludf.DUMMYFUNCTION("""COMPUTED_VALUE"""),"25099")</f>
        <v>25099</v>
      </c>
      <c r="B1069" s="3" t="str">
        <f>IFERROR(__xludf.DUMMYFUNCTION("""COMPUTED_VALUE"""),"ด.ช.ไฟซอล สีบู")</f>
        <v>ด.ช.ไฟซอล สีบู</v>
      </c>
      <c r="C1069" s="3" t="str">
        <f>IFERROR(__xludf.DUMMYFUNCTION("""COMPUTED_VALUE"""),"ม.3/3")</f>
        <v>ม.3/3</v>
      </c>
      <c r="D1069" s="3" t="str">
        <f>IFERROR(__xludf.DUMMYFUNCTION("""COMPUTED_VALUE"""),"อก.2/3")</f>
        <v>อก.2/3</v>
      </c>
      <c r="E1069" s="2" t="str">
        <f>IFERROR(__xludf.DUMMYFUNCTION("""COMPUTED_VALUE"""),"ชาย")</f>
        <v>ชาย</v>
      </c>
      <c r="F1069" s="5" t="str">
        <f>IFERROR(__xludf.DUMMYFUNCTION("""COMPUTED_VALUE"""),"https://azizstan.net/student_image/25099.jpg")</f>
        <v>https://azizstan.net/student_image/25099.jpg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3" t="str">
        <f>IFERROR(__xludf.DUMMYFUNCTION("""COMPUTED_VALUE"""),"25118")</f>
        <v>25118</v>
      </c>
      <c r="B1070" s="3" t="str">
        <f>IFERROR(__xludf.DUMMYFUNCTION("""COMPUTED_VALUE"""),"ด.ช.ซุบฮาน มะแซ")</f>
        <v>ด.ช.ซุบฮาน มะแซ</v>
      </c>
      <c r="C1070" s="3" t="str">
        <f>IFERROR(__xludf.DUMMYFUNCTION("""COMPUTED_VALUE"""),"ม.3/3")</f>
        <v>ม.3/3</v>
      </c>
      <c r="D1070" s="3" t="str">
        <f>IFERROR(__xludf.DUMMYFUNCTION("""COMPUTED_VALUE"""),"อก.2/3")</f>
        <v>อก.2/3</v>
      </c>
      <c r="E1070" s="2" t="str">
        <f>IFERROR(__xludf.DUMMYFUNCTION("""COMPUTED_VALUE"""),"ชาย")</f>
        <v>ชาย</v>
      </c>
      <c r="F1070" s="5" t="str">
        <f>IFERROR(__xludf.DUMMYFUNCTION("""COMPUTED_VALUE"""),"https://azizstan.net/student_image/25118.jpg")</f>
        <v>https://azizstan.net/student_image/25118.jpg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3" t="str">
        <f>IFERROR(__xludf.DUMMYFUNCTION("""COMPUTED_VALUE"""),"25131")</f>
        <v>25131</v>
      </c>
      <c r="B1071" s="3" t="str">
        <f>IFERROR(__xludf.DUMMYFUNCTION("""COMPUTED_VALUE"""),"ด.ช.ไบฮากิล ดอเลาะ")</f>
        <v>ด.ช.ไบฮากิล ดอเลาะ</v>
      </c>
      <c r="C1071" s="3" t="str">
        <f>IFERROR(__xludf.DUMMYFUNCTION("""COMPUTED_VALUE"""),"ม.3/3")</f>
        <v>ม.3/3</v>
      </c>
      <c r="D1071" s="3" t="str">
        <f>IFERROR(__xludf.DUMMYFUNCTION("""COMPUTED_VALUE"""),"อก.2/3")</f>
        <v>อก.2/3</v>
      </c>
      <c r="E1071" s="2" t="str">
        <f>IFERROR(__xludf.DUMMYFUNCTION("""COMPUTED_VALUE"""),"ชาย")</f>
        <v>ชาย</v>
      </c>
      <c r="F1071" s="5" t="str">
        <f>IFERROR(__xludf.DUMMYFUNCTION("""COMPUTED_VALUE"""),"https://azizstan.net/student_image/25131.jpg")</f>
        <v>https://azizstan.net/student_image/25131.jpg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3" t="str">
        <f>IFERROR(__xludf.DUMMYFUNCTION("""COMPUTED_VALUE"""),"25132")</f>
        <v>25132</v>
      </c>
      <c r="B1072" s="3" t="str">
        <f>IFERROR(__xludf.DUMMYFUNCTION("""COMPUTED_VALUE"""),"ด.ช.ดาริส กามาสี")</f>
        <v>ด.ช.ดาริส กามาสี</v>
      </c>
      <c r="C1072" s="3" t="str">
        <f>IFERROR(__xludf.DUMMYFUNCTION("""COMPUTED_VALUE"""),"ม.3/3")</f>
        <v>ม.3/3</v>
      </c>
      <c r="D1072" s="3" t="str">
        <f>IFERROR(__xludf.DUMMYFUNCTION("""COMPUTED_VALUE"""),"อก.2/3")</f>
        <v>อก.2/3</v>
      </c>
      <c r="E1072" s="2" t="str">
        <f>IFERROR(__xludf.DUMMYFUNCTION("""COMPUTED_VALUE"""),"ชาย")</f>
        <v>ชาย</v>
      </c>
      <c r="F1072" s="5" t="str">
        <f>IFERROR(__xludf.DUMMYFUNCTION("""COMPUTED_VALUE"""),"https://azizstan.net/student_image/25132.jpg")</f>
        <v>https://azizstan.net/student_image/25132.jpg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3" t="str">
        <f>IFERROR(__xludf.DUMMYFUNCTION("""COMPUTED_VALUE"""),"25181")</f>
        <v>25181</v>
      </c>
      <c r="B1073" s="3" t="str">
        <f>IFERROR(__xludf.DUMMYFUNCTION("""COMPUTED_VALUE"""),"ด.ช.ซาบีล ลาเต๊ะ")</f>
        <v>ด.ช.ซาบีล ลาเต๊ะ</v>
      </c>
      <c r="C1073" s="3" t="str">
        <f>IFERROR(__xludf.DUMMYFUNCTION("""COMPUTED_VALUE"""),"ม.3/3")</f>
        <v>ม.3/3</v>
      </c>
      <c r="D1073" s="3" t="str">
        <f>IFERROR(__xludf.DUMMYFUNCTION("""COMPUTED_VALUE"""),"อก.3/19")</f>
        <v>อก.3/19</v>
      </c>
      <c r="E1073" s="2" t="str">
        <f>IFERROR(__xludf.DUMMYFUNCTION("""COMPUTED_VALUE"""),"ชาย")</f>
        <v>ชาย</v>
      </c>
      <c r="F1073" s="5" t="str">
        <f>IFERROR(__xludf.DUMMYFUNCTION("""COMPUTED_VALUE"""),"https://azizstan.net/student_image/25181.jpg")</f>
        <v>https://azizstan.net/student_image/25181.jpg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3" t="str">
        <f>IFERROR(__xludf.DUMMYFUNCTION("""COMPUTED_VALUE"""),"25997")</f>
        <v>25997</v>
      </c>
      <c r="B1074" s="3" t="str">
        <f>IFERROR(__xludf.DUMMYFUNCTION("""COMPUTED_VALUE"""),"ด.ช.อิบรอเหม ลือแมสาและ")</f>
        <v>ด.ช.อิบรอเหม ลือแมสาและ</v>
      </c>
      <c r="C1074" s="3" t="str">
        <f>IFERROR(__xludf.DUMMYFUNCTION("""COMPUTED_VALUE"""),"ม.3/3")</f>
        <v>ม.3/3</v>
      </c>
      <c r="D1074" s="3" t="str">
        <f>IFERROR(__xludf.DUMMYFUNCTION("""COMPUTED_VALUE"""),"อก.2/3")</f>
        <v>อก.2/3</v>
      </c>
      <c r="E1074" s="2" t="str">
        <f>IFERROR(__xludf.DUMMYFUNCTION("""COMPUTED_VALUE"""),"ชาย")</f>
        <v>ชาย</v>
      </c>
      <c r="F1074" s="5" t="str">
        <f>IFERROR(__xludf.DUMMYFUNCTION("""COMPUTED_VALUE"""),"https://azizstan.net/student_image/25997.jpg")</f>
        <v>https://azizstan.net/student_image/25997.jpg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3" t="str">
        <f>IFERROR(__xludf.DUMMYFUNCTION("""COMPUTED_VALUE"""),"26006")</f>
        <v>26006</v>
      </c>
      <c r="B1075" s="3" t="str">
        <f>IFERROR(__xludf.DUMMYFUNCTION("""COMPUTED_VALUE"""),"ด.ช.ศุภวัตน์ บาหมัด")</f>
        <v>ด.ช.ศุภวัตน์ บาหมัด</v>
      </c>
      <c r="C1075" s="3" t="str">
        <f>IFERROR(__xludf.DUMMYFUNCTION("""COMPUTED_VALUE"""),"ม.3/3")</f>
        <v>ม.3/3</v>
      </c>
      <c r="D1075" s="3" t="str">
        <f>IFERROR(__xludf.DUMMYFUNCTION("""COMPUTED_VALUE"""),"อก.2/3")</f>
        <v>อก.2/3</v>
      </c>
      <c r="E1075" s="2" t="str">
        <f>IFERROR(__xludf.DUMMYFUNCTION("""COMPUTED_VALUE"""),"ชาย")</f>
        <v>ชาย</v>
      </c>
      <c r="F1075" s="5" t="str">
        <f>IFERROR(__xludf.DUMMYFUNCTION("""COMPUTED_VALUE"""),"https://azizstan.net/student_image/26006.jpg")</f>
        <v>https://azizstan.net/student_image/26006.jpg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3" t="str">
        <f>IFERROR(__xludf.DUMMYFUNCTION("""COMPUTED_VALUE"""),"26140")</f>
        <v>26140</v>
      </c>
      <c r="B1076" s="3" t="str">
        <f>IFERROR(__xludf.DUMMYFUNCTION("""COMPUTED_VALUE"""),"ด.ช.ธนพนธ์ ไชยลักษณ์")</f>
        <v>ด.ช.ธนพนธ์ ไชยลักษณ์</v>
      </c>
      <c r="C1076" s="3" t="str">
        <f>IFERROR(__xludf.DUMMYFUNCTION("""COMPUTED_VALUE"""),"ม.3/3")</f>
        <v>ม.3/3</v>
      </c>
      <c r="D1076" s="3" t="str">
        <f>IFERROR(__xludf.DUMMYFUNCTION("""COMPUTED_VALUE"""),"อก.3/19")</f>
        <v>อก.3/19</v>
      </c>
      <c r="E1076" s="2" t="str">
        <f>IFERROR(__xludf.DUMMYFUNCTION("""COMPUTED_VALUE"""),"ชาย")</f>
        <v>ชาย</v>
      </c>
      <c r="F1076" s="5" t="str">
        <f>IFERROR(__xludf.DUMMYFUNCTION("""COMPUTED_VALUE"""),"https://azizstan.net/student_image/26140.jpg")</f>
        <v>https://azizstan.net/student_image/26140.jpg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3" t="str">
        <f>IFERROR(__xludf.DUMMYFUNCTION("""COMPUTED_VALUE"""),"26247")</f>
        <v>26247</v>
      </c>
      <c r="B1077" s="3" t="str">
        <f>IFERROR(__xludf.DUMMYFUNCTION("""COMPUTED_VALUE"""),"ด.ช.มูฮัมหมัดเตาฟีร อีปง")</f>
        <v>ด.ช.มูฮัมหมัดเตาฟีร อีปง</v>
      </c>
      <c r="C1077" s="3" t="str">
        <f>IFERROR(__xludf.DUMMYFUNCTION("""COMPUTED_VALUE"""),"ม.3/3")</f>
        <v>ม.3/3</v>
      </c>
      <c r="D1077" s="3" t="str">
        <f>IFERROR(__xludf.DUMMYFUNCTION("""COMPUTED_VALUE"""),"อก.3/19")</f>
        <v>อก.3/19</v>
      </c>
      <c r="E1077" s="2" t="str">
        <f>IFERROR(__xludf.DUMMYFUNCTION("""COMPUTED_VALUE"""),"ชาย")</f>
        <v>ชาย</v>
      </c>
      <c r="F1077" s="5" t="str">
        <f>IFERROR(__xludf.DUMMYFUNCTION("""COMPUTED_VALUE"""),"https://azizstan.net/student_image/26247.jpg")</f>
        <v>https://azizstan.net/student_image/26247.jpg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3" t="str">
        <f>IFERROR(__xludf.DUMMYFUNCTION("""COMPUTED_VALUE"""),"26494")</f>
        <v>26494</v>
      </c>
      <c r="B1078" s="3" t="str">
        <f>IFERROR(__xludf.DUMMYFUNCTION("""COMPUTED_VALUE"""),"ด.ช.มัรวาน สะอะสาฆอ")</f>
        <v>ด.ช.มัรวาน สะอะสาฆอ</v>
      </c>
      <c r="C1078" s="3" t="str">
        <f>IFERROR(__xludf.DUMMYFUNCTION("""COMPUTED_VALUE"""),"ม.3/3")</f>
        <v>ม.3/3</v>
      </c>
      <c r="D1078" s="3" t="str">
        <f>IFERROR(__xludf.DUMMYFUNCTION("""COMPUTED_VALUE"""),"อก.3/19")</f>
        <v>อก.3/19</v>
      </c>
      <c r="E1078" s="2" t="str">
        <f>IFERROR(__xludf.DUMMYFUNCTION("""COMPUTED_VALUE"""),"ชาย")</f>
        <v>ชาย</v>
      </c>
      <c r="F1078" s="5" t="str">
        <f>IFERROR(__xludf.DUMMYFUNCTION("""COMPUTED_VALUE"""),"https://azizstan.net/student_image/26494.jpg")</f>
        <v>https://azizstan.net/student_image/26494.jpg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3" t="str">
        <f>IFERROR(__xludf.DUMMYFUNCTION("""COMPUTED_VALUE"""),"26588")</f>
        <v>26588</v>
      </c>
      <c r="B1079" s="3" t="str">
        <f>IFERROR(__xludf.DUMMYFUNCTION("""COMPUTED_VALUE"""),"ด.ช.ฟาดูอาร์ กามาอูเซ็ง")</f>
        <v>ด.ช.ฟาดูอาร์ กามาอูเซ็ง</v>
      </c>
      <c r="C1079" s="3" t="str">
        <f>IFERROR(__xludf.DUMMYFUNCTION("""COMPUTED_VALUE"""),"ม.3/3")</f>
        <v>ม.3/3</v>
      </c>
      <c r="D1079" s="3" t="str">
        <f>IFERROR(__xludf.DUMMYFUNCTION("""COMPUTED_VALUE"""),"อก.3/19")</f>
        <v>อก.3/19</v>
      </c>
      <c r="E1079" s="2" t="str">
        <f>IFERROR(__xludf.DUMMYFUNCTION("""COMPUTED_VALUE"""),"ชาย")</f>
        <v>ชาย</v>
      </c>
      <c r="F1079" s="5" t="str">
        <f>IFERROR(__xludf.DUMMYFUNCTION("""COMPUTED_VALUE"""),"https://azizstan.net/student_image/26588.jpg")</f>
        <v>https://azizstan.net/student_image/26588.jpg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3" t="str">
        <f>IFERROR(__xludf.DUMMYFUNCTION("""COMPUTED_VALUE"""),"26589")</f>
        <v>26589</v>
      </c>
      <c r="B1080" s="3" t="str">
        <f>IFERROR(__xludf.DUMMYFUNCTION("""COMPUTED_VALUE"""),"ด.ช.อิรฟาน กอและ")</f>
        <v>ด.ช.อิรฟาน กอและ</v>
      </c>
      <c r="C1080" s="3" t="str">
        <f>IFERROR(__xludf.DUMMYFUNCTION("""COMPUTED_VALUE"""),"ม.3/3")</f>
        <v>ม.3/3</v>
      </c>
      <c r="D1080" s="3" t="str">
        <f>IFERROR(__xludf.DUMMYFUNCTION("""COMPUTED_VALUE"""),"อก.3/19")</f>
        <v>อก.3/19</v>
      </c>
      <c r="E1080" s="2" t="str">
        <f>IFERROR(__xludf.DUMMYFUNCTION("""COMPUTED_VALUE"""),"ชาย")</f>
        <v>ชาย</v>
      </c>
      <c r="F1080" s="5" t="str">
        <f>IFERROR(__xludf.DUMMYFUNCTION("""COMPUTED_VALUE"""),"https://azizstan.net/student_image/26589.jpg")</f>
        <v>https://azizstan.net/student_image/26589.jpg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3" t="str">
        <f>IFERROR(__xludf.DUMMYFUNCTION("""COMPUTED_VALUE"""),"24161")</f>
        <v>24161</v>
      </c>
      <c r="B1081" s="3" t="str">
        <f>IFERROR(__xludf.DUMMYFUNCTION("""COMPUTED_VALUE"""),"นายมูฮัมหมัดนัสรูณ อีบาราเฮง")</f>
        <v>นายมูฮัมหมัดนัสรูณ อีบาราเฮง</v>
      </c>
      <c r="C1081" s="3" t="str">
        <f>IFERROR(__xludf.DUMMYFUNCTION("""COMPUTED_VALUE"""),"ม.3/4")</f>
        <v>ม.3/4</v>
      </c>
      <c r="D1081" s="3" t="str">
        <f>IFERROR(__xludf.DUMMYFUNCTION("""COMPUTED_VALUE"""),"อก.2/4")</f>
        <v>อก.2/4</v>
      </c>
      <c r="E1081" s="2" t="str">
        <f>IFERROR(__xludf.DUMMYFUNCTION("""COMPUTED_VALUE"""),"ชาย")</f>
        <v>ชาย</v>
      </c>
      <c r="F1081" s="5" t="str">
        <f>IFERROR(__xludf.DUMMYFUNCTION("""COMPUTED_VALUE"""),"https://azizstan.net/student_image/24161.jpg")</f>
        <v>https://azizstan.net/student_image/24161.jpg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3" t="str">
        <f>IFERROR(__xludf.DUMMYFUNCTION("""COMPUTED_VALUE"""),"24742")</f>
        <v>24742</v>
      </c>
      <c r="B1082" s="3" t="str">
        <f>IFERROR(__xludf.DUMMYFUNCTION("""COMPUTED_VALUE"""),"ด.ช.รอมฎอนซูไลมาน ดอยี")</f>
        <v>ด.ช.รอมฎอนซูไลมาน ดอยี</v>
      </c>
      <c r="C1082" s="3" t="str">
        <f>IFERROR(__xludf.DUMMYFUNCTION("""COMPUTED_VALUE"""),"ม.3/4")</f>
        <v>ม.3/4</v>
      </c>
      <c r="D1082" s="3" t="str">
        <f>IFERROR(__xludf.DUMMYFUNCTION("""COMPUTED_VALUE"""),"อก.2/4")</f>
        <v>อก.2/4</v>
      </c>
      <c r="E1082" s="2" t="str">
        <f>IFERROR(__xludf.DUMMYFUNCTION("""COMPUTED_VALUE"""),"ชาย")</f>
        <v>ชาย</v>
      </c>
      <c r="F1082" s="5" t="str">
        <f>IFERROR(__xludf.DUMMYFUNCTION("""COMPUTED_VALUE"""),"https://azizstan.net/student_image/24742.jpg")</f>
        <v>https://azizstan.net/student_image/24742.jpg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3" t="str">
        <f>IFERROR(__xludf.DUMMYFUNCTION("""COMPUTED_VALUE"""),"24779")</f>
        <v>24779</v>
      </c>
      <c r="B1083" s="3" t="str">
        <f>IFERROR(__xludf.DUMMYFUNCTION("""COMPUTED_VALUE"""),"ด.ช.ฮาฟิส อุมา")</f>
        <v>ด.ช.ฮาฟิส อุมา</v>
      </c>
      <c r="C1083" s="3" t="str">
        <f>IFERROR(__xludf.DUMMYFUNCTION("""COMPUTED_VALUE"""),"ม.3/4")</f>
        <v>ม.3/4</v>
      </c>
      <c r="D1083" s="3" t="str">
        <f>IFERROR(__xludf.DUMMYFUNCTION("""COMPUTED_VALUE"""),"อก.2/4")</f>
        <v>อก.2/4</v>
      </c>
      <c r="E1083" s="2" t="str">
        <f>IFERROR(__xludf.DUMMYFUNCTION("""COMPUTED_VALUE"""),"ชาย")</f>
        <v>ชาย</v>
      </c>
      <c r="F1083" s="5" t="str">
        <f>IFERROR(__xludf.DUMMYFUNCTION("""COMPUTED_VALUE"""),"https://azizstan.net/student_image/24779.jpg")</f>
        <v>https://azizstan.net/student_image/24779.jpg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3" t="str">
        <f>IFERROR(__xludf.DUMMYFUNCTION("""COMPUTED_VALUE"""),"24837")</f>
        <v>24837</v>
      </c>
      <c r="B1084" s="3" t="str">
        <f>IFERROR(__xludf.DUMMYFUNCTION("""COMPUTED_VALUE"""),"ด.ช.อัสช์รัฟ ดอเลาะ")</f>
        <v>ด.ช.อัสช์รัฟ ดอเลาะ</v>
      </c>
      <c r="C1084" s="3" t="str">
        <f>IFERROR(__xludf.DUMMYFUNCTION("""COMPUTED_VALUE"""),"ม.3/4")</f>
        <v>ม.3/4</v>
      </c>
      <c r="D1084" s="3" t="str">
        <f>IFERROR(__xludf.DUMMYFUNCTION("""COMPUTED_VALUE"""),"อก.2/4")</f>
        <v>อก.2/4</v>
      </c>
      <c r="E1084" s="2" t="str">
        <f>IFERROR(__xludf.DUMMYFUNCTION("""COMPUTED_VALUE"""),"ชาย")</f>
        <v>ชาย</v>
      </c>
      <c r="F1084" s="5" t="str">
        <f>IFERROR(__xludf.DUMMYFUNCTION("""COMPUTED_VALUE"""),"https://azizstan.net/student_image/24837.jpg")</f>
        <v>https://azizstan.net/student_image/24837.jpg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3" t="str">
        <f>IFERROR(__xludf.DUMMYFUNCTION("""COMPUTED_VALUE"""),"24847")</f>
        <v>24847</v>
      </c>
      <c r="B1085" s="3" t="str">
        <f>IFERROR(__xludf.DUMMYFUNCTION("""COMPUTED_VALUE"""),"ด.ช.มูฮัมหมัดแดเนียล ดอเลาะ")</f>
        <v>ด.ช.มูฮัมหมัดแดเนียล ดอเลาะ</v>
      </c>
      <c r="C1085" s="3" t="str">
        <f>IFERROR(__xludf.DUMMYFUNCTION("""COMPUTED_VALUE"""),"ม.3/4")</f>
        <v>ม.3/4</v>
      </c>
      <c r="D1085" s="3" t="str">
        <f>IFERROR(__xludf.DUMMYFUNCTION("""COMPUTED_VALUE"""),"อก.2/4")</f>
        <v>อก.2/4</v>
      </c>
      <c r="E1085" s="2" t="str">
        <f>IFERROR(__xludf.DUMMYFUNCTION("""COMPUTED_VALUE"""),"ชาย")</f>
        <v>ชาย</v>
      </c>
      <c r="F1085" s="5" t="str">
        <f>IFERROR(__xludf.DUMMYFUNCTION("""COMPUTED_VALUE"""),"https://azizstan.net/student_image/24847.jpg")</f>
        <v>https://azizstan.net/student_image/24847.jpg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3" t="str">
        <f>IFERROR(__xludf.DUMMYFUNCTION("""COMPUTED_VALUE"""),"24849")</f>
        <v>24849</v>
      </c>
      <c r="B1086" s="3" t="str">
        <f>IFERROR(__xludf.DUMMYFUNCTION("""COMPUTED_VALUE"""),"ด.ช.อานัส แวเยะ")</f>
        <v>ด.ช.อานัส แวเยะ</v>
      </c>
      <c r="C1086" s="3" t="str">
        <f>IFERROR(__xludf.DUMMYFUNCTION("""COMPUTED_VALUE"""),"ม.3/4")</f>
        <v>ม.3/4</v>
      </c>
      <c r="D1086" s="3" t="str">
        <f>IFERROR(__xludf.DUMMYFUNCTION("""COMPUTED_VALUE"""),"อก.2/4")</f>
        <v>อก.2/4</v>
      </c>
      <c r="E1086" s="2" t="str">
        <f>IFERROR(__xludf.DUMMYFUNCTION("""COMPUTED_VALUE"""),"ชาย")</f>
        <v>ชาย</v>
      </c>
      <c r="F1086" s="5" t="str">
        <f>IFERROR(__xludf.DUMMYFUNCTION("""COMPUTED_VALUE"""),"https://azizstan.net/student_image/24849.jpg")</f>
        <v>https://azizstan.net/student_image/24849.jpg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3" t="str">
        <f>IFERROR(__xludf.DUMMYFUNCTION("""COMPUTED_VALUE"""),"24857")</f>
        <v>24857</v>
      </c>
      <c r="B1087" s="3" t="str">
        <f>IFERROR(__xludf.DUMMYFUNCTION("""COMPUTED_VALUE"""),"ด.ช.นิอัลวาร์ หะยียูโซ๊ะ")</f>
        <v>ด.ช.นิอัลวาร์ หะยียูโซ๊ะ</v>
      </c>
      <c r="C1087" s="3" t="str">
        <f>IFERROR(__xludf.DUMMYFUNCTION("""COMPUTED_VALUE"""),"ม.3/4")</f>
        <v>ม.3/4</v>
      </c>
      <c r="D1087" s="3" t="str">
        <f>IFERROR(__xludf.DUMMYFUNCTION("""COMPUTED_VALUE"""),"อก.2/4")</f>
        <v>อก.2/4</v>
      </c>
      <c r="E1087" s="2" t="str">
        <f>IFERROR(__xludf.DUMMYFUNCTION("""COMPUTED_VALUE"""),"ชาย")</f>
        <v>ชาย</v>
      </c>
      <c r="F1087" s="5" t="str">
        <f>IFERROR(__xludf.DUMMYFUNCTION("""COMPUTED_VALUE"""),"https://azizstan.net/student_image/24857.jpg")</f>
        <v>https://azizstan.net/student_image/24857.jpg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3" t="str">
        <f>IFERROR(__xludf.DUMMYFUNCTION("""COMPUTED_VALUE"""),"24863")</f>
        <v>24863</v>
      </c>
      <c r="B1088" s="3" t="str">
        <f>IFERROR(__xludf.DUMMYFUNCTION("""COMPUTED_VALUE"""),"ด.ช.สุกฤษฏิ์ ดาแลหมัน")</f>
        <v>ด.ช.สุกฤษฏิ์ ดาแลหมัน</v>
      </c>
      <c r="C1088" s="3" t="str">
        <f>IFERROR(__xludf.DUMMYFUNCTION("""COMPUTED_VALUE"""),"ม.3/4")</f>
        <v>ม.3/4</v>
      </c>
      <c r="D1088" s="3" t="str">
        <f>IFERROR(__xludf.DUMMYFUNCTION("""COMPUTED_VALUE"""),"อก.2/4")</f>
        <v>อก.2/4</v>
      </c>
      <c r="E1088" s="2" t="str">
        <f>IFERROR(__xludf.DUMMYFUNCTION("""COMPUTED_VALUE"""),"ชาย")</f>
        <v>ชาย</v>
      </c>
      <c r="F1088" s="5" t="str">
        <f>IFERROR(__xludf.DUMMYFUNCTION("""COMPUTED_VALUE"""),"https://azizstan.net/student_image/24863.jpg")</f>
        <v>https://azizstan.net/student_image/24863.jpg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3" t="str">
        <f>IFERROR(__xludf.DUMMYFUNCTION("""COMPUTED_VALUE"""),"24870")</f>
        <v>24870</v>
      </c>
      <c r="B1089" s="3" t="str">
        <f>IFERROR(__xludf.DUMMYFUNCTION("""COMPUTED_VALUE"""),"ด.ช.ฮาฟิซ มะดีเยาะ")</f>
        <v>ด.ช.ฮาฟิซ มะดีเยาะ</v>
      </c>
      <c r="C1089" s="3" t="str">
        <f>IFERROR(__xludf.DUMMYFUNCTION("""COMPUTED_VALUE"""),"ม.3/4")</f>
        <v>ม.3/4</v>
      </c>
      <c r="D1089" s="3" t="str">
        <f>IFERROR(__xludf.DUMMYFUNCTION("""COMPUTED_VALUE"""),"อก.2/4")</f>
        <v>อก.2/4</v>
      </c>
      <c r="E1089" s="2" t="str">
        <f>IFERROR(__xludf.DUMMYFUNCTION("""COMPUTED_VALUE"""),"ชาย")</f>
        <v>ชาย</v>
      </c>
      <c r="F1089" s="5" t="str">
        <f>IFERROR(__xludf.DUMMYFUNCTION("""COMPUTED_VALUE"""),"https://azizstan.net/student_image/24870.jpg")</f>
        <v>https://azizstan.net/student_image/24870.jpg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3" t="str">
        <f>IFERROR(__xludf.DUMMYFUNCTION("""COMPUTED_VALUE"""),"24873")</f>
        <v>24873</v>
      </c>
      <c r="B1090" s="3" t="str">
        <f>IFERROR(__xludf.DUMMYFUNCTION("""COMPUTED_VALUE"""),"ด.ช.ฟารุค แวนาแว")</f>
        <v>ด.ช.ฟารุค แวนาแว</v>
      </c>
      <c r="C1090" s="3" t="str">
        <f>IFERROR(__xludf.DUMMYFUNCTION("""COMPUTED_VALUE"""),"ม.3/4")</f>
        <v>ม.3/4</v>
      </c>
      <c r="D1090" s="3" t="str">
        <f>IFERROR(__xludf.DUMMYFUNCTION("""COMPUTED_VALUE"""),"อก.2/4")</f>
        <v>อก.2/4</v>
      </c>
      <c r="E1090" s="2" t="str">
        <f>IFERROR(__xludf.DUMMYFUNCTION("""COMPUTED_VALUE"""),"ชาย")</f>
        <v>ชาย</v>
      </c>
      <c r="F1090" s="5" t="str">
        <f>IFERROR(__xludf.DUMMYFUNCTION("""COMPUTED_VALUE"""),"https://azizstan.net/student_image/24873.jpg")</f>
        <v>https://azizstan.net/student_image/24873.jpg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3" t="str">
        <f>IFERROR(__xludf.DUMMYFUNCTION("""COMPUTED_VALUE"""),"24963")</f>
        <v>24963</v>
      </c>
      <c r="B1091" s="3" t="str">
        <f>IFERROR(__xludf.DUMMYFUNCTION("""COMPUTED_VALUE"""),"ด.ช.อานัส มะยูนุ")</f>
        <v>ด.ช.อานัส มะยูนุ</v>
      </c>
      <c r="C1091" s="3" t="str">
        <f>IFERROR(__xludf.DUMMYFUNCTION("""COMPUTED_VALUE"""),"ม.3/4")</f>
        <v>ม.3/4</v>
      </c>
      <c r="D1091" s="3" t="str">
        <f>IFERROR(__xludf.DUMMYFUNCTION("""COMPUTED_VALUE"""),"อก.2/4")</f>
        <v>อก.2/4</v>
      </c>
      <c r="E1091" s="2" t="str">
        <f>IFERROR(__xludf.DUMMYFUNCTION("""COMPUTED_VALUE"""),"ชาย")</f>
        <v>ชาย</v>
      </c>
      <c r="F1091" s="5" t="str">
        <f>IFERROR(__xludf.DUMMYFUNCTION("""COMPUTED_VALUE"""),"https://azizstan.net/student_image/24963.jpg")</f>
        <v>https://azizstan.net/student_image/24963.jpg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3" t="str">
        <f>IFERROR(__xludf.DUMMYFUNCTION("""COMPUTED_VALUE"""),"24999")</f>
        <v>24999</v>
      </c>
      <c r="B1092" s="3" t="str">
        <f>IFERROR(__xludf.DUMMYFUNCTION("""COMPUTED_VALUE"""),"ด.ช.วันอัฟดล ยีสะอุ")</f>
        <v>ด.ช.วันอัฟดล ยีสะอุ</v>
      </c>
      <c r="C1092" s="3" t="str">
        <f>IFERROR(__xludf.DUMMYFUNCTION("""COMPUTED_VALUE"""),"ม.3/4")</f>
        <v>ม.3/4</v>
      </c>
      <c r="D1092" s="3" t="str">
        <f>IFERROR(__xludf.DUMMYFUNCTION("""COMPUTED_VALUE"""),"อก.2/4")</f>
        <v>อก.2/4</v>
      </c>
      <c r="E1092" s="2" t="str">
        <f>IFERROR(__xludf.DUMMYFUNCTION("""COMPUTED_VALUE"""),"ชาย")</f>
        <v>ชาย</v>
      </c>
      <c r="F1092" s="5" t="str">
        <f>IFERROR(__xludf.DUMMYFUNCTION("""COMPUTED_VALUE"""),"https://azizstan.net/student_image/24999.jpg")</f>
        <v>https://azizstan.net/student_image/24999.jpg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3" t="str">
        <f>IFERROR(__xludf.DUMMYFUNCTION("""COMPUTED_VALUE"""),"25019")</f>
        <v>25019</v>
      </c>
      <c r="B1093" s="3" t="str">
        <f>IFERROR(__xludf.DUMMYFUNCTION("""COMPUTED_VALUE"""),"ด.ช.ฮัมดัล สิบู")</f>
        <v>ด.ช.ฮัมดัล สิบู</v>
      </c>
      <c r="C1093" s="3" t="str">
        <f>IFERROR(__xludf.DUMMYFUNCTION("""COMPUTED_VALUE"""),"ม.3/4")</f>
        <v>ม.3/4</v>
      </c>
      <c r="D1093" s="3" t="str">
        <f>IFERROR(__xludf.DUMMYFUNCTION("""COMPUTED_VALUE"""),"อก.2/4")</f>
        <v>อก.2/4</v>
      </c>
      <c r="E1093" s="2" t="str">
        <f>IFERROR(__xludf.DUMMYFUNCTION("""COMPUTED_VALUE"""),"ชาย")</f>
        <v>ชาย</v>
      </c>
      <c r="F1093" s="5" t="str">
        <f>IFERROR(__xludf.DUMMYFUNCTION("""COMPUTED_VALUE"""),"https://azizstan.net/student_image/25019.jpg")</f>
        <v>https://azizstan.net/student_image/25019.jpg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3" t="str">
        <f>IFERROR(__xludf.DUMMYFUNCTION("""COMPUTED_VALUE"""),"25033")</f>
        <v>25033</v>
      </c>
      <c r="B1094" s="3" t="str">
        <f>IFERROR(__xludf.DUMMYFUNCTION("""COMPUTED_VALUE"""),"ด.ช.อิสรอเฟล โอล่า")</f>
        <v>ด.ช.อิสรอเฟล โอล่า</v>
      </c>
      <c r="C1094" s="3" t="str">
        <f>IFERROR(__xludf.DUMMYFUNCTION("""COMPUTED_VALUE"""),"ม.3/4")</f>
        <v>ม.3/4</v>
      </c>
      <c r="D1094" s="3" t="str">
        <f>IFERROR(__xludf.DUMMYFUNCTION("""COMPUTED_VALUE"""),"อก.2/4")</f>
        <v>อก.2/4</v>
      </c>
      <c r="E1094" s="2" t="str">
        <f>IFERROR(__xludf.DUMMYFUNCTION("""COMPUTED_VALUE"""),"ชาย")</f>
        <v>ชาย</v>
      </c>
      <c r="F1094" s="5" t="str">
        <f>IFERROR(__xludf.DUMMYFUNCTION("""COMPUTED_VALUE"""),"https://azizstan.net/student_image/25033.jpg")</f>
        <v>https://azizstan.net/student_image/25033.jpg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3" t="str">
        <f>IFERROR(__xludf.DUMMYFUNCTION("""COMPUTED_VALUE"""),"25052")</f>
        <v>25052</v>
      </c>
      <c r="B1095" s="3" t="str">
        <f>IFERROR(__xludf.DUMMYFUNCTION("""COMPUTED_VALUE"""),"ด.ช.นัสรูล สามะ")</f>
        <v>ด.ช.นัสรูล สามะ</v>
      </c>
      <c r="C1095" s="3" t="str">
        <f>IFERROR(__xludf.DUMMYFUNCTION("""COMPUTED_VALUE"""),"ม.3/4")</f>
        <v>ม.3/4</v>
      </c>
      <c r="D1095" s="3" t="str">
        <f>IFERROR(__xludf.DUMMYFUNCTION("""COMPUTED_VALUE"""),"อก.2/4")</f>
        <v>อก.2/4</v>
      </c>
      <c r="E1095" s="2" t="str">
        <f>IFERROR(__xludf.DUMMYFUNCTION("""COMPUTED_VALUE"""),"ชาย")</f>
        <v>ชาย</v>
      </c>
      <c r="F1095" s="5" t="str">
        <f>IFERROR(__xludf.DUMMYFUNCTION("""COMPUTED_VALUE"""),"https://azizstan.net/student_image/25052.jpg")</f>
        <v>https://azizstan.net/student_image/25052.jpg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3" t="str">
        <f>IFERROR(__xludf.DUMMYFUNCTION("""COMPUTED_VALUE"""),"25071")</f>
        <v>25071</v>
      </c>
      <c r="B1096" s="3" t="str">
        <f>IFERROR(__xludf.DUMMYFUNCTION("""COMPUTED_VALUE"""),"ด.ช.อับดุลฮากีม มะมิง")</f>
        <v>ด.ช.อับดุลฮากีม มะมิง</v>
      </c>
      <c r="C1096" s="3" t="str">
        <f>IFERROR(__xludf.DUMMYFUNCTION("""COMPUTED_VALUE"""),"ม.3/4")</f>
        <v>ม.3/4</v>
      </c>
      <c r="D1096" s="3" t="str">
        <f>IFERROR(__xludf.DUMMYFUNCTION("""COMPUTED_VALUE"""),"อก.2/4")</f>
        <v>อก.2/4</v>
      </c>
      <c r="E1096" s="2" t="str">
        <f>IFERROR(__xludf.DUMMYFUNCTION("""COMPUTED_VALUE"""),"ชาย")</f>
        <v>ชาย</v>
      </c>
      <c r="F1096" s="5" t="str">
        <f>IFERROR(__xludf.DUMMYFUNCTION("""COMPUTED_VALUE"""),"https://azizstan.net/student_image/25071.jpg")</f>
        <v>https://azizstan.net/student_image/25071.jpg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3" t="str">
        <f>IFERROR(__xludf.DUMMYFUNCTION("""COMPUTED_VALUE"""),"25076")</f>
        <v>25076</v>
      </c>
      <c r="B1097" s="3" t="str">
        <f>IFERROR(__xludf.DUMMYFUNCTION("""COMPUTED_VALUE"""),"ด.ช.นิฮาซานัยน์ ตาเยะ")</f>
        <v>ด.ช.นิฮาซานัยน์ ตาเยะ</v>
      </c>
      <c r="C1097" s="3" t="str">
        <f>IFERROR(__xludf.DUMMYFUNCTION("""COMPUTED_VALUE"""),"ม.3/4")</f>
        <v>ม.3/4</v>
      </c>
      <c r="D1097" s="3" t="str">
        <f>IFERROR(__xludf.DUMMYFUNCTION("""COMPUTED_VALUE"""),"อก.2/4")</f>
        <v>อก.2/4</v>
      </c>
      <c r="E1097" s="2" t="str">
        <f>IFERROR(__xludf.DUMMYFUNCTION("""COMPUTED_VALUE"""),"ชาย")</f>
        <v>ชาย</v>
      </c>
      <c r="F1097" s="5" t="str">
        <f>IFERROR(__xludf.DUMMYFUNCTION("""COMPUTED_VALUE"""),"https://azizstan.net/student_image/25076.jpg")</f>
        <v>https://azizstan.net/student_image/25076.jpg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3" t="str">
        <f>IFERROR(__xludf.DUMMYFUNCTION("""COMPUTED_VALUE"""),"25077")</f>
        <v>25077</v>
      </c>
      <c r="B1098" s="3" t="str">
        <f>IFERROR(__xludf.DUMMYFUNCTION("""COMPUTED_VALUE"""),"ด.ช.มูฮัมหมัดฟัรฮาน บินมูฮัมหมัด")</f>
        <v>ด.ช.มูฮัมหมัดฟัรฮาน บินมูฮัมหมัด</v>
      </c>
      <c r="C1098" s="3" t="str">
        <f>IFERROR(__xludf.DUMMYFUNCTION("""COMPUTED_VALUE"""),"ม.3/4")</f>
        <v>ม.3/4</v>
      </c>
      <c r="D1098" s="3" t="str">
        <f>IFERROR(__xludf.DUMMYFUNCTION("""COMPUTED_VALUE"""),"อก.2/4")</f>
        <v>อก.2/4</v>
      </c>
      <c r="E1098" s="2" t="str">
        <f>IFERROR(__xludf.DUMMYFUNCTION("""COMPUTED_VALUE"""),"ชาย")</f>
        <v>ชาย</v>
      </c>
      <c r="F1098" s="5" t="str">
        <f>IFERROR(__xludf.DUMMYFUNCTION("""COMPUTED_VALUE"""),"https://azizstan.net/student_image/25077.jpg")</f>
        <v>https://azizstan.net/student_image/25077.jpg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3" t="str">
        <f>IFERROR(__xludf.DUMMYFUNCTION("""COMPUTED_VALUE"""),"25081")</f>
        <v>25081</v>
      </c>
      <c r="B1099" s="3" t="str">
        <f>IFERROR(__xludf.DUMMYFUNCTION("""COMPUTED_VALUE"""),"ด.ช.อัฟฮัม มะมิน")</f>
        <v>ด.ช.อัฟฮัม มะมิน</v>
      </c>
      <c r="C1099" s="3" t="str">
        <f>IFERROR(__xludf.DUMMYFUNCTION("""COMPUTED_VALUE"""),"ม.3/4")</f>
        <v>ม.3/4</v>
      </c>
      <c r="D1099" s="3" t="str">
        <f>IFERROR(__xludf.DUMMYFUNCTION("""COMPUTED_VALUE"""),"อก.2/4")</f>
        <v>อก.2/4</v>
      </c>
      <c r="E1099" s="2" t="str">
        <f>IFERROR(__xludf.DUMMYFUNCTION("""COMPUTED_VALUE"""),"ชาย")</f>
        <v>ชาย</v>
      </c>
      <c r="F1099" s="5" t="str">
        <f>IFERROR(__xludf.DUMMYFUNCTION("""COMPUTED_VALUE"""),"https://azizstan.net/student_image/25081.jpg")</f>
        <v>https://azizstan.net/student_image/25081.jpg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3" t="str">
        <f>IFERROR(__xludf.DUMMYFUNCTION("""COMPUTED_VALUE"""),"25097")</f>
        <v>25097</v>
      </c>
      <c r="B1100" s="3" t="str">
        <f>IFERROR(__xludf.DUMMYFUNCTION("""COMPUTED_VALUE"""),"ด.ช.บูรฮานุดดีน สุหลง")</f>
        <v>ด.ช.บูรฮานุดดีน สุหลง</v>
      </c>
      <c r="C1100" s="3" t="str">
        <f>IFERROR(__xludf.DUMMYFUNCTION("""COMPUTED_VALUE"""),"ม.3/4")</f>
        <v>ม.3/4</v>
      </c>
      <c r="D1100" s="3" t="str">
        <f>IFERROR(__xludf.DUMMYFUNCTION("""COMPUTED_VALUE"""),"อก.2/4")</f>
        <v>อก.2/4</v>
      </c>
      <c r="E1100" s="2" t="str">
        <f>IFERROR(__xludf.DUMMYFUNCTION("""COMPUTED_VALUE"""),"ชาย")</f>
        <v>ชาย</v>
      </c>
      <c r="F1100" s="5" t="str">
        <f>IFERROR(__xludf.DUMMYFUNCTION("""COMPUTED_VALUE"""),"https://azizstan.net/student_image/25097.jpg")</f>
        <v>https://azizstan.net/student_image/25097.jpg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3" t="str">
        <f>IFERROR(__xludf.DUMMYFUNCTION("""COMPUTED_VALUE"""),"25098")</f>
        <v>25098</v>
      </c>
      <c r="B1101" s="3" t="str">
        <f>IFERROR(__xludf.DUMMYFUNCTION("""COMPUTED_VALUE"""),"ด.ช.ฮัมดี โต๊ะหมาด")</f>
        <v>ด.ช.ฮัมดี โต๊ะหมาด</v>
      </c>
      <c r="C1101" s="3" t="str">
        <f>IFERROR(__xludf.DUMMYFUNCTION("""COMPUTED_VALUE"""),"ม.3/4")</f>
        <v>ม.3/4</v>
      </c>
      <c r="D1101" s="3" t="str">
        <f>IFERROR(__xludf.DUMMYFUNCTION("""COMPUTED_VALUE"""),"อก.2/4")</f>
        <v>อก.2/4</v>
      </c>
      <c r="E1101" s="2" t="str">
        <f>IFERROR(__xludf.DUMMYFUNCTION("""COMPUTED_VALUE"""),"ชาย")</f>
        <v>ชาย</v>
      </c>
      <c r="F1101" s="5" t="str">
        <f>IFERROR(__xludf.DUMMYFUNCTION("""COMPUTED_VALUE"""),"https://azizstan.net/student_image/25098.jpg")</f>
        <v>https://azizstan.net/student_image/25098.jpg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3" t="str">
        <f>IFERROR(__xludf.DUMMYFUNCTION("""COMPUTED_VALUE"""),"25100")</f>
        <v>25100</v>
      </c>
      <c r="B1102" s="3" t="str">
        <f>IFERROR(__xludf.DUMMYFUNCTION("""COMPUTED_VALUE"""),"ด.ช.เบ็ญยามิน ยามาดง")</f>
        <v>ด.ช.เบ็ญยามิน ยามาดง</v>
      </c>
      <c r="C1102" s="3" t="str">
        <f>IFERROR(__xludf.DUMMYFUNCTION("""COMPUTED_VALUE"""),"ม.3/4")</f>
        <v>ม.3/4</v>
      </c>
      <c r="D1102" s="3" t="str">
        <f>IFERROR(__xludf.DUMMYFUNCTION("""COMPUTED_VALUE"""),"อก.2/4")</f>
        <v>อก.2/4</v>
      </c>
      <c r="E1102" s="2" t="str">
        <f>IFERROR(__xludf.DUMMYFUNCTION("""COMPUTED_VALUE"""),"ชาย")</f>
        <v>ชาย</v>
      </c>
      <c r="F1102" s="5" t="str">
        <f>IFERROR(__xludf.DUMMYFUNCTION("""COMPUTED_VALUE"""),"https://azizstan.net/student_image/25100.jpg")</f>
        <v>https://azizstan.net/student_image/25100.jpg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3" t="str">
        <f>IFERROR(__xludf.DUMMYFUNCTION("""COMPUTED_VALUE"""),"25134")</f>
        <v>25134</v>
      </c>
      <c r="B1103" s="3" t="str">
        <f>IFERROR(__xludf.DUMMYFUNCTION("""COMPUTED_VALUE"""),"ด.ช.นิตินัย อีสอปูเต๊ะ")</f>
        <v>ด.ช.นิตินัย อีสอปูเต๊ะ</v>
      </c>
      <c r="C1103" s="3" t="str">
        <f>IFERROR(__xludf.DUMMYFUNCTION("""COMPUTED_VALUE"""),"ม.3/4")</f>
        <v>ม.3/4</v>
      </c>
      <c r="D1103" s="3" t="str">
        <f>IFERROR(__xludf.DUMMYFUNCTION("""COMPUTED_VALUE"""),"อก.2/4")</f>
        <v>อก.2/4</v>
      </c>
      <c r="E1103" s="2" t="str">
        <f>IFERROR(__xludf.DUMMYFUNCTION("""COMPUTED_VALUE"""),"ชาย")</f>
        <v>ชาย</v>
      </c>
      <c r="F1103" s="5" t="str">
        <f>IFERROR(__xludf.DUMMYFUNCTION("""COMPUTED_VALUE"""),"https://azizstan.net/student_image/25134.jpg")</f>
        <v>https://azizstan.net/student_image/25134.jpg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3" t="str">
        <f>IFERROR(__xludf.DUMMYFUNCTION("""COMPUTED_VALUE"""),"25152")</f>
        <v>25152</v>
      </c>
      <c r="B1104" s="3" t="str">
        <f>IFERROR(__xludf.DUMMYFUNCTION("""COMPUTED_VALUE"""),"ด.ช.มูฮัมหมัดวาริส ตาเยะ")</f>
        <v>ด.ช.มูฮัมหมัดวาริส ตาเยะ</v>
      </c>
      <c r="C1104" s="3" t="str">
        <f>IFERROR(__xludf.DUMMYFUNCTION("""COMPUTED_VALUE"""),"ม.3/4")</f>
        <v>ม.3/4</v>
      </c>
      <c r="D1104" s="3" t="str">
        <f>IFERROR(__xludf.DUMMYFUNCTION("""COMPUTED_VALUE"""),"อก.2/4")</f>
        <v>อก.2/4</v>
      </c>
      <c r="E1104" s="2" t="str">
        <f>IFERROR(__xludf.DUMMYFUNCTION("""COMPUTED_VALUE"""),"ชาย")</f>
        <v>ชาย</v>
      </c>
      <c r="F1104" s="5" t="str">
        <f>IFERROR(__xludf.DUMMYFUNCTION("""COMPUTED_VALUE"""),"https://azizstan.net/student_image/25152.jpg")</f>
        <v>https://azizstan.net/student_image/25152.jpg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3" t="str">
        <f>IFERROR(__xludf.DUMMYFUNCTION("""COMPUTED_VALUE"""),"25176")</f>
        <v>25176</v>
      </c>
      <c r="B1105" s="3" t="str">
        <f>IFERROR(__xludf.DUMMYFUNCTION("""COMPUTED_VALUE"""),"ด.ช.ซะห์อิลฮัม สุหลง")</f>
        <v>ด.ช.ซะห์อิลฮัม สุหลง</v>
      </c>
      <c r="C1105" s="3" t="str">
        <f>IFERROR(__xludf.DUMMYFUNCTION("""COMPUTED_VALUE"""),"ม.3/4")</f>
        <v>ม.3/4</v>
      </c>
      <c r="D1105" s="3" t="str">
        <f>IFERROR(__xludf.DUMMYFUNCTION("""COMPUTED_VALUE"""),"อก.2/4")</f>
        <v>อก.2/4</v>
      </c>
      <c r="E1105" s="2" t="str">
        <f>IFERROR(__xludf.DUMMYFUNCTION("""COMPUTED_VALUE"""),"ชาย")</f>
        <v>ชาย</v>
      </c>
      <c r="F1105" s="5" t="str">
        <f>IFERROR(__xludf.DUMMYFUNCTION("""COMPUTED_VALUE"""),"https://azizstan.net/student_image/25176.jpg")</f>
        <v>https://azizstan.net/student_image/25176.jpg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3" t="str">
        <f>IFERROR(__xludf.DUMMYFUNCTION("""COMPUTED_VALUE"""),"25191")</f>
        <v>25191</v>
      </c>
      <c r="B1106" s="3" t="str">
        <f>IFERROR(__xludf.DUMMYFUNCTION("""COMPUTED_VALUE"""),"นายอันวา อาแด")</f>
        <v>นายอันวา อาแด</v>
      </c>
      <c r="C1106" s="3" t="str">
        <f>IFERROR(__xludf.DUMMYFUNCTION("""COMPUTED_VALUE"""),"ม.3/4")</f>
        <v>ม.3/4</v>
      </c>
      <c r="D1106" s="3" t="str">
        <f>IFERROR(__xludf.DUMMYFUNCTION("""COMPUTED_VALUE"""),"อก.2/4")</f>
        <v>อก.2/4</v>
      </c>
      <c r="E1106" s="2" t="str">
        <f>IFERROR(__xludf.DUMMYFUNCTION("""COMPUTED_VALUE"""),"ชาย")</f>
        <v>ชาย</v>
      </c>
      <c r="F1106" s="5" t="str">
        <f>IFERROR(__xludf.DUMMYFUNCTION("""COMPUTED_VALUE"""),"https://azizstan.net/student_image/25191.jpg")</f>
        <v>https://azizstan.net/student_image/25191.jpg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3" t="str">
        <f>IFERROR(__xludf.DUMMYFUNCTION("""COMPUTED_VALUE"""),"25194")</f>
        <v>25194</v>
      </c>
      <c r="B1107" s="3" t="str">
        <f>IFERROR(__xludf.DUMMYFUNCTION("""COMPUTED_VALUE"""),"ด.ช.อาลีฟ และนาหวัง")</f>
        <v>ด.ช.อาลีฟ และนาหวัง</v>
      </c>
      <c r="C1107" s="3" t="str">
        <f>IFERROR(__xludf.DUMMYFUNCTION("""COMPUTED_VALUE"""),"ม.3/4")</f>
        <v>ม.3/4</v>
      </c>
      <c r="D1107" s="3" t="str">
        <f>IFERROR(__xludf.DUMMYFUNCTION("""COMPUTED_VALUE"""),"อก.2/4")</f>
        <v>อก.2/4</v>
      </c>
      <c r="E1107" s="2" t="str">
        <f>IFERROR(__xludf.DUMMYFUNCTION("""COMPUTED_VALUE"""),"ชาย")</f>
        <v>ชาย</v>
      </c>
      <c r="F1107" s="5" t="str">
        <f>IFERROR(__xludf.DUMMYFUNCTION("""COMPUTED_VALUE"""),"https://azizstan.net/student_image/25194.jpg")</f>
        <v>https://azizstan.net/student_image/25194.jpg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3" t="str">
        <f>IFERROR(__xludf.DUMMYFUNCTION("""COMPUTED_VALUE"""),"25223")</f>
        <v>25223</v>
      </c>
      <c r="B1108" s="3" t="str">
        <f>IFERROR(__xludf.DUMMYFUNCTION("""COMPUTED_VALUE"""),"ด.ช.มูฮัมหมัดชามิล กริยา")</f>
        <v>ด.ช.มูฮัมหมัดชามิล กริยา</v>
      </c>
      <c r="C1108" s="3" t="str">
        <f>IFERROR(__xludf.DUMMYFUNCTION("""COMPUTED_VALUE"""),"ม.3/4")</f>
        <v>ม.3/4</v>
      </c>
      <c r="D1108" s="3" t="str">
        <f>IFERROR(__xludf.DUMMYFUNCTION("""COMPUTED_VALUE"""),"อก.2/4")</f>
        <v>อก.2/4</v>
      </c>
      <c r="E1108" s="2" t="str">
        <f>IFERROR(__xludf.DUMMYFUNCTION("""COMPUTED_VALUE"""),"ชาย")</f>
        <v>ชาย</v>
      </c>
      <c r="F1108" s="5" t="str">
        <f>IFERROR(__xludf.DUMMYFUNCTION("""COMPUTED_VALUE"""),"https://azizstan.net/student_image/25223.jpg")</f>
        <v>https://azizstan.net/student_image/25223.jpg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3" t="str">
        <f>IFERROR(__xludf.DUMMYFUNCTION("""COMPUTED_VALUE"""),"25226")</f>
        <v>25226</v>
      </c>
      <c r="B1109" s="3" t="str">
        <f>IFERROR(__xludf.DUMMYFUNCTION("""COMPUTED_VALUE"""),"ด.ช.อัฟฟาณดี จารง")</f>
        <v>ด.ช.อัฟฟาณดี จารง</v>
      </c>
      <c r="C1109" s="3" t="str">
        <f>IFERROR(__xludf.DUMMYFUNCTION("""COMPUTED_VALUE"""),"ม.3/4")</f>
        <v>ม.3/4</v>
      </c>
      <c r="D1109" s="3" t="str">
        <f>IFERROR(__xludf.DUMMYFUNCTION("""COMPUTED_VALUE"""),"อก.2/4")</f>
        <v>อก.2/4</v>
      </c>
      <c r="E1109" s="2" t="str">
        <f>IFERROR(__xludf.DUMMYFUNCTION("""COMPUTED_VALUE"""),"ชาย")</f>
        <v>ชาย</v>
      </c>
      <c r="F1109" s="5" t="str">
        <f>IFERROR(__xludf.DUMMYFUNCTION("""COMPUTED_VALUE"""),"https://azizstan.net/student_image/25226.jpg")</f>
        <v>https://azizstan.net/student_image/25226.jpg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3" t="str">
        <f>IFERROR(__xludf.DUMMYFUNCTION("""COMPUTED_VALUE"""),"25234")</f>
        <v>25234</v>
      </c>
      <c r="B1110" s="3" t="str">
        <f>IFERROR(__xludf.DUMMYFUNCTION("""COMPUTED_VALUE"""),"ด.ช.อิรฟาน อาแว")</f>
        <v>ด.ช.อิรฟาน อาแว</v>
      </c>
      <c r="C1110" s="3" t="str">
        <f>IFERROR(__xludf.DUMMYFUNCTION("""COMPUTED_VALUE"""),"ม.3/4")</f>
        <v>ม.3/4</v>
      </c>
      <c r="D1110" s="3" t="str">
        <f>IFERROR(__xludf.DUMMYFUNCTION("""COMPUTED_VALUE"""),"อก.2/4")</f>
        <v>อก.2/4</v>
      </c>
      <c r="E1110" s="2" t="str">
        <f>IFERROR(__xludf.DUMMYFUNCTION("""COMPUTED_VALUE"""),"ชาย")</f>
        <v>ชาย</v>
      </c>
      <c r="F1110" s="5" t="str">
        <f>IFERROR(__xludf.DUMMYFUNCTION("""COMPUTED_VALUE"""),"https://azizstan.net/student_image/25234.jpg")</f>
        <v>https://azizstan.net/student_image/25234.jpg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3" t="str">
        <f>IFERROR(__xludf.DUMMYFUNCTION("""COMPUTED_VALUE"""),"25239")</f>
        <v>25239</v>
      </c>
      <c r="B1111" s="3" t="str">
        <f>IFERROR(__xludf.DUMMYFUNCTION("""COMPUTED_VALUE"""),"ด.ช.ซาฮากีรีน สะอุ")</f>
        <v>ด.ช.ซาฮากีรีน สะอุ</v>
      </c>
      <c r="C1111" s="3" t="str">
        <f>IFERROR(__xludf.DUMMYFUNCTION("""COMPUTED_VALUE"""),"ม.3/4")</f>
        <v>ม.3/4</v>
      </c>
      <c r="D1111" s="3" t="str">
        <f>IFERROR(__xludf.DUMMYFUNCTION("""COMPUTED_VALUE"""),"อก.2/4")</f>
        <v>อก.2/4</v>
      </c>
      <c r="E1111" s="2" t="str">
        <f>IFERROR(__xludf.DUMMYFUNCTION("""COMPUTED_VALUE"""),"ชาย")</f>
        <v>ชาย</v>
      </c>
      <c r="F1111" s="5" t="str">
        <f>IFERROR(__xludf.DUMMYFUNCTION("""COMPUTED_VALUE"""),"https://azizstan.net/student_image/25239.jpg")</f>
        <v>https://azizstan.net/student_image/25239.jpg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3" t="str">
        <f>IFERROR(__xludf.DUMMYFUNCTION("""COMPUTED_VALUE"""),"25278")</f>
        <v>25278</v>
      </c>
      <c r="B1112" s="3" t="str">
        <f>IFERROR(__xludf.DUMMYFUNCTION("""COMPUTED_VALUE"""),"ด.ช.อาดีส ยูโซ๊ะ")</f>
        <v>ด.ช.อาดีส ยูโซ๊ะ</v>
      </c>
      <c r="C1112" s="3" t="str">
        <f>IFERROR(__xludf.DUMMYFUNCTION("""COMPUTED_VALUE"""),"ม.3/4")</f>
        <v>ม.3/4</v>
      </c>
      <c r="D1112" s="3" t="str">
        <f>IFERROR(__xludf.DUMMYFUNCTION("""COMPUTED_VALUE"""),"อก.2/4")</f>
        <v>อก.2/4</v>
      </c>
      <c r="E1112" s="2" t="str">
        <f>IFERROR(__xludf.DUMMYFUNCTION("""COMPUTED_VALUE"""),"ชาย")</f>
        <v>ชาย</v>
      </c>
      <c r="F1112" s="5" t="str">
        <f>IFERROR(__xludf.DUMMYFUNCTION("""COMPUTED_VALUE"""),"https://azizstan.net/student_image/25278.jpg")</f>
        <v>https://azizstan.net/student_image/25278.jpg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3" t="str">
        <f>IFERROR(__xludf.DUMMYFUNCTION("""COMPUTED_VALUE"""),"25294")</f>
        <v>25294</v>
      </c>
      <c r="B1113" s="3" t="str">
        <f>IFERROR(__xludf.DUMMYFUNCTION("""COMPUTED_VALUE"""),"ด.ช.อาดัม มอลอเล๊าะ")</f>
        <v>ด.ช.อาดัม มอลอเล๊าะ</v>
      </c>
      <c r="C1113" s="3" t="str">
        <f>IFERROR(__xludf.DUMMYFUNCTION("""COMPUTED_VALUE"""),"ม.3/4")</f>
        <v>ม.3/4</v>
      </c>
      <c r="D1113" s="3" t="str">
        <f>IFERROR(__xludf.DUMMYFUNCTION("""COMPUTED_VALUE"""),"อก.2/4")</f>
        <v>อก.2/4</v>
      </c>
      <c r="E1113" s="2" t="str">
        <f>IFERROR(__xludf.DUMMYFUNCTION("""COMPUTED_VALUE"""),"ชาย")</f>
        <v>ชาย</v>
      </c>
      <c r="F1113" s="5" t="str">
        <f>IFERROR(__xludf.DUMMYFUNCTION("""COMPUTED_VALUE"""),"https://azizstan.net/student_image/25294.jpg")</f>
        <v>https://azizstan.net/student_image/25294.jpg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3" t="str">
        <f>IFERROR(__xludf.DUMMYFUNCTION("""COMPUTED_VALUE"""),"25344")</f>
        <v>25344</v>
      </c>
      <c r="B1114" s="3" t="str">
        <f>IFERROR(__xludf.DUMMYFUNCTION("""COMPUTED_VALUE"""),"ด.ช.มูฮัมหมัดเนาว์ฟาน ยูโซะ")</f>
        <v>ด.ช.มูฮัมหมัดเนาว์ฟาน ยูโซะ</v>
      </c>
      <c r="C1114" s="3" t="str">
        <f>IFERROR(__xludf.DUMMYFUNCTION("""COMPUTED_VALUE"""),"ม.3/4")</f>
        <v>ม.3/4</v>
      </c>
      <c r="D1114" s="3" t="str">
        <f>IFERROR(__xludf.DUMMYFUNCTION("""COMPUTED_VALUE"""),"อก.2/4")</f>
        <v>อก.2/4</v>
      </c>
      <c r="E1114" s="2" t="str">
        <f>IFERROR(__xludf.DUMMYFUNCTION("""COMPUTED_VALUE"""),"ชาย")</f>
        <v>ชาย</v>
      </c>
      <c r="F1114" s="5" t="str">
        <f>IFERROR(__xludf.DUMMYFUNCTION("""COMPUTED_VALUE"""),"https://azizstan.net/student_image/25344.jpg")</f>
        <v>https://azizstan.net/student_image/25344.jpg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3" t="str">
        <f>IFERROR(__xludf.DUMMYFUNCTION("""COMPUTED_VALUE"""),"25369")</f>
        <v>25369</v>
      </c>
      <c r="B1115" s="3" t="str">
        <f>IFERROR(__xludf.DUMMYFUNCTION("""COMPUTED_VALUE"""),"ด.ช.นะห์ดี หวังแอ")</f>
        <v>ด.ช.นะห์ดี หวังแอ</v>
      </c>
      <c r="C1115" s="3" t="str">
        <f>IFERROR(__xludf.DUMMYFUNCTION("""COMPUTED_VALUE"""),"ม.3/4")</f>
        <v>ม.3/4</v>
      </c>
      <c r="D1115" s="3" t="str">
        <f>IFERROR(__xludf.DUMMYFUNCTION("""COMPUTED_VALUE"""),"อก.2/4")</f>
        <v>อก.2/4</v>
      </c>
      <c r="E1115" s="2" t="str">
        <f>IFERROR(__xludf.DUMMYFUNCTION("""COMPUTED_VALUE"""),"ชาย")</f>
        <v>ชาย</v>
      </c>
      <c r="F1115" s="5" t="str">
        <f>IFERROR(__xludf.DUMMYFUNCTION("""COMPUTED_VALUE"""),"https://azizstan.net/student_image/25369.jpg")</f>
        <v>https://azizstan.net/student_image/25369.jpg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3" t="str">
        <f>IFERROR(__xludf.DUMMYFUNCTION("""COMPUTED_VALUE"""),"25540")</f>
        <v>25540</v>
      </c>
      <c r="B1116" s="3" t="str">
        <f>IFERROR(__xludf.DUMMYFUNCTION("""COMPUTED_VALUE"""),"ด.ช.อิลฮัม สูหลง")</f>
        <v>ด.ช.อิลฮัม สูหลง</v>
      </c>
      <c r="C1116" s="3" t="str">
        <f>IFERROR(__xludf.DUMMYFUNCTION("""COMPUTED_VALUE"""),"ม.3/4")</f>
        <v>ม.3/4</v>
      </c>
      <c r="D1116" s="3" t="str">
        <f>IFERROR(__xludf.DUMMYFUNCTION("""COMPUTED_VALUE"""),"อก.2/4")</f>
        <v>อก.2/4</v>
      </c>
      <c r="E1116" s="2" t="str">
        <f>IFERROR(__xludf.DUMMYFUNCTION("""COMPUTED_VALUE"""),"ชาย")</f>
        <v>ชาย</v>
      </c>
      <c r="F1116" s="5" t="str">
        <f>IFERROR(__xludf.DUMMYFUNCTION("""COMPUTED_VALUE"""),"https://azizstan.net/student_image/25540.jpg")</f>
        <v>https://azizstan.net/student_image/25540.jpg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3" t="str">
        <f>IFERROR(__xludf.DUMMYFUNCTION("""COMPUTED_VALUE"""),"25606")</f>
        <v>25606</v>
      </c>
      <c r="B1117" s="3" t="str">
        <f>IFERROR(__xludf.DUMMYFUNCTION("""COMPUTED_VALUE"""),"ด.ช.มูฮัมหมัดฟิตรี บือราเฮง")</f>
        <v>ด.ช.มูฮัมหมัดฟิตรี บือราเฮง</v>
      </c>
      <c r="C1117" s="3" t="str">
        <f>IFERROR(__xludf.DUMMYFUNCTION("""COMPUTED_VALUE"""),"ม.3/4")</f>
        <v>ม.3/4</v>
      </c>
      <c r="D1117" s="3" t="str">
        <f>IFERROR(__xludf.DUMMYFUNCTION("""COMPUTED_VALUE"""),"อก.2/4")</f>
        <v>อก.2/4</v>
      </c>
      <c r="E1117" s="2" t="str">
        <f>IFERROR(__xludf.DUMMYFUNCTION("""COMPUTED_VALUE"""),"ชาย")</f>
        <v>ชาย</v>
      </c>
      <c r="F1117" s="5" t="str">
        <f>IFERROR(__xludf.DUMMYFUNCTION("""COMPUTED_VALUE"""),"https://azizstan.net/student_image/25606.jpg")</f>
        <v>https://azizstan.net/student_image/25606.jpg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3" t="str">
        <f>IFERROR(__xludf.DUMMYFUNCTION("""COMPUTED_VALUE"""),"24587")</f>
        <v>24587</v>
      </c>
      <c r="B1118" s="3" t="str">
        <f>IFERROR(__xludf.DUMMYFUNCTION("""COMPUTED_VALUE"""),"ด.ญ.ฮาญัร โต๊ะยะเล")</f>
        <v>ด.ญ.ฮาญัร โต๊ะยะเล</v>
      </c>
      <c r="C1118" s="3" t="str">
        <f>IFERROR(__xludf.DUMMYFUNCTION("""COMPUTED_VALUE"""),"ม.3/5")</f>
        <v>ม.3/5</v>
      </c>
      <c r="D1118" s="3" t="str">
        <f>IFERROR(__xludf.DUMMYFUNCTION("""COMPUTED_VALUE"""),"อก.3/10")</f>
        <v>อก.3/10</v>
      </c>
      <c r="E1118" s="2" t="str">
        <f>IFERROR(__xludf.DUMMYFUNCTION("""COMPUTED_VALUE"""),"หญิง")</f>
        <v>หญิง</v>
      </c>
      <c r="F1118" s="5" t="str">
        <f>IFERROR(__xludf.DUMMYFUNCTION("""COMPUTED_VALUE"""),"https://azizstan.net/student_image/24587.jpg")</f>
        <v>https://azizstan.net/student_image/24587.jpg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3" t="str">
        <f>IFERROR(__xludf.DUMMYFUNCTION("""COMPUTED_VALUE"""),"24598")</f>
        <v>24598</v>
      </c>
      <c r="B1119" s="3" t="str">
        <f>IFERROR(__xludf.DUMMYFUNCTION("""COMPUTED_VALUE"""),"ด.ช.ณัศสรีย์ โคกเขา")</f>
        <v>ด.ช.ณัศสรีย์ โคกเขา</v>
      </c>
      <c r="C1119" s="3" t="str">
        <f>IFERROR(__xludf.DUMMYFUNCTION("""COMPUTED_VALUE"""),"ม.3/5")</f>
        <v>ม.3/5</v>
      </c>
      <c r="D1119" s="3" t="str">
        <f>IFERROR(__xludf.DUMMYFUNCTION("""COMPUTED_VALUE"""),"อก.3/10")</f>
        <v>อก.3/10</v>
      </c>
      <c r="E1119" s="2" t="str">
        <f>IFERROR(__xludf.DUMMYFUNCTION("""COMPUTED_VALUE"""),"ชาย")</f>
        <v>ชาย</v>
      </c>
      <c r="F1119" s="5" t="str">
        <f>IFERROR(__xludf.DUMMYFUNCTION("""COMPUTED_VALUE"""),"https://azizstan.net/student_image/24598.jpg")</f>
        <v>https://azizstan.net/student_image/24598.jpg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3" t="str">
        <f>IFERROR(__xludf.DUMMYFUNCTION("""COMPUTED_VALUE"""),"24643")</f>
        <v>24643</v>
      </c>
      <c r="B1120" s="3" t="str">
        <f>IFERROR(__xludf.DUMMYFUNCTION("""COMPUTED_VALUE"""),"ด.ญ.ฟิรเดาซ์ ดอเลาะเซาะ")</f>
        <v>ด.ญ.ฟิรเดาซ์ ดอเลาะเซาะ</v>
      </c>
      <c r="C1120" s="3" t="str">
        <f>IFERROR(__xludf.DUMMYFUNCTION("""COMPUTED_VALUE"""),"ม.3/5")</f>
        <v>ม.3/5</v>
      </c>
      <c r="D1120" s="3" t="str">
        <f>IFERROR(__xludf.DUMMYFUNCTION("""COMPUTED_VALUE"""),"อก.3/10")</f>
        <v>อก.3/10</v>
      </c>
      <c r="E1120" s="2" t="str">
        <f>IFERROR(__xludf.DUMMYFUNCTION("""COMPUTED_VALUE"""),"หญิง")</f>
        <v>หญิง</v>
      </c>
      <c r="F1120" s="5" t="str">
        <f>IFERROR(__xludf.DUMMYFUNCTION("""COMPUTED_VALUE"""),"https://azizstan.net/student_image/24643.jpg")</f>
        <v>https://azizstan.net/student_image/24643.jpg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3" t="str">
        <f>IFERROR(__xludf.DUMMYFUNCTION("""COMPUTED_VALUE"""),"24679")</f>
        <v>24679</v>
      </c>
      <c r="B1121" s="3" t="str">
        <f>IFERROR(__xludf.DUMMYFUNCTION("""COMPUTED_VALUE"""),"ด.ช.อับดุลฮากีม มะเด็ง")</f>
        <v>ด.ช.อับดุลฮากีม มะเด็ง</v>
      </c>
      <c r="C1121" s="3" t="str">
        <f>IFERROR(__xludf.DUMMYFUNCTION("""COMPUTED_VALUE"""),"ม.3/5")</f>
        <v>ม.3/5</v>
      </c>
      <c r="D1121" s="3" t="str">
        <f>IFERROR(__xludf.DUMMYFUNCTION("""COMPUTED_VALUE"""),"อก.3/10")</f>
        <v>อก.3/10</v>
      </c>
      <c r="E1121" s="2" t="str">
        <f>IFERROR(__xludf.DUMMYFUNCTION("""COMPUTED_VALUE"""),"ชาย")</f>
        <v>ชาย</v>
      </c>
      <c r="F1121" s="5" t="str">
        <f>IFERROR(__xludf.DUMMYFUNCTION("""COMPUTED_VALUE"""),"https://azizstan.net/student_image/24679.jpg")</f>
        <v>https://azizstan.net/student_image/24679.jpg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3" t="str">
        <f>IFERROR(__xludf.DUMMYFUNCTION("""COMPUTED_VALUE"""),"24712")</f>
        <v>24712</v>
      </c>
      <c r="B1122" s="3" t="str">
        <f>IFERROR(__xludf.DUMMYFUNCTION("""COMPUTED_VALUE"""),"ด.ญ.ซัรฟา หวันเด็น")</f>
        <v>ด.ญ.ซัรฟา หวันเด็น</v>
      </c>
      <c r="C1122" s="3" t="str">
        <f>IFERROR(__xludf.DUMMYFUNCTION("""COMPUTED_VALUE"""),"ม.3/5")</f>
        <v>ม.3/5</v>
      </c>
      <c r="D1122" s="3" t="str">
        <f>IFERROR(__xludf.DUMMYFUNCTION("""COMPUTED_VALUE"""),"อก.3/10")</f>
        <v>อก.3/10</v>
      </c>
      <c r="E1122" s="2" t="str">
        <f>IFERROR(__xludf.DUMMYFUNCTION("""COMPUTED_VALUE"""),"หญิง")</f>
        <v>หญิง</v>
      </c>
      <c r="F1122" s="5" t="str">
        <f>IFERROR(__xludf.DUMMYFUNCTION("""COMPUTED_VALUE"""),"https://azizstan.net/student_image/24712.jpg")</f>
        <v>https://azizstan.net/student_image/24712.jpg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3" t="str">
        <f>IFERROR(__xludf.DUMMYFUNCTION("""COMPUTED_VALUE"""),"24727")</f>
        <v>24727</v>
      </c>
      <c r="B1123" s="3" t="str">
        <f>IFERROR(__xludf.DUMMYFUNCTION("""COMPUTED_VALUE"""),"ด.ช.มูฮัมหมัดฟาดีล แมเราะ")</f>
        <v>ด.ช.มูฮัมหมัดฟาดีล แมเราะ</v>
      </c>
      <c r="C1123" s="3" t="str">
        <f>IFERROR(__xludf.DUMMYFUNCTION("""COMPUTED_VALUE"""),"ม.3/5")</f>
        <v>ม.3/5</v>
      </c>
      <c r="D1123" s="3" t="str">
        <f>IFERROR(__xludf.DUMMYFUNCTION("""COMPUTED_VALUE"""),"อก.3/10")</f>
        <v>อก.3/10</v>
      </c>
      <c r="E1123" s="2" t="str">
        <f>IFERROR(__xludf.DUMMYFUNCTION("""COMPUTED_VALUE"""),"ชาย")</f>
        <v>ชาย</v>
      </c>
      <c r="F1123" s="5" t="str">
        <f>IFERROR(__xludf.DUMMYFUNCTION("""COMPUTED_VALUE"""),"https://azizstan.net/student_image/24727.jpg")</f>
        <v>https://azizstan.net/student_image/24727.jpg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3" t="str">
        <f>IFERROR(__xludf.DUMMYFUNCTION("""COMPUTED_VALUE"""),"24746")</f>
        <v>24746</v>
      </c>
      <c r="B1124" s="3" t="str">
        <f>IFERROR(__xludf.DUMMYFUNCTION("""COMPUTED_VALUE"""),"ด.ช.ซาฟูวันย์ ยามูยีมะ")</f>
        <v>ด.ช.ซาฟูวันย์ ยามูยีมะ</v>
      </c>
      <c r="C1124" s="3" t="str">
        <f>IFERROR(__xludf.DUMMYFUNCTION("""COMPUTED_VALUE"""),"ม.3/5")</f>
        <v>ม.3/5</v>
      </c>
      <c r="D1124" s="3" t="str">
        <f>IFERROR(__xludf.DUMMYFUNCTION("""COMPUTED_VALUE"""),"อก.3/10")</f>
        <v>อก.3/10</v>
      </c>
      <c r="E1124" s="2" t="str">
        <f>IFERROR(__xludf.DUMMYFUNCTION("""COMPUTED_VALUE"""),"ชาย")</f>
        <v>ชาย</v>
      </c>
      <c r="F1124" s="5" t="str">
        <f>IFERROR(__xludf.DUMMYFUNCTION("""COMPUTED_VALUE"""),"https://azizstan.net/student_image/24746.jpg")</f>
        <v>https://azizstan.net/student_image/24746.jpg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3" t="str">
        <f>IFERROR(__xludf.DUMMYFUNCTION("""COMPUTED_VALUE"""),"24774")</f>
        <v>24774</v>
      </c>
      <c r="B1125" s="3" t="str">
        <f>IFERROR(__xludf.DUMMYFUNCTION("""COMPUTED_VALUE"""),"ด.ช.อับดุลฆอฟูร ดาโอะ")</f>
        <v>ด.ช.อับดุลฆอฟูร ดาโอะ</v>
      </c>
      <c r="C1125" s="3" t="str">
        <f>IFERROR(__xludf.DUMMYFUNCTION("""COMPUTED_VALUE"""),"ม.3/5")</f>
        <v>ม.3/5</v>
      </c>
      <c r="D1125" s="3" t="str">
        <f>IFERROR(__xludf.DUMMYFUNCTION("""COMPUTED_VALUE"""),"อก.3/10")</f>
        <v>อก.3/10</v>
      </c>
      <c r="E1125" s="2" t="str">
        <f>IFERROR(__xludf.DUMMYFUNCTION("""COMPUTED_VALUE"""),"ชาย")</f>
        <v>ชาย</v>
      </c>
      <c r="F1125" s="5" t="str">
        <f>IFERROR(__xludf.DUMMYFUNCTION("""COMPUTED_VALUE"""),"https://azizstan.net/student_image/24774.jpg")</f>
        <v>https://azizstan.net/student_image/24774.jpg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3" t="str">
        <f>IFERROR(__xludf.DUMMYFUNCTION("""COMPUTED_VALUE"""),"24783")</f>
        <v>24783</v>
      </c>
      <c r="B1126" s="3" t="str">
        <f>IFERROR(__xludf.DUMMYFUNCTION("""COMPUTED_VALUE"""),"ด.ญ.นัสรีน ดอเลาะ")</f>
        <v>ด.ญ.นัสรีน ดอเลาะ</v>
      </c>
      <c r="C1126" s="3" t="str">
        <f>IFERROR(__xludf.DUMMYFUNCTION("""COMPUTED_VALUE"""),"ม.3/5")</f>
        <v>ม.3/5</v>
      </c>
      <c r="D1126" s="3" t="str">
        <f>IFERROR(__xludf.DUMMYFUNCTION("""COMPUTED_VALUE"""),"อก.3/10")</f>
        <v>อก.3/10</v>
      </c>
      <c r="E1126" s="2" t="str">
        <f>IFERROR(__xludf.DUMMYFUNCTION("""COMPUTED_VALUE"""),"หญิง")</f>
        <v>หญิง</v>
      </c>
      <c r="F1126" s="5" t="str">
        <f>IFERROR(__xludf.DUMMYFUNCTION("""COMPUTED_VALUE"""),"https://azizstan.net/student_image/24783.jpg")</f>
        <v>https://azizstan.net/student_image/24783.jpg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3" t="str">
        <f>IFERROR(__xludf.DUMMYFUNCTION("""COMPUTED_VALUE"""),"24786")</f>
        <v>24786</v>
      </c>
      <c r="B1127" s="3" t="str">
        <f>IFERROR(__xludf.DUMMYFUNCTION("""COMPUTED_VALUE"""),"ด.ช.ติรมีซีย์ มะสัน")</f>
        <v>ด.ช.ติรมีซีย์ มะสัน</v>
      </c>
      <c r="C1127" s="3" t="str">
        <f>IFERROR(__xludf.DUMMYFUNCTION("""COMPUTED_VALUE"""),"ม.3/5")</f>
        <v>ม.3/5</v>
      </c>
      <c r="D1127" s="3" t="str">
        <f>IFERROR(__xludf.DUMMYFUNCTION("""COMPUTED_VALUE"""),"อก.3/10")</f>
        <v>อก.3/10</v>
      </c>
      <c r="E1127" s="2" t="str">
        <f>IFERROR(__xludf.DUMMYFUNCTION("""COMPUTED_VALUE"""),"ชาย")</f>
        <v>ชาย</v>
      </c>
      <c r="F1127" s="5" t="str">
        <f>IFERROR(__xludf.DUMMYFUNCTION("""COMPUTED_VALUE"""),"https://azizstan.net/student_image/24786.jpg")</f>
        <v>https://azizstan.net/student_image/24786.jpg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3" t="str">
        <f>IFERROR(__xludf.DUMMYFUNCTION("""COMPUTED_VALUE"""),"24789")</f>
        <v>24789</v>
      </c>
      <c r="B1128" s="3" t="str">
        <f>IFERROR(__xludf.DUMMYFUNCTION("""COMPUTED_VALUE"""),"ด.ช.วาเอล อาหวัง")</f>
        <v>ด.ช.วาเอล อาหวัง</v>
      </c>
      <c r="C1128" s="3" t="str">
        <f>IFERROR(__xludf.DUMMYFUNCTION("""COMPUTED_VALUE"""),"ม.3/5")</f>
        <v>ม.3/5</v>
      </c>
      <c r="D1128" s="3" t="str">
        <f>IFERROR(__xludf.DUMMYFUNCTION("""COMPUTED_VALUE"""),"อก.3/10")</f>
        <v>อก.3/10</v>
      </c>
      <c r="E1128" s="2" t="str">
        <f>IFERROR(__xludf.DUMMYFUNCTION("""COMPUTED_VALUE"""),"ชาย")</f>
        <v>ชาย</v>
      </c>
      <c r="F1128" s="5" t="str">
        <f>IFERROR(__xludf.DUMMYFUNCTION("""COMPUTED_VALUE"""),"https://azizstan.net/student_image/24789.jpg")</f>
        <v>https://azizstan.net/student_image/24789.jpg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3" t="str">
        <f>IFERROR(__xludf.DUMMYFUNCTION("""COMPUTED_VALUE"""),"24865")</f>
        <v>24865</v>
      </c>
      <c r="B1129" s="3" t="str">
        <f>IFERROR(__xludf.DUMMYFUNCTION("""COMPUTED_VALUE"""),"ด.ช.มูฮัมหมัดฎูฮา เส็นเจริญ")</f>
        <v>ด.ช.มูฮัมหมัดฎูฮา เส็นเจริญ</v>
      </c>
      <c r="C1129" s="3" t="str">
        <f>IFERROR(__xludf.DUMMYFUNCTION("""COMPUTED_VALUE"""),"ม.3/5")</f>
        <v>ม.3/5</v>
      </c>
      <c r="D1129" s="3" t="str">
        <f>IFERROR(__xludf.DUMMYFUNCTION("""COMPUTED_VALUE"""),"อก.3/10")</f>
        <v>อก.3/10</v>
      </c>
      <c r="E1129" s="2" t="str">
        <f>IFERROR(__xludf.DUMMYFUNCTION("""COMPUTED_VALUE"""),"ชาย")</f>
        <v>ชาย</v>
      </c>
      <c r="F1129" s="5" t="str">
        <f>IFERROR(__xludf.DUMMYFUNCTION("""COMPUTED_VALUE"""),"https://azizstan.net/student_image/24865.jpg")</f>
        <v>https://azizstan.net/student_image/24865.jpg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3" t="str">
        <f>IFERROR(__xludf.DUMMYFUNCTION("""COMPUTED_VALUE"""),"24868")</f>
        <v>24868</v>
      </c>
      <c r="B1130" s="3" t="str">
        <f>IFERROR(__xludf.DUMMYFUNCTION("""COMPUTED_VALUE"""),"ด.ญ.อามาล อาลี")</f>
        <v>ด.ญ.อามาล อาลี</v>
      </c>
      <c r="C1130" s="3" t="str">
        <f>IFERROR(__xludf.DUMMYFUNCTION("""COMPUTED_VALUE"""),"ม.3/5")</f>
        <v>ม.3/5</v>
      </c>
      <c r="D1130" s="3" t="str">
        <f>IFERROR(__xludf.DUMMYFUNCTION("""COMPUTED_VALUE"""),"อก.3/10")</f>
        <v>อก.3/10</v>
      </c>
      <c r="E1130" s="2" t="str">
        <f>IFERROR(__xludf.DUMMYFUNCTION("""COMPUTED_VALUE"""),"หญิง")</f>
        <v>หญิง</v>
      </c>
      <c r="F1130" s="5" t="str">
        <f>IFERROR(__xludf.DUMMYFUNCTION("""COMPUTED_VALUE"""),"https://azizstan.net/student_image/24868.jpg")</f>
        <v>https://azizstan.net/student_image/24868.jpg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3" t="str">
        <f>IFERROR(__xludf.DUMMYFUNCTION("""COMPUTED_VALUE"""),"24901")</f>
        <v>24901</v>
      </c>
      <c r="B1131" s="3" t="str">
        <f>IFERROR(__xludf.DUMMYFUNCTION("""COMPUTED_VALUE"""),"ด.ญ.ฮันนาน แซ่เตียว")</f>
        <v>ด.ญ.ฮันนาน แซ่เตียว</v>
      </c>
      <c r="C1131" s="3" t="str">
        <f>IFERROR(__xludf.DUMMYFUNCTION("""COMPUTED_VALUE"""),"ม.3/5")</f>
        <v>ม.3/5</v>
      </c>
      <c r="D1131" s="3" t="str">
        <f>IFERROR(__xludf.DUMMYFUNCTION("""COMPUTED_VALUE"""),"อก.3/10")</f>
        <v>อก.3/10</v>
      </c>
      <c r="E1131" s="2" t="str">
        <f>IFERROR(__xludf.DUMMYFUNCTION("""COMPUTED_VALUE"""),"หญิง")</f>
        <v>หญิง</v>
      </c>
      <c r="F1131" s="5" t="str">
        <f>IFERROR(__xludf.DUMMYFUNCTION("""COMPUTED_VALUE"""),"https://azizstan.net/student_image/24901.jpg")</f>
        <v>https://azizstan.net/student_image/24901.jpg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3" t="str">
        <f>IFERROR(__xludf.DUMMYFUNCTION("""COMPUTED_VALUE"""),"24949")</f>
        <v>24949</v>
      </c>
      <c r="B1132" s="3" t="str">
        <f>IFERROR(__xludf.DUMMYFUNCTION("""COMPUTED_VALUE"""),"ด.ช.อินอาม เจ๊ะกาเดร์")</f>
        <v>ด.ช.อินอาม เจ๊ะกาเดร์</v>
      </c>
      <c r="C1132" s="3" t="str">
        <f>IFERROR(__xludf.DUMMYFUNCTION("""COMPUTED_VALUE"""),"ม.3/5")</f>
        <v>ม.3/5</v>
      </c>
      <c r="D1132" s="3" t="str">
        <f>IFERROR(__xludf.DUMMYFUNCTION("""COMPUTED_VALUE"""),"อก.3/10")</f>
        <v>อก.3/10</v>
      </c>
      <c r="E1132" s="2" t="str">
        <f>IFERROR(__xludf.DUMMYFUNCTION("""COMPUTED_VALUE"""),"ชาย")</f>
        <v>ชาย</v>
      </c>
      <c r="F1132" s="5" t="str">
        <f>IFERROR(__xludf.DUMMYFUNCTION("""COMPUTED_VALUE"""),"https://azizstan.net/student_image/24949.jpg")</f>
        <v>https://azizstan.net/student_image/24949.jpg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3" t="str">
        <f>IFERROR(__xludf.DUMMYFUNCTION("""COMPUTED_VALUE"""),"24958")</f>
        <v>24958</v>
      </c>
      <c r="B1133" s="3" t="str">
        <f>IFERROR(__xludf.DUMMYFUNCTION("""COMPUTED_VALUE"""),"ด.ญ.นิค็อยรุนนิสา หะยีเจ๊ะแน")</f>
        <v>ด.ญ.นิค็อยรุนนิสา หะยีเจ๊ะแน</v>
      </c>
      <c r="C1133" s="3" t="str">
        <f>IFERROR(__xludf.DUMMYFUNCTION("""COMPUTED_VALUE"""),"ม.3/5")</f>
        <v>ม.3/5</v>
      </c>
      <c r="D1133" s="3" t="str">
        <f>IFERROR(__xludf.DUMMYFUNCTION("""COMPUTED_VALUE"""),"อก.3/10")</f>
        <v>อก.3/10</v>
      </c>
      <c r="E1133" s="2" t="str">
        <f>IFERROR(__xludf.DUMMYFUNCTION("""COMPUTED_VALUE"""),"หญิง")</f>
        <v>หญิง</v>
      </c>
      <c r="F1133" s="5" t="str">
        <f>IFERROR(__xludf.DUMMYFUNCTION("""COMPUTED_VALUE"""),"https://azizstan.net/student_image/24958.jpg")</f>
        <v>https://azizstan.net/student_image/24958.jpg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3" t="str">
        <f>IFERROR(__xludf.DUMMYFUNCTION("""COMPUTED_VALUE"""),"25000")</f>
        <v>25000</v>
      </c>
      <c r="B1134" s="3" t="str">
        <f>IFERROR(__xludf.DUMMYFUNCTION("""COMPUTED_VALUE"""),"ด.ช.อัฟฮัม มาแกง")</f>
        <v>ด.ช.อัฟฮัม มาแกง</v>
      </c>
      <c r="C1134" s="3" t="str">
        <f>IFERROR(__xludf.DUMMYFUNCTION("""COMPUTED_VALUE"""),"ม.3/5")</f>
        <v>ม.3/5</v>
      </c>
      <c r="D1134" s="3" t="str">
        <f>IFERROR(__xludf.DUMMYFUNCTION("""COMPUTED_VALUE"""),"อก.3/10")</f>
        <v>อก.3/10</v>
      </c>
      <c r="E1134" s="2" t="str">
        <f>IFERROR(__xludf.DUMMYFUNCTION("""COMPUTED_VALUE"""),"ชาย")</f>
        <v>ชาย</v>
      </c>
      <c r="F1134" s="5" t="str">
        <f>IFERROR(__xludf.DUMMYFUNCTION("""COMPUTED_VALUE"""),"https://azizstan.net/student_image/25000.jpg")</f>
        <v>https://azizstan.net/student_image/25000.jpg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3" t="str">
        <f>IFERROR(__xludf.DUMMYFUNCTION("""COMPUTED_VALUE"""),"25055")</f>
        <v>25055</v>
      </c>
      <c r="B1135" s="3" t="str">
        <f>IFERROR(__xludf.DUMMYFUNCTION("""COMPUTED_VALUE"""),"ด.ญ.รอยฮาน อาแว")</f>
        <v>ด.ญ.รอยฮาน อาแว</v>
      </c>
      <c r="C1135" s="3" t="str">
        <f>IFERROR(__xludf.DUMMYFUNCTION("""COMPUTED_VALUE"""),"ม.3/5")</f>
        <v>ม.3/5</v>
      </c>
      <c r="D1135" s="3" t="str">
        <f>IFERROR(__xludf.DUMMYFUNCTION("""COMPUTED_VALUE"""),"อก.3/10")</f>
        <v>อก.3/10</v>
      </c>
      <c r="E1135" s="2" t="str">
        <f>IFERROR(__xludf.DUMMYFUNCTION("""COMPUTED_VALUE"""),"หญิง")</f>
        <v>หญิง</v>
      </c>
      <c r="F1135" s="5" t="str">
        <f>IFERROR(__xludf.DUMMYFUNCTION("""COMPUTED_VALUE"""),"https://azizstan.net/student_image/25055.jpg")</f>
        <v>https://azizstan.net/student_image/25055.jpg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3" t="str">
        <f>IFERROR(__xludf.DUMMYFUNCTION("""COMPUTED_VALUE"""),"25057")</f>
        <v>25057</v>
      </c>
      <c r="B1136" s="3" t="str">
        <f>IFERROR(__xludf.DUMMYFUNCTION("""COMPUTED_VALUE"""),"ด.ช.อิลยัส อุมา")</f>
        <v>ด.ช.อิลยัส อุมา</v>
      </c>
      <c r="C1136" s="3" t="str">
        <f>IFERROR(__xludf.DUMMYFUNCTION("""COMPUTED_VALUE"""),"ม.3/5")</f>
        <v>ม.3/5</v>
      </c>
      <c r="D1136" s="3" t="str">
        <f>IFERROR(__xludf.DUMMYFUNCTION("""COMPUTED_VALUE"""),"อก.3/10")</f>
        <v>อก.3/10</v>
      </c>
      <c r="E1136" s="2" t="str">
        <f>IFERROR(__xludf.DUMMYFUNCTION("""COMPUTED_VALUE"""),"ชาย")</f>
        <v>ชาย</v>
      </c>
      <c r="F1136" s="5" t="str">
        <f>IFERROR(__xludf.DUMMYFUNCTION("""COMPUTED_VALUE"""),"https://azizstan.net/student_image/25057.jpg")</f>
        <v>https://azizstan.net/student_image/25057.jpg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3" t="str">
        <f>IFERROR(__xludf.DUMMYFUNCTION("""COMPUTED_VALUE"""),"25162")</f>
        <v>25162</v>
      </c>
      <c r="B1137" s="3" t="str">
        <f>IFERROR(__xludf.DUMMYFUNCTION("""COMPUTED_VALUE"""),"ด.ญ.ญาดา ดือราแม")</f>
        <v>ด.ญ.ญาดา ดือราแม</v>
      </c>
      <c r="C1137" s="3" t="str">
        <f>IFERROR(__xludf.DUMMYFUNCTION("""COMPUTED_VALUE"""),"ม.3/5")</f>
        <v>ม.3/5</v>
      </c>
      <c r="D1137" s="3" t="str">
        <f>IFERROR(__xludf.DUMMYFUNCTION("""COMPUTED_VALUE"""),"อก.3/10")</f>
        <v>อก.3/10</v>
      </c>
      <c r="E1137" s="2" t="str">
        <f>IFERROR(__xludf.DUMMYFUNCTION("""COMPUTED_VALUE"""),"หญิง")</f>
        <v>หญิง</v>
      </c>
      <c r="F1137" s="5" t="str">
        <f>IFERROR(__xludf.DUMMYFUNCTION("""COMPUTED_VALUE"""),"https://azizstan.net/student_image/25162.jpg")</f>
        <v>https://azizstan.net/student_image/25162.jpg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3" t="str">
        <f>IFERROR(__xludf.DUMMYFUNCTION("""COMPUTED_VALUE"""),"25185")</f>
        <v>25185</v>
      </c>
      <c r="B1138" s="3" t="str">
        <f>IFERROR(__xludf.DUMMYFUNCTION("""COMPUTED_VALUE"""),"ด.ญ.ชามีมี่ ดาโอะ")</f>
        <v>ด.ญ.ชามีมี่ ดาโอะ</v>
      </c>
      <c r="C1138" s="3" t="str">
        <f>IFERROR(__xludf.DUMMYFUNCTION("""COMPUTED_VALUE"""),"ม.3/5")</f>
        <v>ม.3/5</v>
      </c>
      <c r="D1138" s="3" t="str">
        <f>IFERROR(__xludf.DUMMYFUNCTION("""COMPUTED_VALUE"""),"อก.3/10")</f>
        <v>อก.3/10</v>
      </c>
      <c r="E1138" s="2" t="str">
        <f>IFERROR(__xludf.DUMMYFUNCTION("""COMPUTED_VALUE"""),"หญิง")</f>
        <v>หญิง</v>
      </c>
      <c r="F1138" s="5" t="str">
        <f>IFERROR(__xludf.DUMMYFUNCTION("""COMPUTED_VALUE"""),"https://azizstan.net/student_image/25185.jpg")</f>
        <v>https://azizstan.net/student_image/25185.jpg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3" t="str">
        <f>IFERROR(__xludf.DUMMYFUNCTION("""COMPUTED_VALUE"""),"25187")</f>
        <v>25187</v>
      </c>
      <c r="B1139" s="3" t="str">
        <f>IFERROR(__xludf.DUMMYFUNCTION("""COMPUTED_VALUE"""),"ด.ช.คัยรุณอามีรินทร์ แวยูโซะ")</f>
        <v>ด.ช.คัยรุณอามีรินทร์ แวยูโซะ</v>
      </c>
      <c r="C1139" s="3" t="str">
        <f>IFERROR(__xludf.DUMMYFUNCTION("""COMPUTED_VALUE"""),"ม.3/5")</f>
        <v>ม.3/5</v>
      </c>
      <c r="D1139" s="3" t="str">
        <f>IFERROR(__xludf.DUMMYFUNCTION("""COMPUTED_VALUE"""),"อก.3/10")</f>
        <v>อก.3/10</v>
      </c>
      <c r="E1139" s="2" t="str">
        <f>IFERROR(__xludf.DUMMYFUNCTION("""COMPUTED_VALUE"""),"ชาย")</f>
        <v>ชาย</v>
      </c>
      <c r="F1139" s="5" t="str">
        <f>IFERROR(__xludf.DUMMYFUNCTION("""COMPUTED_VALUE"""),"https://azizstan.net/student_image/25187.jpg")</f>
        <v>https://azizstan.net/student_image/25187.jpg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3" t="str">
        <f>IFERROR(__xludf.DUMMYFUNCTION("""COMPUTED_VALUE"""),"25203")</f>
        <v>25203</v>
      </c>
      <c r="B1140" s="3" t="str">
        <f>IFERROR(__xludf.DUMMYFUNCTION("""COMPUTED_VALUE"""),"ด.ช.ฮากีม โต๊ะหัด")</f>
        <v>ด.ช.ฮากีม โต๊ะหัด</v>
      </c>
      <c r="C1140" s="3" t="str">
        <f>IFERROR(__xludf.DUMMYFUNCTION("""COMPUTED_VALUE"""),"ม.3/5")</f>
        <v>ม.3/5</v>
      </c>
      <c r="D1140" s="3" t="str">
        <f>IFERROR(__xludf.DUMMYFUNCTION("""COMPUTED_VALUE"""),"อก.3/10")</f>
        <v>อก.3/10</v>
      </c>
      <c r="E1140" s="2" t="str">
        <f>IFERROR(__xludf.DUMMYFUNCTION("""COMPUTED_VALUE"""),"ชาย")</f>
        <v>ชาย</v>
      </c>
      <c r="F1140" s="5" t="str">
        <f>IFERROR(__xludf.DUMMYFUNCTION("""COMPUTED_VALUE"""),"https://azizstan.net/student_image/25203.jpg")</f>
        <v>https://azizstan.net/student_image/25203.jpg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3" t="str">
        <f>IFERROR(__xludf.DUMMYFUNCTION("""COMPUTED_VALUE"""),"25261")</f>
        <v>25261</v>
      </c>
      <c r="B1141" s="3" t="str">
        <f>IFERROR(__xludf.DUMMYFUNCTION("""COMPUTED_VALUE"""),"ด.ช.แววะห์ยู แวดอเล๊าะ")</f>
        <v>ด.ช.แววะห์ยู แวดอเล๊าะ</v>
      </c>
      <c r="C1141" s="3" t="str">
        <f>IFERROR(__xludf.DUMMYFUNCTION("""COMPUTED_VALUE"""),"ม.3/5")</f>
        <v>ม.3/5</v>
      </c>
      <c r="D1141" s="3" t="str">
        <f>IFERROR(__xludf.DUMMYFUNCTION("""COMPUTED_VALUE"""),"อก.3/10")</f>
        <v>อก.3/10</v>
      </c>
      <c r="E1141" s="2" t="str">
        <f>IFERROR(__xludf.DUMMYFUNCTION("""COMPUTED_VALUE"""),"ชาย")</f>
        <v>ชาย</v>
      </c>
      <c r="F1141" s="5" t="str">
        <f>IFERROR(__xludf.DUMMYFUNCTION("""COMPUTED_VALUE"""),"https://azizstan.net/student_image/25261.jpg")</f>
        <v>https://azizstan.net/student_image/25261.jpg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3" t="str">
        <f>IFERROR(__xludf.DUMMYFUNCTION("""COMPUTED_VALUE"""),"25808")</f>
        <v>25808</v>
      </c>
      <c r="B1142" s="3" t="str">
        <f>IFERROR(__xludf.DUMMYFUNCTION("""COMPUTED_VALUE"""),"ด.ญ.ตรีเพชร ส่าหนิ")</f>
        <v>ด.ญ.ตรีเพชร ส่าหนิ</v>
      </c>
      <c r="C1142" s="3" t="str">
        <f>IFERROR(__xludf.DUMMYFUNCTION("""COMPUTED_VALUE"""),"ม.3/5")</f>
        <v>ม.3/5</v>
      </c>
      <c r="D1142" s="3" t="str">
        <f>IFERROR(__xludf.DUMMYFUNCTION("""COMPUTED_VALUE"""),"อก.3/10")</f>
        <v>อก.3/10</v>
      </c>
      <c r="E1142" s="2" t="str">
        <f>IFERROR(__xludf.DUMMYFUNCTION("""COMPUTED_VALUE"""),"หญิง")</f>
        <v>หญิง</v>
      </c>
      <c r="F1142" s="5" t="str">
        <f>IFERROR(__xludf.DUMMYFUNCTION("""COMPUTED_VALUE"""),"https://azizstan.net/student_image/25808.jpg")</f>
        <v>https://azizstan.net/student_image/25808.jpg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3" t="str">
        <f>IFERROR(__xludf.DUMMYFUNCTION("""COMPUTED_VALUE"""),"26789")</f>
        <v>26789</v>
      </c>
      <c r="B1143" s="3" t="str">
        <f>IFERROR(__xludf.DUMMYFUNCTION("""COMPUTED_VALUE"""),"ด.ช.แวมูฮำหมัดอามีน แวหะยี")</f>
        <v>ด.ช.แวมูฮำหมัดอามีน แวหะยี</v>
      </c>
      <c r="C1143" s="3" t="str">
        <f>IFERROR(__xludf.DUMMYFUNCTION("""COMPUTED_VALUE"""),"ม.3/5")</f>
        <v>ม.3/5</v>
      </c>
      <c r="D1143" s="3" t="str">
        <f>IFERROR(__xludf.DUMMYFUNCTION("""COMPUTED_VALUE"""),"อก.3/10")</f>
        <v>อก.3/10</v>
      </c>
      <c r="E1143" s="2" t="str">
        <f>IFERROR(__xludf.DUMMYFUNCTION("""COMPUTED_VALUE"""),"ชาย")</f>
        <v>ชาย</v>
      </c>
      <c r="F1143" s="5" t="str">
        <f>IFERROR(__xludf.DUMMYFUNCTION("""COMPUTED_VALUE"""),"https://azizstan.net/student_image/26789.jpg")</f>
        <v>https://azizstan.net/student_image/26789.jpg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3" t="str">
        <f>IFERROR(__xludf.DUMMYFUNCTION("""COMPUTED_VALUE"""),"24597")</f>
        <v>24597</v>
      </c>
      <c r="B1144" s="3" t="str">
        <f>IFERROR(__xludf.DUMMYFUNCTION("""COMPUTED_VALUE"""),"ด.ญ.นูรฮูดา ลาเตะ")</f>
        <v>ด.ญ.นูรฮูดา ลาเตะ</v>
      </c>
      <c r="C1144" s="3" t="str">
        <f>IFERROR(__xludf.DUMMYFUNCTION("""COMPUTED_VALUE"""),"ม.3/6")</f>
        <v>ม.3/6</v>
      </c>
      <c r="D1144" s="3" t="str">
        <f>IFERROR(__xludf.DUMMYFUNCTION("""COMPUTED_VALUE"""),"อก.3/14")</f>
        <v>อก.3/14</v>
      </c>
      <c r="E1144" s="2" t="str">
        <f>IFERROR(__xludf.DUMMYFUNCTION("""COMPUTED_VALUE"""),"หญิง")</f>
        <v>หญิง</v>
      </c>
      <c r="F1144" s="5" t="str">
        <f>IFERROR(__xludf.DUMMYFUNCTION("""COMPUTED_VALUE"""),"https://azizstan.net/student_image/24597.jpg")</f>
        <v>https://azizstan.net/student_image/24597.jpg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3" t="str">
        <f>IFERROR(__xludf.DUMMYFUNCTION("""COMPUTED_VALUE"""),"24609")</f>
        <v>24609</v>
      </c>
      <c r="B1145" s="3" t="str">
        <f>IFERROR(__xludf.DUMMYFUNCTION("""COMPUTED_VALUE"""),"ด.ญ.นูร์ซีลมีย์ ฝันฝา")</f>
        <v>ด.ญ.นูร์ซีลมีย์ ฝันฝา</v>
      </c>
      <c r="C1145" s="3" t="str">
        <f>IFERROR(__xludf.DUMMYFUNCTION("""COMPUTED_VALUE"""),"ม.3/6")</f>
        <v>ม.3/6</v>
      </c>
      <c r="D1145" s="3" t="str">
        <f>IFERROR(__xludf.DUMMYFUNCTION("""COMPUTED_VALUE"""),"อก.2/6")</f>
        <v>อก.2/6</v>
      </c>
      <c r="E1145" s="2" t="str">
        <f>IFERROR(__xludf.DUMMYFUNCTION("""COMPUTED_VALUE"""),"หญิง")</f>
        <v>หญิง</v>
      </c>
      <c r="F1145" s="5" t="str">
        <f>IFERROR(__xludf.DUMMYFUNCTION("""COMPUTED_VALUE"""),"https://azizstan.net/student_image/24609.jpg")</f>
        <v>https://azizstan.net/student_image/24609.jpg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3" t="str">
        <f>IFERROR(__xludf.DUMMYFUNCTION("""COMPUTED_VALUE"""),"24616")</f>
        <v>24616</v>
      </c>
      <c r="B1146" s="3" t="str">
        <f>IFERROR(__xludf.DUMMYFUNCTION("""COMPUTED_VALUE"""),"ด.ญ.นูรูอิซฟานี แน")</f>
        <v>ด.ญ.นูรูอิซฟานี แน</v>
      </c>
      <c r="C1146" s="3" t="str">
        <f>IFERROR(__xludf.DUMMYFUNCTION("""COMPUTED_VALUE"""),"ม.3/6")</f>
        <v>ม.3/6</v>
      </c>
      <c r="D1146" s="3" t="str">
        <f>IFERROR(__xludf.DUMMYFUNCTION("""COMPUTED_VALUE"""),"อก.2/6")</f>
        <v>อก.2/6</v>
      </c>
      <c r="E1146" s="2" t="str">
        <f>IFERROR(__xludf.DUMMYFUNCTION("""COMPUTED_VALUE"""),"หญิง")</f>
        <v>หญิง</v>
      </c>
      <c r="F1146" s="5" t="str">
        <f>IFERROR(__xludf.DUMMYFUNCTION("""COMPUTED_VALUE"""),"https://azizstan.net/student_image/24616.jpg")</f>
        <v>https://azizstan.net/student_image/24616.jpg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3" t="str">
        <f>IFERROR(__xludf.DUMMYFUNCTION("""COMPUTED_VALUE"""),"24624")</f>
        <v>24624</v>
      </c>
      <c r="B1147" s="3" t="str">
        <f>IFERROR(__xludf.DUMMYFUNCTION("""COMPUTED_VALUE"""),"ด.ญ.นูรฟิตตรียะห์ มาหะ")</f>
        <v>ด.ญ.นูรฟิตตรียะห์ มาหะ</v>
      </c>
      <c r="C1147" s="3" t="str">
        <f>IFERROR(__xludf.DUMMYFUNCTION("""COMPUTED_VALUE"""),"ม.3/6")</f>
        <v>ม.3/6</v>
      </c>
      <c r="D1147" s="3" t="str">
        <f>IFERROR(__xludf.DUMMYFUNCTION("""COMPUTED_VALUE"""),"อก.2/6")</f>
        <v>อก.2/6</v>
      </c>
      <c r="E1147" s="2" t="str">
        <f>IFERROR(__xludf.DUMMYFUNCTION("""COMPUTED_VALUE"""),"หญิง")</f>
        <v>หญิง</v>
      </c>
      <c r="F1147" s="5" t="str">
        <f>IFERROR(__xludf.DUMMYFUNCTION("""COMPUTED_VALUE"""),"https://azizstan.net/student_image/24624.jpg")</f>
        <v>https://azizstan.net/student_image/24624.jpg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3" t="str">
        <f>IFERROR(__xludf.DUMMYFUNCTION("""COMPUTED_VALUE"""),"24625")</f>
        <v>24625</v>
      </c>
      <c r="B1148" s="3" t="str">
        <f>IFERROR(__xludf.DUMMYFUNCTION("""COMPUTED_VALUE"""),"ด.ญ.ยูรีฮัน ดีนและ")</f>
        <v>ด.ญ.ยูรีฮัน ดีนและ</v>
      </c>
      <c r="C1148" s="3" t="str">
        <f>IFERROR(__xludf.DUMMYFUNCTION("""COMPUTED_VALUE"""),"ม.3/6")</f>
        <v>ม.3/6</v>
      </c>
      <c r="D1148" s="3" t="str">
        <f>IFERROR(__xludf.DUMMYFUNCTION("""COMPUTED_VALUE"""),"อก.2/6")</f>
        <v>อก.2/6</v>
      </c>
      <c r="E1148" s="2" t="str">
        <f>IFERROR(__xludf.DUMMYFUNCTION("""COMPUTED_VALUE"""),"หญิง")</f>
        <v>หญิง</v>
      </c>
      <c r="F1148" s="5" t="str">
        <f>IFERROR(__xludf.DUMMYFUNCTION("""COMPUTED_VALUE"""),"https://azizstan.net/student_image/24625.jpg")</f>
        <v>https://azizstan.net/student_image/24625.jpg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3" t="str">
        <f>IFERROR(__xludf.DUMMYFUNCTION("""COMPUTED_VALUE"""),"24627")</f>
        <v>24627</v>
      </c>
      <c r="B1149" s="3" t="str">
        <f>IFERROR(__xludf.DUMMYFUNCTION("""COMPUTED_VALUE"""),"ด.ญ.ซัลวาณี หวังถึก")</f>
        <v>ด.ญ.ซัลวาณี หวังถึก</v>
      </c>
      <c r="C1149" s="3" t="str">
        <f>IFERROR(__xludf.DUMMYFUNCTION("""COMPUTED_VALUE"""),"ม.3/6")</f>
        <v>ม.3/6</v>
      </c>
      <c r="D1149" s="3" t="str">
        <f>IFERROR(__xludf.DUMMYFUNCTION("""COMPUTED_VALUE"""),"อก.2/6")</f>
        <v>อก.2/6</v>
      </c>
      <c r="E1149" s="2" t="str">
        <f>IFERROR(__xludf.DUMMYFUNCTION("""COMPUTED_VALUE"""),"หญิง")</f>
        <v>หญิง</v>
      </c>
      <c r="F1149" s="5" t="str">
        <f>IFERROR(__xludf.DUMMYFUNCTION("""COMPUTED_VALUE"""),"https://azizstan.net/student_image/24627.jpg")</f>
        <v>https://azizstan.net/student_image/24627.jpg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3" t="str">
        <f>IFERROR(__xludf.DUMMYFUNCTION("""COMPUTED_VALUE"""),"24628")</f>
        <v>24628</v>
      </c>
      <c r="B1150" s="3" t="str">
        <f>IFERROR(__xludf.DUMMYFUNCTION("""COMPUTED_VALUE"""),"ด.ญ.อิลฮัม ดอเลาะ")</f>
        <v>ด.ญ.อิลฮัม ดอเลาะ</v>
      </c>
      <c r="C1150" s="3" t="str">
        <f>IFERROR(__xludf.DUMMYFUNCTION("""COMPUTED_VALUE"""),"ม.3/6")</f>
        <v>ม.3/6</v>
      </c>
      <c r="D1150" s="3" t="str">
        <f>IFERROR(__xludf.DUMMYFUNCTION("""COMPUTED_VALUE"""),"อก.2/6")</f>
        <v>อก.2/6</v>
      </c>
      <c r="E1150" s="2" t="str">
        <f>IFERROR(__xludf.DUMMYFUNCTION("""COMPUTED_VALUE"""),"หญิง")</f>
        <v>หญิง</v>
      </c>
      <c r="F1150" s="5" t="str">
        <f>IFERROR(__xludf.DUMMYFUNCTION("""COMPUTED_VALUE"""),"https://azizstan.net/student_image/24628.jpg")</f>
        <v>https://azizstan.net/student_image/24628.jpg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3" t="str">
        <f>IFERROR(__xludf.DUMMYFUNCTION("""COMPUTED_VALUE"""),"24632")</f>
        <v>24632</v>
      </c>
      <c r="B1151" s="3" t="str">
        <f>IFERROR(__xludf.DUMMYFUNCTION("""COMPUTED_VALUE"""),"ด.ญ.อัสวาตี เหตุหาก")</f>
        <v>ด.ญ.อัสวาตี เหตุหาก</v>
      </c>
      <c r="C1151" s="3" t="str">
        <f>IFERROR(__xludf.DUMMYFUNCTION("""COMPUTED_VALUE"""),"ม.3/6")</f>
        <v>ม.3/6</v>
      </c>
      <c r="D1151" s="3" t="str">
        <f>IFERROR(__xludf.DUMMYFUNCTION("""COMPUTED_VALUE"""),"อก.2/6")</f>
        <v>อก.2/6</v>
      </c>
      <c r="E1151" s="2" t="str">
        <f>IFERROR(__xludf.DUMMYFUNCTION("""COMPUTED_VALUE"""),"หญิง")</f>
        <v>หญิง</v>
      </c>
      <c r="F1151" s="5" t="str">
        <f>IFERROR(__xludf.DUMMYFUNCTION("""COMPUTED_VALUE"""),"https://azizstan.net/student_image/24632.jpg")</f>
        <v>https://azizstan.net/student_image/24632.jpg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3" t="str">
        <f>IFERROR(__xludf.DUMMYFUNCTION("""COMPUTED_VALUE"""),"24639")</f>
        <v>24639</v>
      </c>
      <c r="B1152" s="3" t="str">
        <f>IFERROR(__xludf.DUMMYFUNCTION("""COMPUTED_VALUE"""),"ด.ญ.นูรอาซีกีน ราแดง")</f>
        <v>ด.ญ.นูรอาซีกีน ราแดง</v>
      </c>
      <c r="C1152" s="3" t="str">
        <f>IFERROR(__xludf.DUMMYFUNCTION("""COMPUTED_VALUE"""),"ม.3/6")</f>
        <v>ม.3/6</v>
      </c>
      <c r="D1152" s="3" t="str">
        <f>IFERROR(__xludf.DUMMYFUNCTION("""COMPUTED_VALUE"""),"อก.2/6")</f>
        <v>อก.2/6</v>
      </c>
      <c r="E1152" s="2" t="str">
        <f>IFERROR(__xludf.DUMMYFUNCTION("""COMPUTED_VALUE"""),"หญิง")</f>
        <v>หญิง</v>
      </c>
      <c r="F1152" s="5" t="str">
        <f>IFERROR(__xludf.DUMMYFUNCTION("""COMPUTED_VALUE"""),"https://azizstan.net/student_image/24639.jpg")</f>
        <v>https://azizstan.net/student_image/24639.jpg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3" t="str">
        <f>IFERROR(__xludf.DUMMYFUNCTION("""COMPUTED_VALUE"""),"24647")</f>
        <v>24647</v>
      </c>
      <c r="B1153" s="3" t="str">
        <f>IFERROR(__xludf.DUMMYFUNCTION("""COMPUTED_VALUE"""),"ด.ญ.นูรอาวาติฟ นาแว")</f>
        <v>ด.ญ.นูรอาวาติฟ นาแว</v>
      </c>
      <c r="C1153" s="3" t="str">
        <f>IFERROR(__xludf.DUMMYFUNCTION("""COMPUTED_VALUE"""),"ม.3/6")</f>
        <v>ม.3/6</v>
      </c>
      <c r="D1153" s="3" t="str">
        <f>IFERROR(__xludf.DUMMYFUNCTION("""COMPUTED_VALUE"""),"อก.2/6")</f>
        <v>อก.2/6</v>
      </c>
      <c r="E1153" s="2" t="str">
        <f>IFERROR(__xludf.DUMMYFUNCTION("""COMPUTED_VALUE"""),"หญิง")</f>
        <v>หญิง</v>
      </c>
      <c r="F1153" s="5" t="str">
        <f>IFERROR(__xludf.DUMMYFUNCTION("""COMPUTED_VALUE"""),"https://azizstan.net/student_image/24647.jpg")</f>
        <v>https://azizstan.net/student_image/24647.jpg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3" t="str">
        <f>IFERROR(__xludf.DUMMYFUNCTION("""COMPUTED_VALUE"""),"24657")</f>
        <v>24657</v>
      </c>
      <c r="B1154" s="3" t="str">
        <f>IFERROR(__xludf.DUMMYFUNCTION("""COMPUTED_VALUE"""),"ด.ญ.ฟาเดีย มามะ")</f>
        <v>ด.ญ.ฟาเดีย มามะ</v>
      </c>
      <c r="C1154" s="3" t="str">
        <f>IFERROR(__xludf.DUMMYFUNCTION("""COMPUTED_VALUE"""),"ม.3/6")</f>
        <v>ม.3/6</v>
      </c>
      <c r="D1154" s="3" t="str">
        <f>IFERROR(__xludf.DUMMYFUNCTION("""COMPUTED_VALUE"""),"อก.2/6")</f>
        <v>อก.2/6</v>
      </c>
      <c r="E1154" s="2" t="str">
        <f>IFERROR(__xludf.DUMMYFUNCTION("""COMPUTED_VALUE"""),"หญิง")</f>
        <v>หญิง</v>
      </c>
      <c r="F1154" s="5" t="str">
        <f>IFERROR(__xludf.DUMMYFUNCTION("""COMPUTED_VALUE"""),"https://azizstan.net/student_image/24657.jpg")</f>
        <v>https://azizstan.net/student_image/24657.jpg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3" t="str">
        <f>IFERROR(__xludf.DUMMYFUNCTION("""COMPUTED_VALUE"""),"24658")</f>
        <v>24658</v>
      </c>
      <c r="B1155" s="3" t="str">
        <f>IFERROR(__xludf.DUMMYFUNCTION("""COMPUTED_VALUE"""),"ด.ญ.นูรวาณี ดอเล๊าะ")</f>
        <v>ด.ญ.นูรวาณี ดอเล๊าะ</v>
      </c>
      <c r="C1155" s="3" t="str">
        <f>IFERROR(__xludf.DUMMYFUNCTION("""COMPUTED_VALUE"""),"ม.3/6")</f>
        <v>ม.3/6</v>
      </c>
      <c r="D1155" s="3" t="str">
        <f>IFERROR(__xludf.DUMMYFUNCTION("""COMPUTED_VALUE"""),"อก.2/6")</f>
        <v>อก.2/6</v>
      </c>
      <c r="E1155" s="2" t="str">
        <f>IFERROR(__xludf.DUMMYFUNCTION("""COMPUTED_VALUE"""),"หญิง")</f>
        <v>หญิง</v>
      </c>
      <c r="F1155" s="5" t="str">
        <f>IFERROR(__xludf.DUMMYFUNCTION("""COMPUTED_VALUE"""),"https://azizstan.net/student_image/24658.jpg")</f>
        <v>https://azizstan.net/student_image/24658.jpg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3" t="str">
        <f>IFERROR(__xludf.DUMMYFUNCTION("""COMPUTED_VALUE"""),"24678")</f>
        <v>24678</v>
      </c>
      <c r="B1156" s="3" t="str">
        <f>IFERROR(__xludf.DUMMYFUNCTION("""COMPUTED_VALUE"""),"ด.ญ.นัรมีน ปลัดสะมะ")</f>
        <v>ด.ญ.นัรมีน ปลัดสะมะ</v>
      </c>
      <c r="C1156" s="3" t="str">
        <f>IFERROR(__xludf.DUMMYFUNCTION("""COMPUTED_VALUE"""),"ม.3/6")</f>
        <v>ม.3/6</v>
      </c>
      <c r="D1156" s="3" t="str">
        <f>IFERROR(__xludf.DUMMYFUNCTION("""COMPUTED_VALUE"""),"อก.2/6")</f>
        <v>อก.2/6</v>
      </c>
      <c r="E1156" s="2" t="str">
        <f>IFERROR(__xludf.DUMMYFUNCTION("""COMPUTED_VALUE"""),"หญิง")</f>
        <v>หญิง</v>
      </c>
      <c r="F1156" s="5" t="str">
        <f>IFERROR(__xludf.DUMMYFUNCTION("""COMPUTED_VALUE"""),"https://azizstan.net/student_image/24678.jpg")</f>
        <v>https://azizstan.net/student_image/24678.jpg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3" t="str">
        <f>IFERROR(__xludf.DUMMYFUNCTION("""COMPUTED_VALUE"""),"24704")</f>
        <v>24704</v>
      </c>
      <c r="B1157" s="3" t="str">
        <f>IFERROR(__xludf.DUMMYFUNCTION("""COMPUTED_VALUE"""),"ด.ญ.บัลกีซ จาเล๊ะ")</f>
        <v>ด.ญ.บัลกีซ จาเล๊ะ</v>
      </c>
      <c r="C1157" s="3" t="str">
        <f>IFERROR(__xludf.DUMMYFUNCTION("""COMPUTED_VALUE"""),"ม.3/6")</f>
        <v>ม.3/6</v>
      </c>
      <c r="D1157" s="3" t="str">
        <f>IFERROR(__xludf.DUMMYFUNCTION("""COMPUTED_VALUE"""),"อก.2/6")</f>
        <v>อก.2/6</v>
      </c>
      <c r="E1157" s="2" t="str">
        <f>IFERROR(__xludf.DUMMYFUNCTION("""COMPUTED_VALUE"""),"หญิง")</f>
        <v>หญิง</v>
      </c>
      <c r="F1157" s="5" t="str">
        <f>IFERROR(__xludf.DUMMYFUNCTION("""COMPUTED_VALUE"""),"https://azizstan.net/student_image/24704.jpg")</f>
        <v>https://azizstan.net/student_image/24704.jpg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3" t="str">
        <f>IFERROR(__xludf.DUMMYFUNCTION("""COMPUTED_VALUE"""),"24713")</f>
        <v>24713</v>
      </c>
      <c r="B1158" s="3" t="str">
        <f>IFERROR(__xludf.DUMMYFUNCTION("""COMPUTED_VALUE"""),"ด.ญ.นัสรีตา เบ็ญยุโสะ")</f>
        <v>ด.ญ.นัสรีตา เบ็ญยุโสะ</v>
      </c>
      <c r="C1158" s="3" t="str">
        <f>IFERROR(__xludf.DUMMYFUNCTION("""COMPUTED_VALUE"""),"ม.3/6")</f>
        <v>ม.3/6</v>
      </c>
      <c r="D1158" s="3" t="str">
        <f>IFERROR(__xludf.DUMMYFUNCTION("""COMPUTED_VALUE"""),"อก.2/6")</f>
        <v>อก.2/6</v>
      </c>
      <c r="E1158" s="2" t="str">
        <f>IFERROR(__xludf.DUMMYFUNCTION("""COMPUTED_VALUE"""),"หญิง")</f>
        <v>หญิง</v>
      </c>
      <c r="F1158" s="5" t="str">
        <f>IFERROR(__xludf.DUMMYFUNCTION("""COMPUTED_VALUE"""),"https://azizstan.net/student_image/24713.jpg")</f>
        <v>https://azizstan.net/student_image/24713.jpg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3" t="str">
        <f>IFERROR(__xludf.DUMMYFUNCTION("""COMPUTED_VALUE"""),"24719")</f>
        <v>24719</v>
      </c>
      <c r="B1159" s="3" t="str">
        <f>IFERROR(__xludf.DUMMYFUNCTION("""COMPUTED_VALUE"""),"ด.ญ.นารีรัตน์ เด็งสุรี")</f>
        <v>ด.ญ.นารีรัตน์ เด็งสุรี</v>
      </c>
      <c r="C1159" s="3" t="str">
        <f>IFERROR(__xludf.DUMMYFUNCTION("""COMPUTED_VALUE"""),"ม.3/6")</f>
        <v>ม.3/6</v>
      </c>
      <c r="D1159" s="3" t="str">
        <f>IFERROR(__xludf.DUMMYFUNCTION("""COMPUTED_VALUE"""),"อก.2/6")</f>
        <v>อก.2/6</v>
      </c>
      <c r="E1159" s="2" t="str">
        <f>IFERROR(__xludf.DUMMYFUNCTION("""COMPUTED_VALUE"""),"หญิง")</f>
        <v>หญิง</v>
      </c>
      <c r="F1159" s="5" t="str">
        <f>IFERROR(__xludf.DUMMYFUNCTION("""COMPUTED_VALUE"""),"https://azizstan.net/student_image/24719.jpg")</f>
        <v>https://azizstan.net/student_image/24719.jpg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3" t="str">
        <f>IFERROR(__xludf.DUMMYFUNCTION("""COMPUTED_VALUE"""),"24730")</f>
        <v>24730</v>
      </c>
      <c r="B1160" s="3" t="str">
        <f>IFERROR(__xludf.DUMMYFUNCTION("""COMPUTED_VALUE"""),"ด.ญ.อัสมะ หะหลี")</f>
        <v>ด.ญ.อัสมะ หะหลี</v>
      </c>
      <c r="C1160" s="3" t="str">
        <f>IFERROR(__xludf.DUMMYFUNCTION("""COMPUTED_VALUE"""),"ม.3/6")</f>
        <v>ม.3/6</v>
      </c>
      <c r="D1160" s="3" t="str">
        <f>IFERROR(__xludf.DUMMYFUNCTION("""COMPUTED_VALUE"""),"อก.2/6")</f>
        <v>อก.2/6</v>
      </c>
      <c r="E1160" s="2" t="str">
        <f>IFERROR(__xludf.DUMMYFUNCTION("""COMPUTED_VALUE"""),"หญิง")</f>
        <v>หญิง</v>
      </c>
      <c r="F1160" s="5" t="str">
        <f>IFERROR(__xludf.DUMMYFUNCTION("""COMPUTED_VALUE"""),"https://azizstan.net/student_image/24730.jpg")</f>
        <v>https://azizstan.net/student_image/24730.jpg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3" t="str">
        <f>IFERROR(__xludf.DUMMYFUNCTION("""COMPUTED_VALUE"""),"24749")</f>
        <v>24749</v>
      </c>
      <c r="B1161" s="3" t="str">
        <f>IFERROR(__xludf.DUMMYFUNCTION("""COMPUTED_VALUE"""),"ด.ญ.ธิดารัตน์ ร่าหมาน")</f>
        <v>ด.ญ.ธิดารัตน์ ร่าหมาน</v>
      </c>
      <c r="C1161" s="3" t="str">
        <f>IFERROR(__xludf.DUMMYFUNCTION("""COMPUTED_VALUE"""),"ม.3/6")</f>
        <v>ม.3/6</v>
      </c>
      <c r="D1161" s="3" t="str">
        <f>IFERROR(__xludf.DUMMYFUNCTION("""COMPUTED_VALUE"""),"อก.2/6")</f>
        <v>อก.2/6</v>
      </c>
      <c r="E1161" s="2" t="str">
        <f>IFERROR(__xludf.DUMMYFUNCTION("""COMPUTED_VALUE"""),"หญิง")</f>
        <v>หญิง</v>
      </c>
      <c r="F1161" s="5" t="str">
        <f>IFERROR(__xludf.DUMMYFUNCTION("""COMPUTED_VALUE"""),"https://azizstan.net/student_image/24749.jpg")</f>
        <v>https://azizstan.net/student_image/24749.jpg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3" t="str">
        <f>IFERROR(__xludf.DUMMYFUNCTION("""COMPUTED_VALUE"""),"24752")</f>
        <v>24752</v>
      </c>
      <c r="B1162" s="3" t="str">
        <f>IFERROR(__xludf.DUMMYFUNCTION("""COMPUTED_VALUE"""),"ด.ญ.อิลฮัม เจะหนิ")</f>
        <v>ด.ญ.อิลฮัม เจะหนิ</v>
      </c>
      <c r="C1162" s="3" t="str">
        <f>IFERROR(__xludf.DUMMYFUNCTION("""COMPUTED_VALUE"""),"ม.3/6")</f>
        <v>ม.3/6</v>
      </c>
      <c r="D1162" s="3" t="str">
        <f>IFERROR(__xludf.DUMMYFUNCTION("""COMPUTED_VALUE"""),"อก.2/6")</f>
        <v>อก.2/6</v>
      </c>
      <c r="E1162" s="2" t="str">
        <f>IFERROR(__xludf.DUMMYFUNCTION("""COMPUTED_VALUE"""),"หญิง")</f>
        <v>หญิง</v>
      </c>
      <c r="F1162" s="5" t="str">
        <f>IFERROR(__xludf.DUMMYFUNCTION("""COMPUTED_VALUE"""),"https://azizstan.net/student_image/24752.jpg")</f>
        <v>https://azizstan.net/student_image/24752.jpg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3" t="str">
        <f>IFERROR(__xludf.DUMMYFUNCTION("""COMPUTED_VALUE"""),"24782")</f>
        <v>24782</v>
      </c>
      <c r="B1163" s="3" t="str">
        <f>IFERROR(__xludf.DUMMYFUNCTION("""COMPUTED_VALUE"""),"ด.ญ.นูรฮายาตี มานิ๊")</f>
        <v>ด.ญ.นูรฮายาตี มานิ๊</v>
      </c>
      <c r="C1163" s="3" t="str">
        <f>IFERROR(__xludf.DUMMYFUNCTION("""COMPUTED_VALUE"""),"ม.3/6")</f>
        <v>ม.3/6</v>
      </c>
      <c r="D1163" s="3" t="str">
        <f>IFERROR(__xludf.DUMMYFUNCTION("""COMPUTED_VALUE"""),"อก.3/14")</f>
        <v>อก.3/14</v>
      </c>
      <c r="E1163" s="2" t="str">
        <f>IFERROR(__xludf.DUMMYFUNCTION("""COMPUTED_VALUE"""),"หญิง")</f>
        <v>หญิง</v>
      </c>
      <c r="F1163" s="5" t="str">
        <f>IFERROR(__xludf.DUMMYFUNCTION("""COMPUTED_VALUE"""),"https://azizstan.net/student_image/24782.jpg")</f>
        <v>https://azizstan.net/student_image/24782.jpg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3" t="str">
        <f>IFERROR(__xludf.DUMMYFUNCTION("""COMPUTED_VALUE"""),"24790")</f>
        <v>24790</v>
      </c>
      <c r="B1164" s="3" t="str">
        <f>IFERROR(__xludf.DUMMYFUNCTION("""COMPUTED_VALUE"""),"ด.ญ.ซีตีฟาติลม๊ะ แวมะแซ")</f>
        <v>ด.ญ.ซีตีฟาติลม๊ะ แวมะแซ</v>
      </c>
      <c r="C1164" s="3" t="str">
        <f>IFERROR(__xludf.DUMMYFUNCTION("""COMPUTED_VALUE"""),"ม.3/6")</f>
        <v>ม.3/6</v>
      </c>
      <c r="D1164" s="3" t="str">
        <f>IFERROR(__xludf.DUMMYFUNCTION("""COMPUTED_VALUE"""),"อก.2/6")</f>
        <v>อก.2/6</v>
      </c>
      <c r="E1164" s="2" t="str">
        <f>IFERROR(__xludf.DUMMYFUNCTION("""COMPUTED_VALUE"""),"หญิง")</f>
        <v>หญิง</v>
      </c>
      <c r="F1164" s="5" t="str">
        <f>IFERROR(__xludf.DUMMYFUNCTION("""COMPUTED_VALUE"""),"https://azizstan.net/student_image/24790.jpg")</f>
        <v>https://azizstan.net/student_image/24790.jpg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3" t="str">
        <f>IFERROR(__xludf.DUMMYFUNCTION("""COMPUTED_VALUE"""),"24803")</f>
        <v>24803</v>
      </c>
      <c r="B1165" s="3" t="str">
        <f>IFERROR(__xludf.DUMMYFUNCTION("""COMPUTED_VALUE"""),"ด.ญ.ฮานิฟ หะมะ")</f>
        <v>ด.ญ.ฮานิฟ หะมะ</v>
      </c>
      <c r="C1165" s="3" t="str">
        <f>IFERROR(__xludf.DUMMYFUNCTION("""COMPUTED_VALUE"""),"ม.3/6")</f>
        <v>ม.3/6</v>
      </c>
      <c r="D1165" s="3" t="str">
        <f>IFERROR(__xludf.DUMMYFUNCTION("""COMPUTED_VALUE"""),"อก.2/6")</f>
        <v>อก.2/6</v>
      </c>
      <c r="E1165" s="2" t="str">
        <f>IFERROR(__xludf.DUMMYFUNCTION("""COMPUTED_VALUE"""),"หญิง")</f>
        <v>หญิง</v>
      </c>
      <c r="F1165" s="5" t="str">
        <f>IFERROR(__xludf.DUMMYFUNCTION("""COMPUTED_VALUE"""),"https://azizstan.net/student_image/24803.jpg")</f>
        <v>https://azizstan.net/student_image/24803.jpg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3" t="str">
        <f>IFERROR(__xludf.DUMMYFUNCTION("""COMPUTED_VALUE"""),"24832")</f>
        <v>24832</v>
      </c>
      <c r="B1166" s="3" t="str">
        <f>IFERROR(__xludf.DUMMYFUNCTION("""COMPUTED_VALUE"""),"ด.ญ.อิมตีซาน สีดวง")</f>
        <v>ด.ญ.อิมตีซาน สีดวง</v>
      </c>
      <c r="C1166" s="3" t="str">
        <f>IFERROR(__xludf.DUMMYFUNCTION("""COMPUTED_VALUE"""),"ม.3/6")</f>
        <v>ม.3/6</v>
      </c>
      <c r="D1166" s="3" t="str">
        <f>IFERROR(__xludf.DUMMYFUNCTION("""COMPUTED_VALUE"""),"อก.2/6")</f>
        <v>อก.2/6</v>
      </c>
      <c r="E1166" s="2" t="str">
        <f>IFERROR(__xludf.DUMMYFUNCTION("""COMPUTED_VALUE"""),"หญิง")</f>
        <v>หญิง</v>
      </c>
      <c r="F1166" s="5" t="str">
        <f>IFERROR(__xludf.DUMMYFUNCTION("""COMPUTED_VALUE"""),"https://azizstan.net/student_image/24832.jpg")</f>
        <v>https://azizstan.net/student_image/24832.jpg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3" t="str">
        <f>IFERROR(__xludf.DUMMYFUNCTION("""COMPUTED_VALUE"""),"24836")</f>
        <v>24836</v>
      </c>
      <c r="B1167" s="3" t="str">
        <f>IFERROR(__xludf.DUMMYFUNCTION("""COMPUTED_VALUE"""),"ด.ญ.อัลฮุซนา ตาเยะ")</f>
        <v>ด.ญ.อัลฮุซนา ตาเยะ</v>
      </c>
      <c r="C1167" s="3" t="str">
        <f>IFERROR(__xludf.DUMMYFUNCTION("""COMPUTED_VALUE"""),"ม.3/6")</f>
        <v>ม.3/6</v>
      </c>
      <c r="D1167" s="3" t="str">
        <f>IFERROR(__xludf.DUMMYFUNCTION("""COMPUTED_VALUE"""),"อก.3/14")</f>
        <v>อก.3/14</v>
      </c>
      <c r="E1167" s="2" t="str">
        <f>IFERROR(__xludf.DUMMYFUNCTION("""COMPUTED_VALUE"""),"หญิง")</f>
        <v>หญิง</v>
      </c>
      <c r="F1167" s="5" t="str">
        <f>IFERROR(__xludf.DUMMYFUNCTION("""COMPUTED_VALUE"""),"https://azizstan.net/student_image/24836.jpg")</f>
        <v>https://azizstan.net/student_image/24836.jpg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3" t="str">
        <f>IFERROR(__xludf.DUMMYFUNCTION("""COMPUTED_VALUE"""),"24839")</f>
        <v>24839</v>
      </c>
      <c r="B1168" s="3" t="str">
        <f>IFERROR(__xludf.DUMMYFUNCTION("""COMPUTED_VALUE"""),"ด.ญ.ดารีญา และมุสอ")</f>
        <v>ด.ญ.ดารีญา และมุสอ</v>
      </c>
      <c r="C1168" s="3" t="str">
        <f>IFERROR(__xludf.DUMMYFUNCTION("""COMPUTED_VALUE"""),"ม.3/6")</f>
        <v>ม.3/6</v>
      </c>
      <c r="D1168" s="3" t="str">
        <f>IFERROR(__xludf.DUMMYFUNCTION("""COMPUTED_VALUE"""),"อก.2/6")</f>
        <v>อก.2/6</v>
      </c>
      <c r="E1168" s="2" t="str">
        <f>IFERROR(__xludf.DUMMYFUNCTION("""COMPUTED_VALUE"""),"หญิง")</f>
        <v>หญิง</v>
      </c>
      <c r="F1168" s="5" t="str">
        <f>IFERROR(__xludf.DUMMYFUNCTION("""COMPUTED_VALUE"""),"https://azizstan.net/student_image/24839.jpg")</f>
        <v>https://azizstan.net/student_image/24839.jpg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3" t="str">
        <f>IFERROR(__xludf.DUMMYFUNCTION("""COMPUTED_VALUE"""),"24877")</f>
        <v>24877</v>
      </c>
      <c r="B1169" s="3" t="str">
        <f>IFERROR(__xludf.DUMMYFUNCTION("""COMPUTED_VALUE"""),"ด.ญ.แวตัสนีม อุสมันมาฮา")</f>
        <v>ด.ญ.แวตัสนีม อุสมันมาฮา</v>
      </c>
      <c r="C1169" s="3" t="str">
        <f>IFERROR(__xludf.DUMMYFUNCTION("""COMPUTED_VALUE"""),"ม.3/6")</f>
        <v>ม.3/6</v>
      </c>
      <c r="D1169" s="3" t="str">
        <f>IFERROR(__xludf.DUMMYFUNCTION("""COMPUTED_VALUE"""),"อก.2/6")</f>
        <v>อก.2/6</v>
      </c>
      <c r="E1169" s="2" t="str">
        <f>IFERROR(__xludf.DUMMYFUNCTION("""COMPUTED_VALUE"""),"หญิง")</f>
        <v>หญิง</v>
      </c>
      <c r="F1169" s="5" t="str">
        <f>IFERROR(__xludf.DUMMYFUNCTION("""COMPUTED_VALUE"""),"https://azizstan.net/student_image/24877.jpg")</f>
        <v>https://azizstan.net/student_image/24877.jpg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3" t="str">
        <f>IFERROR(__xludf.DUMMYFUNCTION("""COMPUTED_VALUE"""),"24880")</f>
        <v>24880</v>
      </c>
      <c r="B1170" s="3" t="str">
        <f>IFERROR(__xludf.DUMMYFUNCTION("""COMPUTED_VALUE"""),"ด.ญ.นัสเราะห์ นาแว")</f>
        <v>ด.ญ.นัสเราะห์ นาแว</v>
      </c>
      <c r="C1170" s="3" t="str">
        <f>IFERROR(__xludf.DUMMYFUNCTION("""COMPUTED_VALUE"""),"ม.3/6")</f>
        <v>ม.3/6</v>
      </c>
      <c r="D1170" s="3" t="str">
        <f>IFERROR(__xludf.DUMMYFUNCTION("""COMPUTED_VALUE"""),"อก.2/6")</f>
        <v>อก.2/6</v>
      </c>
      <c r="E1170" s="2" t="str">
        <f>IFERROR(__xludf.DUMMYFUNCTION("""COMPUTED_VALUE"""),"หญิง")</f>
        <v>หญิง</v>
      </c>
      <c r="F1170" s="5" t="str">
        <f>IFERROR(__xludf.DUMMYFUNCTION("""COMPUTED_VALUE"""),"https://azizstan.net/student_image/24880.jpg")</f>
        <v>https://azizstan.net/student_image/24880.jpg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3" t="str">
        <f>IFERROR(__xludf.DUMMYFUNCTION("""COMPUTED_VALUE"""),"24891")</f>
        <v>24891</v>
      </c>
      <c r="B1171" s="3" t="str">
        <f>IFERROR(__xludf.DUMMYFUNCTION("""COMPUTED_VALUE"""),"ด.ญ.นูรไอนี หามะ")</f>
        <v>ด.ญ.นูรไอนี หามะ</v>
      </c>
      <c r="C1171" s="3" t="str">
        <f>IFERROR(__xludf.DUMMYFUNCTION("""COMPUTED_VALUE"""),"ม.3/6")</f>
        <v>ม.3/6</v>
      </c>
      <c r="D1171" s="3" t="str">
        <f>IFERROR(__xludf.DUMMYFUNCTION("""COMPUTED_VALUE"""),"อก.2/6")</f>
        <v>อก.2/6</v>
      </c>
      <c r="E1171" s="2" t="str">
        <f>IFERROR(__xludf.DUMMYFUNCTION("""COMPUTED_VALUE"""),"หญิง")</f>
        <v>หญิง</v>
      </c>
      <c r="F1171" s="5" t="str">
        <f>IFERROR(__xludf.DUMMYFUNCTION("""COMPUTED_VALUE"""),"https://azizstan.net/student_image/24891.jpg")</f>
        <v>https://azizstan.net/student_image/24891.jpg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3" t="str">
        <f>IFERROR(__xludf.DUMMYFUNCTION("""COMPUTED_VALUE"""),"24895")</f>
        <v>24895</v>
      </c>
      <c r="B1172" s="3" t="str">
        <f>IFERROR(__xludf.DUMMYFUNCTION("""COMPUTED_VALUE"""),"ด.ญ.กัสตูรี สาแม")</f>
        <v>ด.ญ.กัสตูรี สาแม</v>
      </c>
      <c r="C1172" s="3" t="str">
        <f>IFERROR(__xludf.DUMMYFUNCTION("""COMPUTED_VALUE"""),"ม.3/6")</f>
        <v>ม.3/6</v>
      </c>
      <c r="D1172" s="3" t="str">
        <f>IFERROR(__xludf.DUMMYFUNCTION("""COMPUTED_VALUE"""),"อก.2/6")</f>
        <v>อก.2/6</v>
      </c>
      <c r="E1172" s="2" t="str">
        <f>IFERROR(__xludf.DUMMYFUNCTION("""COMPUTED_VALUE"""),"หญิง")</f>
        <v>หญิง</v>
      </c>
      <c r="F1172" s="5" t="str">
        <f>IFERROR(__xludf.DUMMYFUNCTION("""COMPUTED_VALUE"""),"https://azizstan.net/student_image/24895.jpg")</f>
        <v>https://azizstan.net/student_image/24895.jpg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3" t="str">
        <f>IFERROR(__xludf.DUMMYFUNCTION("""COMPUTED_VALUE"""),"24933")</f>
        <v>24933</v>
      </c>
      <c r="B1173" s="3" t="str">
        <f>IFERROR(__xludf.DUMMYFUNCTION("""COMPUTED_VALUE"""),"ด.ญ.นูรมิสบะห์ สาเมาะ")</f>
        <v>ด.ญ.นูรมิสบะห์ สาเมาะ</v>
      </c>
      <c r="C1173" s="3" t="str">
        <f>IFERROR(__xludf.DUMMYFUNCTION("""COMPUTED_VALUE"""),"ม.3/6")</f>
        <v>ม.3/6</v>
      </c>
      <c r="D1173" s="3" t="str">
        <f>IFERROR(__xludf.DUMMYFUNCTION("""COMPUTED_VALUE"""),"อก.2/6")</f>
        <v>อก.2/6</v>
      </c>
      <c r="E1173" s="2" t="str">
        <f>IFERROR(__xludf.DUMMYFUNCTION("""COMPUTED_VALUE"""),"หญิง")</f>
        <v>หญิง</v>
      </c>
      <c r="F1173" s="5" t="str">
        <f>IFERROR(__xludf.DUMMYFUNCTION("""COMPUTED_VALUE"""),"https://azizstan.net/student_image/24933.jpg")</f>
        <v>https://azizstan.net/student_image/24933.jpg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3" t="str">
        <f>IFERROR(__xludf.DUMMYFUNCTION("""COMPUTED_VALUE"""),"24934")</f>
        <v>24934</v>
      </c>
      <c r="B1174" s="3" t="str">
        <f>IFERROR(__xludf.DUMMYFUNCTION("""COMPUTED_VALUE"""),"ด.ญ.ซูมัยย๊ะ เปาะแห")</f>
        <v>ด.ญ.ซูมัยย๊ะ เปาะแห</v>
      </c>
      <c r="C1174" s="3" t="str">
        <f>IFERROR(__xludf.DUMMYFUNCTION("""COMPUTED_VALUE"""),"ม.3/6")</f>
        <v>ม.3/6</v>
      </c>
      <c r="D1174" s="3" t="str">
        <f>IFERROR(__xludf.DUMMYFUNCTION("""COMPUTED_VALUE"""),"อก.2/6")</f>
        <v>อก.2/6</v>
      </c>
      <c r="E1174" s="2" t="str">
        <f>IFERROR(__xludf.DUMMYFUNCTION("""COMPUTED_VALUE"""),"หญิง")</f>
        <v>หญิง</v>
      </c>
      <c r="F1174" s="5" t="str">
        <f>IFERROR(__xludf.DUMMYFUNCTION("""COMPUTED_VALUE"""),"https://azizstan.net/student_image/24934.jpg")</f>
        <v>https://azizstan.net/student_image/24934.jpg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3" t="str">
        <f>IFERROR(__xludf.DUMMYFUNCTION("""COMPUTED_VALUE"""),"24935")</f>
        <v>24935</v>
      </c>
      <c r="B1175" s="3" t="str">
        <f>IFERROR(__xludf.DUMMYFUNCTION("""COMPUTED_VALUE"""),"ด.ญ.ตัสนีม สาและ")</f>
        <v>ด.ญ.ตัสนีม สาและ</v>
      </c>
      <c r="C1175" s="3" t="str">
        <f>IFERROR(__xludf.DUMMYFUNCTION("""COMPUTED_VALUE"""),"ม.3/6")</f>
        <v>ม.3/6</v>
      </c>
      <c r="D1175" s="3" t="str">
        <f>IFERROR(__xludf.DUMMYFUNCTION("""COMPUTED_VALUE"""),"อก.2/6")</f>
        <v>อก.2/6</v>
      </c>
      <c r="E1175" s="2" t="str">
        <f>IFERROR(__xludf.DUMMYFUNCTION("""COMPUTED_VALUE"""),"หญิง")</f>
        <v>หญิง</v>
      </c>
      <c r="F1175" s="5" t="str">
        <f>IFERROR(__xludf.DUMMYFUNCTION("""COMPUTED_VALUE"""),"https://azizstan.net/student_image/24935.jpg")</f>
        <v>https://azizstan.net/student_image/24935.jpg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3" t="str">
        <f>IFERROR(__xludf.DUMMYFUNCTION("""COMPUTED_VALUE"""),"24978")</f>
        <v>24978</v>
      </c>
      <c r="B1176" s="3" t="str">
        <f>IFERROR(__xludf.DUMMYFUNCTION("""COMPUTED_VALUE"""),"ด.ญ.นูรฮายาตี แวเด็ง")</f>
        <v>ด.ญ.นูรฮายาตี แวเด็ง</v>
      </c>
      <c r="C1176" s="3" t="str">
        <f>IFERROR(__xludf.DUMMYFUNCTION("""COMPUTED_VALUE"""),"ม.3/6")</f>
        <v>ม.3/6</v>
      </c>
      <c r="D1176" s="3" t="str">
        <f>IFERROR(__xludf.DUMMYFUNCTION("""COMPUTED_VALUE"""),"อก.2/6")</f>
        <v>อก.2/6</v>
      </c>
      <c r="E1176" s="2" t="str">
        <f>IFERROR(__xludf.DUMMYFUNCTION("""COMPUTED_VALUE"""),"หญิง")</f>
        <v>หญิง</v>
      </c>
      <c r="F1176" s="5" t="str">
        <f>IFERROR(__xludf.DUMMYFUNCTION("""COMPUTED_VALUE"""),"https://azizstan.net/student_image/24978.jpg")</f>
        <v>https://azizstan.net/student_image/24978.jpg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3" t="str">
        <f>IFERROR(__xludf.DUMMYFUNCTION("""COMPUTED_VALUE"""),"25032")</f>
        <v>25032</v>
      </c>
      <c r="B1177" s="3" t="str">
        <f>IFERROR(__xludf.DUMMYFUNCTION("""COMPUTED_VALUE"""),"ด.ญ.นูรฟาติน เจะบู")</f>
        <v>ด.ญ.นูรฟาติน เจะบู</v>
      </c>
      <c r="C1177" s="3" t="str">
        <f>IFERROR(__xludf.DUMMYFUNCTION("""COMPUTED_VALUE"""),"ม.3/6")</f>
        <v>ม.3/6</v>
      </c>
      <c r="D1177" s="3" t="str">
        <f>IFERROR(__xludf.DUMMYFUNCTION("""COMPUTED_VALUE"""),"อก.2/6")</f>
        <v>อก.2/6</v>
      </c>
      <c r="E1177" s="2" t="str">
        <f>IFERROR(__xludf.DUMMYFUNCTION("""COMPUTED_VALUE"""),"หญิง")</f>
        <v>หญิง</v>
      </c>
      <c r="F1177" s="5" t="str">
        <f>IFERROR(__xludf.DUMMYFUNCTION("""COMPUTED_VALUE"""),"https://azizstan.net/student_image/25032.jpg")</f>
        <v>https://azizstan.net/student_image/25032.jpg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3" t="str">
        <f>IFERROR(__xludf.DUMMYFUNCTION("""COMPUTED_VALUE"""),"25095")</f>
        <v>25095</v>
      </c>
      <c r="B1178" s="3" t="str">
        <f>IFERROR(__xludf.DUMMYFUNCTION("""COMPUTED_VALUE"""),"ด.ญ.อัสมะ บาหะหมะ")</f>
        <v>ด.ญ.อัสมะ บาหะหมะ</v>
      </c>
      <c r="C1178" s="3" t="str">
        <f>IFERROR(__xludf.DUMMYFUNCTION("""COMPUTED_VALUE"""),"ม.3/6")</f>
        <v>ม.3/6</v>
      </c>
      <c r="D1178" s="3" t="str">
        <f>IFERROR(__xludf.DUMMYFUNCTION("""COMPUTED_VALUE"""),"อก.2/6")</f>
        <v>อก.2/6</v>
      </c>
      <c r="E1178" s="2" t="str">
        <f>IFERROR(__xludf.DUMMYFUNCTION("""COMPUTED_VALUE"""),"หญิง")</f>
        <v>หญิง</v>
      </c>
      <c r="F1178" s="5" t="str">
        <f>IFERROR(__xludf.DUMMYFUNCTION("""COMPUTED_VALUE"""),"https://azizstan.net/student_image/25095.jpg")</f>
        <v>https://azizstan.net/student_image/25095.jpg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3" t="str">
        <f>IFERROR(__xludf.DUMMYFUNCTION("""COMPUTED_VALUE"""),"25096")</f>
        <v>25096</v>
      </c>
      <c r="B1179" s="3" t="str">
        <f>IFERROR(__xludf.DUMMYFUNCTION("""COMPUTED_VALUE"""),"ด.ญ.นิสุนีดารัตน์ ภูมิภัทรญาณกูร")</f>
        <v>ด.ญ.นิสุนีดารัตน์ ภูมิภัทรญาณกูร</v>
      </c>
      <c r="C1179" s="3" t="str">
        <f>IFERROR(__xludf.DUMMYFUNCTION("""COMPUTED_VALUE"""),"ม.3/6")</f>
        <v>ม.3/6</v>
      </c>
      <c r="D1179" s="3" t="str">
        <f>IFERROR(__xludf.DUMMYFUNCTION("""COMPUTED_VALUE"""),"อก.2/6")</f>
        <v>อก.2/6</v>
      </c>
      <c r="E1179" s="2" t="str">
        <f>IFERROR(__xludf.DUMMYFUNCTION("""COMPUTED_VALUE"""),"หญิง")</f>
        <v>หญิง</v>
      </c>
      <c r="F1179" s="5" t="str">
        <f>IFERROR(__xludf.DUMMYFUNCTION("""COMPUTED_VALUE"""),"https://azizstan.net/student_image/25096.jpg")</f>
        <v>https://azizstan.net/student_image/25096.jpg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3" t="str">
        <f>IFERROR(__xludf.DUMMYFUNCTION("""COMPUTED_VALUE"""),"25143")</f>
        <v>25143</v>
      </c>
      <c r="B1180" s="3" t="str">
        <f>IFERROR(__xludf.DUMMYFUNCTION("""COMPUTED_VALUE"""),"ด.ญ.แอลฟาร์ วาโมง")</f>
        <v>ด.ญ.แอลฟาร์ วาโมง</v>
      </c>
      <c r="C1180" s="3" t="str">
        <f>IFERROR(__xludf.DUMMYFUNCTION("""COMPUTED_VALUE"""),"ม.3/6")</f>
        <v>ม.3/6</v>
      </c>
      <c r="D1180" s="3" t="str">
        <f>IFERROR(__xludf.DUMMYFUNCTION("""COMPUTED_VALUE"""),"อก.2/6")</f>
        <v>อก.2/6</v>
      </c>
      <c r="E1180" s="2" t="str">
        <f>IFERROR(__xludf.DUMMYFUNCTION("""COMPUTED_VALUE"""),"หญิง")</f>
        <v>หญิง</v>
      </c>
      <c r="F1180" s="5" t="str">
        <f>IFERROR(__xludf.DUMMYFUNCTION("""COMPUTED_VALUE"""),"https://azizstan.net/student_image/25143.jpg")</f>
        <v>https://azizstan.net/student_image/25143.jpg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3" t="str">
        <f>IFERROR(__xludf.DUMMYFUNCTION("""COMPUTED_VALUE"""),"25158")</f>
        <v>25158</v>
      </c>
      <c r="B1181" s="3" t="str">
        <f>IFERROR(__xludf.DUMMYFUNCTION("""COMPUTED_VALUE"""),"ด.ญ.นูรฮานาน หาญณรงค์")</f>
        <v>ด.ญ.นูรฮานาน หาญณรงค์</v>
      </c>
      <c r="C1181" s="3" t="str">
        <f>IFERROR(__xludf.DUMMYFUNCTION("""COMPUTED_VALUE"""),"ม.3/6")</f>
        <v>ม.3/6</v>
      </c>
      <c r="D1181" s="3" t="str">
        <f>IFERROR(__xludf.DUMMYFUNCTION("""COMPUTED_VALUE"""),"อก.2/6")</f>
        <v>อก.2/6</v>
      </c>
      <c r="E1181" s="2" t="str">
        <f>IFERROR(__xludf.DUMMYFUNCTION("""COMPUTED_VALUE"""),"หญิง")</f>
        <v>หญิง</v>
      </c>
      <c r="F1181" s="5" t="str">
        <f>IFERROR(__xludf.DUMMYFUNCTION("""COMPUTED_VALUE"""),"https://azizstan.net/student_image/25158.jpg")</f>
        <v>https://azizstan.net/student_image/25158.jpg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3" t="str">
        <f>IFERROR(__xludf.DUMMYFUNCTION("""COMPUTED_VALUE"""),"25289")</f>
        <v>25289</v>
      </c>
      <c r="B1182" s="3" t="str">
        <f>IFERROR(__xludf.DUMMYFUNCTION("""COMPUTED_VALUE"""),"ด.ญ.สุรัยฮาน สลำบอ")</f>
        <v>ด.ญ.สุรัยฮาน สลำบอ</v>
      </c>
      <c r="C1182" s="3" t="str">
        <f>IFERROR(__xludf.DUMMYFUNCTION("""COMPUTED_VALUE"""),"ม.3/6")</f>
        <v>ม.3/6</v>
      </c>
      <c r="D1182" s="3" t="str">
        <f>IFERROR(__xludf.DUMMYFUNCTION("""COMPUTED_VALUE"""),"อก.2/6")</f>
        <v>อก.2/6</v>
      </c>
      <c r="E1182" s="2" t="str">
        <f>IFERROR(__xludf.DUMMYFUNCTION("""COMPUTED_VALUE"""),"หญิง")</f>
        <v>หญิง</v>
      </c>
      <c r="F1182" s="5" t="str">
        <f>IFERROR(__xludf.DUMMYFUNCTION("""COMPUTED_VALUE"""),"https://azizstan.net/student_image/25289.jpg")</f>
        <v>https://azizstan.net/student_image/25289.jpg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3" t="str">
        <f>IFERROR(__xludf.DUMMYFUNCTION("""COMPUTED_VALUE"""),"25303")</f>
        <v>25303</v>
      </c>
      <c r="B1183" s="3" t="str">
        <f>IFERROR(__xludf.DUMMYFUNCTION("""COMPUTED_VALUE"""),"ด.ญ.ฟาดีละห์ สาอะ")</f>
        <v>ด.ญ.ฟาดีละห์ สาอะ</v>
      </c>
      <c r="C1183" s="3" t="str">
        <f>IFERROR(__xludf.DUMMYFUNCTION("""COMPUTED_VALUE"""),"ม.3/6")</f>
        <v>ม.3/6</v>
      </c>
      <c r="D1183" s="3" t="str">
        <f>IFERROR(__xludf.DUMMYFUNCTION("""COMPUTED_VALUE"""),"อก.2/6")</f>
        <v>อก.2/6</v>
      </c>
      <c r="E1183" s="2" t="str">
        <f>IFERROR(__xludf.DUMMYFUNCTION("""COMPUTED_VALUE"""),"หญิง")</f>
        <v>หญิง</v>
      </c>
      <c r="F1183" s="5" t="str">
        <f>IFERROR(__xludf.DUMMYFUNCTION("""COMPUTED_VALUE"""),"https://azizstan.net/student_image/25303.jpg")</f>
        <v>https://azizstan.net/student_image/25303.jpg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3" t="str">
        <f>IFERROR(__xludf.DUMMYFUNCTION("""COMPUTED_VALUE"""),"25898")</f>
        <v>25898</v>
      </c>
      <c r="B1184" s="3" t="str">
        <f>IFERROR(__xludf.DUMMYFUNCTION("""COMPUTED_VALUE"""),"ด.ญ.นัจญ์วาน เพ็งมูซอ")</f>
        <v>ด.ญ.นัจญ์วาน เพ็งมูซอ</v>
      </c>
      <c r="C1184" s="3" t="str">
        <f>IFERROR(__xludf.DUMMYFUNCTION("""COMPUTED_VALUE"""),"ม.3/6")</f>
        <v>ม.3/6</v>
      </c>
      <c r="D1184" s="3" t="str">
        <f>IFERROR(__xludf.DUMMYFUNCTION("""COMPUTED_VALUE"""),"อก.2/6")</f>
        <v>อก.2/6</v>
      </c>
      <c r="E1184" s="2" t="str">
        <f>IFERROR(__xludf.DUMMYFUNCTION("""COMPUTED_VALUE"""),"หญิง")</f>
        <v>หญิง</v>
      </c>
      <c r="F1184" s="5" t="str">
        <f>IFERROR(__xludf.DUMMYFUNCTION("""COMPUTED_VALUE"""),"https://azizstan.net/student_image/25898.jpg")</f>
        <v>https://azizstan.net/student_image/25898.jpg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3" t="str">
        <f>IFERROR(__xludf.DUMMYFUNCTION("""COMPUTED_VALUE"""),"26788")</f>
        <v>26788</v>
      </c>
      <c r="B1185" s="3" t="str">
        <f>IFERROR(__xludf.DUMMYFUNCTION("""COMPUTED_VALUE"""),"ด.ญ.นู๊รฮูดา ยูโซะ")</f>
        <v>ด.ญ.นู๊รฮูดา ยูโซะ</v>
      </c>
      <c r="C1185" s="3" t="str">
        <f>IFERROR(__xludf.DUMMYFUNCTION("""COMPUTED_VALUE"""),"ม.3/6")</f>
        <v>ม.3/6</v>
      </c>
      <c r="D1185" s="3" t="str">
        <f>IFERROR(__xludf.DUMMYFUNCTION("""COMPUTED_VALUE"""),"อก.2/6")</f>
        <v>อก.2/6</v>
      </c>
      <c r="E1185" s="2" t="str">
        <f>IFERROR(__xludf.DUMMYFUNCTION("""COMPUTED_VALUE"""),"หญิง")</f>
        <v>หญิง</v>
      </c>
      <c r="F1185" s="5" t="str">
        <f>IFERROR(__xludf.DUMMYFUNCTION("""COMPUTED_VALUE"""),"https://azizstan.net/student_image/26788.jpg")</f>
        <v>https://azizstan.net/student_image/26788.jpg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3" t="str">
        <f>IFERROR(__xludf.DUMMYFUNCTION("""COMPUTED_VALUE"""),"24591")</f>
        <v>24591</v>
      </c>
      <c r="B1186" s="3" t="str">
        <f>IFERROR(__xludf.DUMMYFUNCTION("""COMPUTED_VALUE"""),"ด.ญ.สุไฮมี สนิ")</f>
        <v>ด.ญ.สุไฮมี สนิ</v>
      </c>
      <c r="C1186" s="3" t="str">
        <f>IFERROR(__xludf.DUMMYFUNCTION("""COMPUTED_VALUE"""),"ม.3/7")</f>
        <v>ม.3/7</v>
      </c>
      <c r="D1186" s="3" t="str">
        <f>IFERROR(__xludf.DUMMYFUNCTION("""COMPUTED_VALUE"""),"อก.2/7")</f>
        <v>อก.2/7</v>
      </c>
      <c r="E1186" s="2" t="str">
        <f>IFERROR(__xludf.DUMMYFUNCTION("""COMPUTED_VALUE"""),"หญิง")</f>
        <v>หญิง</v>
      </c>
      <c r="F1186" s="5" t="str">
        <f>IFERROR(__xludf.DUMMYFUNCTION("""COMPUTED_VALUE"""),"https://azizstan.net/student_image/24591.jpg")</f>
        <v>https://azizstan.net/student_image/24591.jpg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3" t="str">
        <f>IFERROR(__xludf.DUMMYFUNCTION("""COMPUTED_VALUE"""),"24714")</f>
        <v>24714</v>
      </c>
      <c r="B1187" s="3" t="str">
        <f>IFERROR(__xludf.DUMMYFUNCTION("""COMPUTED_VALUE"""),"ด.ญ.ฟารีซา บือราเฮง")</f>
        <v>ด.ญ.ฟารีซา บือราเฮง</v>
      </c>
      <c r="C1187" s="3" t="str">
        <f>IFERROR(__xludf.DUMMYFUNCTION("""COMPUTED_VALUE"""),"ม.3/7")</f>
        <v>ม.3/7</v>
      </c>
      <c r="D1187" s="3" t="str">
        <f>IFERROR(__xludf.DUMMYFUNCTION("""COMPUTED_VALUE"""),"อก.2/7")</f>
        <v>อก.2/7</v>
      </c>
      <c r="E1187" s="2" t="str">
        <f>IFERROR(__xludf.DUMMYFUNCTION("""COMPUTED_VALUE"""),"หญิง")</f>
        <v>หญิง</v>
      </c>
      <c r="F1187" s="5" t="str">
        <f>IFERROR(__xludf.DUMMYFUNCTION("""COMPUTED_VALUE"""),"https://azizstan.net/student_image/24714.jpg")</f>
        <v>https://azizstan.net/student_image/24714.jpg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3" t="str">
        <f>IFERROR(__xludf.DUMMYFUNCTION("""COMPUTED_VALUE"""),"24715")</f>
        <v>24715</v>
      </c>
      <c r="B1188" s="3" t="str">
        <f>IFERROR(__xludf.DUMMYFUNCTION("""COMPUTED_VALUE"""),"ด.ญ.อัสนา หะยีสาแม")</f>
        <v>ด.ญ.อัสนา หะยีสาแม</v>
      </c>
      <c r="C1188" s="3" t="str">
        <f>IFERROR(__xludf.DUMMYFUNCTION("""COMPUTED_VALUE"""),"ม.3/7")</f>
        <v>ม.3/7</v>
      </c>
      <c r="D1188" s="3" t="str">
        <f>IFERROR(__xludf.DUMMYFUNCTION("""COMPUTED_VALUE"""),"อก.2/7")</f>
        <v>อก.2/7</v>
      </c>
      <c r="E1188" s="2" t="str">
        <f>IFERROR(__xludf.DUMMYFUNCTION("""COMPUTED_VALUE"""),"หญิง")</f>
        <v>หญิง</v>
      </c>
      <c r="F1188" s="5" t="str">
        <f>IFERROR(__xludf.DUMMYFUNCTION("""COMPUTED_VALUE"""),"https://azizstan.net/student_image/24715.jpg")</f>
        <v>https://azizstan.net/student_image/24715.jpg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3" t="str">
        <f>IFERROR(__xludf.DUMMYFUNCTION("""COMPUTED_VALUE"""),"24723")</f>
        <v>24723</v>
      </c>
      <c r="B1189" s="3" t="str">
        <f>IFERROR(__xludf.DUMMYFUNCTION("""COMPUTED_VALUE"""),"ด.ญ.นูรฟาลินดา มันปุ")</f>
        <v>ด.ญ.นูรฟาลินดา มันปุ</v>
      </c>
      <c r="C1189" s="3" t="str">
        <f>IFERROR(__xludf.DUMMYFUNCTION("""COMPUTED_VALUE"""),"ม.3/7")</f>
        <v>ม.3/7</v>
      </c>
      <c r="D1189" s="3" t="str">
        <f>IFERROR(__xludf.DUMMYFUNCTION("""COMPUTED_VALUE"""),"อก.2/7")</f>
        <v>อก.2/7</v>
      </c>
      <c r="E1189" s="2" t="str">
        <f>IFERROR(__xludf.DUMMYFUNCTION("""COMPUTED_VALUE"""),"หญิง")</f>
        <v>หญิง</v>
      </c>
      <c r="F1189" s="5" t="str">
        <f>IFERROR(__xludf.DUMMYFUNCTION("""COMPUTED_VALUE"""),"https://azizstan.net/student_image/24723.jpg")</f>
        <v>https://azizstan.net/student_image/24723.jpg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3" t="str">
        <f>IFERROR(__xludf.DUMMYFUNCTION("""COMPUTED_VALUE"""),"24724")</f>
        <v>24724</v>
      </c>
      <c r="B1190" s="3" t="str">
        <f>IFERROR(__xludf.DUMMYFUNCTION("""COMPUTED_VALUE"""),"ด.ญ.ต่วนนูรีฟาร์ ดอเลาะ")</f>
        <v>ด.ญ.ต่วนนูรีฟาร์ ดอเลาะ</v>
      </c>
      <c r="C1190" s="3" t="str">
        <f>IFERROR(__xludf.DUMMYFUNCTION("""COMPUTED_VALUE"""),"ม.3/7")</f>
        <v>ม.3/7</v>
      </c>
      <c r="D1190" s="3" t="str">
        <f>IFERROR(__xludf.DUMMYFUNCTION("""COMPUTED_VALUE"""),"อก.2/7")</f>
        <v>อก.2/7</v>
      </c>
      <c r="E1190" s="2" t="str">
        <f>IFERROR(__xludf.DUMMYFUNCTION("""COMPUTED_VALUE"""),"หญิง")</f>
        <v>หญิง</v>
      </c>
      <c r="F1190" s="5" t="str">
        <f>IFERROR(__xludf.DUMMYFUNCTION("""COMPUTED_VALUE"""),"https://azizstan.net/student_image/24724.jpg")</f>
        <v>https://azizstan.net/student_image/24724.jpg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3" t="str">
        <f>IFERROR(__xludf.DUMMYFUNCTION("""COMPUTED_VALUE"""),"24726")</f>
        <v>24726</v>
      </c>
      <c r="B1191" s="3" t="str">
        <f>IFERROR(__xludf.DUMMYFUNCTION("""COMPUTED_VALUE"""),"ด.ญ.อาฟาเฟีย ยาลอ")</f>
        <v>ด.ญ.อาฟาเฟีย ยาลอ</v>
      </c>
      <c r="C1191" s="3" t="str">
        <f>IFERROR(__xludf.DUMMYFUNCTION("""COMPUTED_VALUE"""),"ม.3/7")</f>
        <v>ม.3/7</v>
      </c>
      <c r="D1191" s="3" t="str">
        <f>IFERROR(__xludf.DUMMYFUNCTION("""COMPUTED_VALUE"""),"อก.2/7")</f>
        <v>อก.2/7</v>
      </c>
      <c r="E1191" s="2" t="str">
        <f>IFERROR(__xludf.DUMMYFUNCTION("""COMPUTED_VALUE"""),"หญิง")</f>
        <v>หญิง</v>
      </c>
      <c r="F1191" s="5" t="str">
        <f>IFERROR(__xludf.DUMMYFUNCTION("""COMPUTED_VALUE"""),"https://azizstan.net/student_image/24726.jpg")</f>
        <v>https://azizstan.net/student_image/24726.jpg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3" t="str">
        <f>IFERROR(__xludf.DUMMYFUNCTION("""COMPUTED_VALUE"""),"24738")</f>
        <v>24738</v>
      </c>
      <c r="B1192" s="3" t="str">
        <f>IFERROR(__xludf.DUMMYFUNCTION("""COMPUTED_VALUE"""),"ด.ญ.ฟาดีละห์ สะมะแอ")</f>
        <v>ด.ญ.ฟาดีละห์ สะมะแอ</v>
      </c>
      <c r="C1192" s="3" t="str">
        <f>IFERROR(__xludf.DUMMYFUNCTION("""COMPUTED_VALUE"""),"ม.3/7")</f>
        <v>ม.3/7</v>
      </c>
      <c r="D1192" s="3" t="str">
        <f>IFERROR(__xludf.DUMMYFUNCTION("""COMPUTED_VALUE"""),"อก.2/7")</f>
        <v>อก.2/7</v>
      </c>
      <c r="E1192" s="2" t="str">
        <f>IFERROR(__xludf.DUMMYFUNCTION("""COMPUTED_VALUE"""),"หญิง")</f>
        <v>หญิง</v>
      </c>
      <c r="F1192" s="5" t="str">
        <f>IFERROR(__xludf.DUMMYFUNCTION("""COMPUTED_VALUE"""),"https://azizstan.net/student_image/24738.jpg")</f>
        <v>https://azizstan.net/student_image/24738.jpg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3" t="str">
        <f>IFERROR(__xludf.DUMMYFUNCTION("""COMPUTED_VALUE"""),"24761")</f>
        <v>24761</v>
      </c>
      <c r="B1193" s="3" t="str">
        <f>IFERROR(__xludf.DUMMYFUNCTION("""COMPUTED_VALUE"""),"ด.ญ.นูรูลบิสมา ขุนทองเพ็ง")</f>
        <v>ด.ญ.นูรูลบิสมา ขุนทองเพ็ง</v>
      </c>
      <c r="C1193" s="3" t="str">
        <f>IFERROR(__xludf.DUMMYFUNCTION("""COMPUTED_VALUE"""),"ม.3/7")</f>
        <v>ม.3/7</v>
      </c>
      <c r="D1193" s="3" t="str">
        <f>IFERROR(__xludf.DUMMYFUNCTION("""COMPUTED_VALUE"""),"อก.2/7")</f>
        <v>อก.2/7</v>
      </c>
      <c r="E1193" s="2" t="str">
        <f>IFERROR(__xludf.DUMMYFUNCTION("""COMPUTED_VALUE"""),"หญิง")</f>
        <v>หญิง</v>
      </c>
      <c r="F1193" s="5" t="str">
        <f>IFERROR(__xludf.DUMMYFUNCTION("""COMPUTED_VALUE"""),"https://azizstan.net/student_image/24761.jpg")</f>
        <v>https://azizstan.net/student_image/24761.jpg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3" t="str">
        <f>IFERROR(__xludf.DUMMYFUNCTION("""COMPUTED_VALUE"""),"24762")</f>
        <v>24762</v>
      </c>
      <c r="B1194" s="3" t="str">
        <f>IFERROR(__xludf.DUMMYFUNCTION("""COMPUTED_VALUE"""),"ด.ญ.นูรูลบิสมี ขุนทองเพ็ง")</f>
        <v>ด.ญ.นูรูลบิสมี ขุนทองเพ็ง</v>
      </c>
      <c r="C1194" s="3" t="str">
        <f>IFERROR(__xludf.DUMMYFUNCTION("""COMPUTED_VALUE"""),"ม.3/7")</f>
        <v>ม.3/7</v>
      </c>
      <c r="D1194" s="3" t="str">
        <f>IFERROR(__xludf.DUMMYFUNCTION("""COMPUTED_VALUE"""),"อก.2/7")</f>
        <v>อก.2/7</v>
      </c>
      <c r="E1194" s="2" t="str">
        <f>IFERROR(__xludf.DUMMYFUNCTION("""COMPUTED_VALUE"""),"หญิง")</f>
        <v>หญิง</v>
      </c>
      <c r="F1194" s="5" t="str">
        <f>IFERROR(__xludf.DUMMYFUNCTION("""COMPUTED_VALUE"""),"https://azizstan.net/student_image/24762.jpg")</f>
        <v>https://azizstan.net/student_image/24762.jpg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3" t="str">
        <f>IFERROR(__xludf.DUMMYFUNCTION("""COMPUTED_VALUE"""),"24780")</f>
        <v>24780</v>
      </c>
      <c r="B1195" s="3" t="str">
        <f>IFERROR(__xludf.DUMMYFUNCTION("""COMPUTED_VALUE"""),"ด.ญ.ปุตรีนูรวาฮีดา แวนุเซ็ง")</f>
        <v>ด.ญ.ปุตรีนูรวาฮีดา แวนุเซ็ง</v>
      </c>
      <c r="C1195" s="3" t="str">
        <f>IFERROR(__xludf.DUMMYFUNCTION("""COMPUTED_VALUE"""),"ม.3/7")</f>
        <v>ม.3/7</v>
      </c>
      <c r="D1195" s="3" t="str">
        <f>IFERROR(__xludf.DUMMYFUNCTION("""COMPUTED_VALUE"""),"อก.2/7")</f>
        <v>อก.2/7</v>
      </c>
      <c r="E1195" s="2" t="str">
        <f>IFERROR(__xludf.DUMMYFUNCTION("""COMPUTED_VALUE"""),"หญิง")</f>
        <v>หญิง</v>
      </c>
      <c r="F1195" s="5" t="str">
        <f>IFERROR(__xludf.DUMMYFUNCTION("""COMPUTED_VALUE"""),"https://azizstan.net/student_image/24780.jpg")</f>
        <v>https://azizstan.net/student_image/24780.jpg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3" t="str">
        <f>IFERROR(__xludf.DUMMYFUNCTION("""COMPUTED_VALUE"""),"24791")</f>
        <v>24791</v>
      </c>
      <c r="B1196" s="3" t="str">
        <f>IFERROR(__xludf.DUMMYFUNCTION("""COMPUTED_VALUE"""),"ด.ญ.นาเดียร์ ลาเตะ")</f>
        <v>ด.ญ.นาเดียร์ ลาเตะ</v>
      </c>
      <c r="C1196" s="3" t="str">
        <f>IFERROR(__xludf.DUMMYFUNCTION("""COMPUTED_VALUE"""),"ม.3/7")</f>
        <v>ม.3/7</v>
      </c>
      <c r="D1196" s="3" t="str">
        <f>IFERROR(__xludf.DUMMYFUNCTION("""COMPUTED_VALUE"""),"อก.2/7")</f>
        <v>อก.2/7</v>
      </c>
      <c r="E1196" s="2" t="str">
        <f>IFERROR(__xludf.DUMMYFUNCTION("""COMPUTED_VALUE"""),"หญิง")</f>
        <v>หญิง</v>
      </c>
      <c r="F1196" s="5" t="str">
        <f>IFERROR(__xludf.DUMMYFUNCTION("""COMPUTED_VALUE"""),"https://azizstan.net/student_image/24791.jpg")</f>
        <v>https://azizstan.net/student_image/24791.jpg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>
      <c r="A1197" s="3" t="str">
        <f>IFERROR(__xludf.DUMMYFUNCTION("""COMPUTED_VALUE"""),"24799")</f>
        <v>24799</v>
      </c>
      <c r="B1197" s="3" t="str">
        <f>IFERROR(__xludf.DUMMYFUNCTION("""COMPUTED_VALUE"""),"ด.ญ.อนิส สาและ")</f>
        <v>ด.ญ.อนิส สาและ</v>
      </c>
      <c r="C1197" s="3" t="str">
        <f>IFERROR(__xludf.DUMMYFUNCTION("""COMPUTED_VALUE"""),"ม.3/7")</f>
        <v>ม.3/7</v>
      </c>
      <c r="D1197" s="3" t="str">
        <f>IFERROR(__xludf.DUMMYFUNCTION("""COMPUTED_VALUE"""),"อก.2/7")</f>
        <v>อก.2/7</v>
      </c>
      <c r="E1197" s="2" t="str">
        <f>IFERROR(__xludf.DUMMYFUNCTION("""COMPUTED_VALUE"""),"หญิง")</f>
        <v>หญิง</v>
      </c>
      <c r="F1197" s="5" t="str">
        <f>IFERROR(__xludf.DUMMYFUNCTION("""COMPUTED_VALUE"""),"https://azizstan.net/student_image/24799.jpg")</f>
        <v>https://azizstan.net/student_image/24799.jpg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>
      <c r="A1198" s="3" t="str">
        <f>IFERROR(__xludf.DUMMYFUNCTION("""COMPUTED_VALUE"""),"24825")</f>
        <v>24825</v>
      </c>
      <c r="B1198" s="3" t="str">
        <f>IFERROR(__xludf.DUMMYFUNCTION("""COMPUTED_VALUE"""),"ด.ญ.นุรซาฟีกา พฤษพงษ์")</f>
        <v>ด.ญ.นุรซาฟีกา พฤษพงษ์</v>
      </c>
      <c r="C1198" s="3" t="str">
        <f>IFERROR(__xludf.DUMMYFUNCTION("""COMPUTED_VALUE"""),"ม.3/7")</f>
        <v>ม.3/7</v>
      </c>
      <c r="D1198" s="3" t="str">
        <f>IFERROR(__xludf.DUMMYFUNCTION("""COMPUTED_VALUE"""),"อก.2/7")</f>
        <v>อก.2/7</v>
      </c>
      <c r="E1198" s="2" t="str">
        <f>IFERROR(__xludf.DUMMYFUNCTION("""COMPUTED_VALUE"""),"หญิง")</f>
        <v>หญิง</v>
      </c>
      <c r="F1198" s="5" t="str">
        <f>IFERROR(__xludf.DUMMYFUNCTION("""COMPUTED_VALUE"""),"https://azizstan.net/student_image/24825.jpg")</f>
        <v>https://azizstan.net/student_image/24825.jpg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>
      <c r="A1199" s="3" t="str">
        <f>IFERROR(__xludf.DUMMYFUNCTION("""COMPUTED_VALUE"""),"24850")</f>
        <v>24850</v>
      </c>
      <c r="B1199" s="3" t="str">
        <f>IFERROR(__xludf.DUMMYFUNCTION("""COMPUTED_VALUE"""),"ด.ญ.สูไรดา ยูโซะ")</f>
        <v>ด.ญ.สูไรดา ยูโซะ</v>
      </c>
      <c r="C1199" s="3" t="str">
        <f>IFERROR(__xludf.DUMMYFUNCTION("""COMPUTED_VALUE"""),"ม.3/7")</f>
        <v>ม.3/7</v>
      </c>
      <c r="D1199" s="3" t="str">
        <f>IFERROR(__xludf.DUMMYFUNCTION("""COMPUTED_VALUE"""),"อก.2/7")</f>
        <v>อก.2/7</v>
      </c>
      <c r="E1199" s="2" t="str">
        <f>IFERROR(__xludf.DUMMYFUNCTION("""COMPUTED_VALUE"""),"หญิง")</f>
        <v>หญิง</v>
      </c>
      <c r="F1199" s="5" t="str">
        <f>IFERROR(__xludf.DUMMYFUNCTION("""COMPUTED_VALUE"""),"https://azizstan.net/student_image/24850.jpg")</f>
        <v>https://azizstan.net/student_image/24850.jpg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>
      <c r="A1200" s="3" t="str">
        <f>IFERROR(__xludf.DUMMYFUNCTION("""COMPUTED_VALUE"""),"24859")</f>
        <v>24859</v>
      </c>
      <c r="B1200" s="3" t="str">
        <f>IFERROR(__xludf.DUMMYFUNCTION("""COMPUTED_VALUE"""),"ด.ญ.นาเดีย มะเสาะ")</f>
        <v>ด.ญ.นาเดีย มะเสาะ</v>
      </c>
      <c r="C1200" s="3" t="str">
        <f>IFERROR(__xludf.DUMMYFUNCTION("""COMPUTED_VALUE"""),"ม.3/7")</f>
        <v>ม.3/7</v>
      </c>
      <c r="D1200" s="3" t="str">
        <f>IFERROR(__xludf.DUMMYFUNCTION("""COMPUTED_VALUE"""),"อก.2/7")</f>
        <v>อก.2/7</v>
      </c>
      <c r="E1200" s="2" t="str">
        <f>IFERROR(__xludf.DUMMYFUNCTION("""COMPUTED_VALUE"""),"หญิง")</f>
        <v>หญิง</v>
      </c>
      <c r="F1200" s="5" t="str">
        <f>IFERROR(__xludf.DUMMYFUNCTION("""COMPUTED_VALUE"""),"https://azizstan.net/student_image/24859.jpg")</f>
        <v>https://azizstan.net/student_image/24859.jpg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>
      <c r="A1201" s="3" t="str">
        <f>IFERROR(__xludf.DUMMYFUNCTION("""COMPUTED_VALUE"""),"24884")</f>
        <v>24884</v>
      </c>
      <c r="B1201" s="3" t="str">
        <f>IFERROR(__xludf.DUMMYFUNCTION("""COMPUTED_VALUE"""),"ด.ญ.ฟารินดา สะแลแม")</f>
        <v>ด.ญ.ฟารินดา สะแลแม</v>
      </c>
      <c r="C1201" s="3" t="str">
        <f>IFERROR(__xludf.DUMMYFUNCTION("""COMPUTED_VALUE"""),"ม.3/7")</f>
        <v>ม.3/7</v>
      </c>
      <c r="D1201" s="3" t="str">
        <f>IFERROR(__xludf.DUMMYFUNCTION("""COMPUTED_VALUE"""),"อก.2/7")</f>
        <v>อก.2/7</v>
      </c>
      <c r="E1201" s="2" t="str">
        <f>IFERROR(__xludf.DUMMYFUNCTION("""COMPUTED_VALUE"""),"หญิง")</f>
        <v>หญิง</v>
      </c>
      <c r="F1201" s="5" t="str">
        <f>IFERROR(__xludf.DUMMYFUNCTION("""COMPUTED_VALUE"""),"https://azizstan.net/student_image/24884.jpg")</f>
        <v>https://azizstan.net/student_image/24884.jpg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>
      <c r="A1202" s="3" t="str">
        <f>IFERROR(__xludf.DUMMYFUNCTION("""COMPUTED_VALUE"""),"24885")</f>
        <v>24885</v>
      </c>
      <c r="B1202" s="3" t="str">
        <f>IFERROR(__xludf.DUMMYFUNCTION("""COMPUTED_VALUE"""),"ด.ญ.กมรียะห์ หะยีสะมาแอ")</f>
        <v>ด.ญ.กมรียะห์ หะยีสะมาแอ</v>
      </c>
      <c r="C1202" s="3" t="str">
        <f>IFERROR(__xludf.DUMMYFUNCTION("""COMPUTED_VALUE"""),"ม.3/7")</f>
        <v>ม.3/7</v>
      </c>
      <c r="D1202" s="3" t="str">
        <f>IFERROR(__xludf.DUMMYFUNCTION("""COMPUTED_VALUE"""),"อก.2/7")</f>
        <v>อก.2/7</v>
      </c>
      <c r="E1202" s="2" t="str">
        <f>IFERROR(__xludf.DUMMYFUNCTION("""COMPUTED_VALUE"""),"หญิง")</f>
        <v>หญิง</v>
      </c>
      <c r="F1202" s="5" t="str">
        <f>IFERROR(__xludf.DUMMYFUNCTION("""COMPUTED_VALUE"""),"https://azizstan.net/student_image/24885.jpg")</f>
        <v>https://azizstan.net/student_image/24885.jpg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>
      <c r="A1203" s="3" t="str">
        <f>IFERROR(__xludf.DUMMYFUNCTION("""COMPUTED_VALUE"""),"24887")</f>
        <v>24887</v>
      </c>
      <c r="B1203" s="3" t="str">
        <f>IFERROR(__xludf.DUMMYFUNCTION("""COMPUTED_VALUE"""),"ด.ญ.อะลาวียะฮ์ มามะ")</f>
        <v>ด.ญ.อะลาวียะฮ์ มามะ</v>
      </c>
      <c r="C1203" s="3" t="str">
        <f>IFERROR(__xludf.DUMMYFUNCTION("""COMPUTED_VALUE"""),"ม.3/7")</f>
        <v>ม.3/7</v>
      </c>
      <c r="D1203" s="3" t="str">
        <f>IFERROR(__xludf.DUMMYFUNCTION("""COMPUTED_VALUE"""),"อก.2/7")</f>
        <v>อก.2/7</v>
      </c>
      <c r="E1203" s="2" t="str">
        <f>IFERROR(__xludf.DUMMYFUNCTION("""COMPUTED_VALUE"""),"หญิง")</f>
        <v>หญิง</v>
      </c>
      <c r="F1203" s="5" t="str">
        <f>IFERROR(__xludf.DUMMYFUNCTION("""COMPUTED_VALUE"""),"https://azizstan.net/student_image/24887.jpg")</f>
        <v>https://azizstan.net/student_image/24887.jpg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>
      <c r="A1204" s="3" t="str">
        <f>IFERROR(__xludf.DUMMYFUNCTION("""COMPUTED_VALUE"""),"24889")</f>
        <v>24889</v>
      </c>
      <c r="B1204" s="3" t="str">
        <f>IFERROR(__xludf.DUMMYFUNCTION("""COMPUTED_VALUE"""),"ด.ญ.ฮานาน แยนา")</f>
        <v>ด.ญ.ฮานาน แยนา</v>
      </c>
      <c r="C1204" s="3" t="str">
        <f>IFERROR(__xludf.DUMMYFUNCTION("""COMPUTED_VALUE"""),"ม.3/7")</f>
        <v>ม.3/7</v>
      </c>
      <c r="D1204" s="3" t="str">
        <f>IFERROR(__xludf.DUMMYFUNCTION("""COMPUTED_VALUE"""),"อก.2/7")</f>
        <v>อก.2/7</v>
      </c>
      <c r="E1204" s="2" t="str">
        <f>IFERROR(__xludf.DUMMYFUNCTION("""COMPUTED_VALUE"""),"หญิง")</f>
        <v>หญิง</v>
      </c>
      <c r="F1204" s="5" t="str">
        <f>IFERROR(__xludf.DUMMYFUNCTION("""COMPUTED_VALUE"""),"https://azizstan.net/student_image/24889.jpg")</f>
        <v>https://azizstan.net/student_image/24889.jpg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>
      <c r="A1205" s="3" t="str">
        <f>IFERROR(__xludf.DUMMYFUNCTION("""COMPUTED_VALUE"""),"24899")</f>
        <v>24899</v>
      </c>
      <c r="B1205" s="3" t="str">
        <f>IFERROR(__xludf.DUMMYFUNCTION("""COMPUTED_VALUE"""),"ด.ญ.ตัสนิล เซะบิง")</f>
        <v>ด.ญ.ตัสนิล เซะบิง</v>
      </c>
      <c r="C1205" s="3" t="str">
        <f>IFERROR(__xludf.DUMMYFUNCTION("""COMPUTED_VALUE"""),"ม.3/7")</f>
        <v>ม.3/7</v>
      </c>
      <c r="D1205" s="3" t="str">
        <f>IFERROR(__xludf.DUMMYFUNCTION("""COMPUTED_VALUE"""),"อก.2/7")</f>
        <v>อก.2/7</v>
      </c>
      <c r="E1205" s="2" t="str">
        <f>IFERROR(__xludf.DUMMYFUNCTION("""COMPUTED_VALUE"""),"หญิง")</f>
        <v>หญิง</v>
      </c>
      <c r="F1205" s="5" t="str">
        <f>IFERROR(__xludf.DUMMYFUNCTION("""COMPUTED_VALUE"""),"https://azizstan.net/student_image/24899.jpg")</f>
        <v>https://azizstan.net/student_image/24899.jpg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>
      <c r="A1206" s="3" t="str">
        <f>IFERROR(__xludf.DUMMYFUNCTION("""COMPUTED_VALUE"""),"24906")</f>
        <v>24906</v>
      </c>
      <c r="B1206" s="3" t="str">
        <f>IFERROR(__xludf.DUMMYFUNCTION("""COMPUTED_VALUE"""),"ด.ญ.อามาลีนา พรหมบังเกิด")</f>
        <v>ด.ญ.อามาลีนา พรหมบังเกิด</v>
      </c>
      <c r="C1206" s="3" t="str">
        <f>IFERROR(__xludf.DUMMYFUNCTION("""COMPUTED_VALUE"""),"ม.3/7")</f>
        <v>ม.3/7</v>
      </c>
      <c r="D1206" s="3" t="str">
        <f>IFERROR(__xludf.DUMMYFUNCTION("""COMPUTED_VALUE"""),"อก.2/7")</f>
        <v>อก.2/7</v>
      </c>
      <c r="E1206" s="2" t="str">
        <f>IFERROR(__xludf.DUMMYFUNCTION("""COMPUTED_VALUE"""),"หญิง")</f>
        <v>หญิง</v>
      </c>
      <c r="F1206" s="5" t="str">
        <f>IFERROR(__xludf.DUMMYFUNCTION("""COMPUTED_VALUE"""),"https://azizstan.net/student_image/24906.jpg")</f>
        <v>https://azizstan.net/student_image/24906.jpg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>
      <c r="A1207" s="3" t="str">
        <f>IFERROR(__xludf.DUMMYFUNCTION("""COMPUTED_VALUE"""),"24911")</f>
        <v>24911</v>
      </c>
      <c r="B1207" s="3" t="str">
        <f>IFERROR(__xludf.DUMMYFUNCTION("""COMPUTED_VALUE"""),"ด.ญ.ปาลิซ่า เพชรพวง")</f>
        <v>ด.ญ.ปาลิซ่า เพชรพวง</v>
      </c>
      <c r="C1207" s="3" t="str">
        <f>IFERROR(__xludf.DUMMYFUNCTION("""COMPUTED_VALUE"""),"ม.3/7")</f>
        <v>ม.3/7</v>
      </c>
      <c r="D1207" s="3" t="str">
        <f>IFERROR(__xludf.DUMMYFUNCTION("""COMPUTED_VALUE"""),"อก.2/7")</f>
        <v>อก.2/7</v>
      </c>
      <c r="E1207" s="2" t="str">
        <f>IFERROR(__xludf.DUMMYFUNCTION("""COMPUTED_VALUE"""),"หญิง")</f>
        <v>หญิง</v>
      </c>
      <c r="F1207" s="5" t="str">
        <f>IFERROR(__xludf.DUMMYFUNCTION("""COMPUTED_VALUE"""),"https://azizstan.net/student_image/24911.jpg")</f>
        <v>https://azizstan.net/student_image/24911.jpg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>
      <c r="A1208" s="3" t="str">
        <f>IFERROR(__xludf.DUMMYFUNCTION("""COMPUTED_VALUE"""),"24940")</f>
        <v>24940</v>
      </c>
      <c r="B1208" s="3" t="str">
        <f>IFERROR(__xludf.DUMMYFUNCTION("""COMPUTED_VALUE"""),"ด.ญ.นุรมิลลีซาร์ มูซอ")</f>
        <v>ด.ญ.นุรมิลลีซาร์ มูซอ</v>
      </c>
      <c r="C1208" s="3" t="str">
        <f>IFERROR(__xludf.DUMMYFUNCTION("""COMPUTED_VALUE"""),"ม.3/7")</f>
        <v>ม.3/7</v>
      </c>
      <c r="D1208" s="3" t="str">
        <f>IFERROR(__xludf.DUMMYFUNCTION("""COMPUTED_VALUE"""),"อก.2/7")</f>
        <v>อก.2/7</v>
      </c>
      <c r="E1208" s="2" t="str">
        <f>IFERROR(__xludf.DUMMYFUNCTION("""COMPUTED_VALUE"""),"หญิง")</f>
        <v>หญิง</v>
      </c>
      <c r="F1208" s="5" t="str">
        <f>IFERROR(__xludf.DUMMYFUNCTION("""COMPUTED_VALUE"""),"https://azizstan.net/student_image/24940.jpg")</f>
        <v>https://azizstan.net/student_image/24940.jpg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>
      <c r="A1209" s="3" t="str">
        <f>IFERROR(__xludf.DUMMYFUNCTION("""COMPUTED_VALUE"""),"24942")</f>
        <v>24942</v>
      </c>
      <c r="B1209" s="3" t="str">
        <f>IFERROR(__xludf.DUMMYFUNCTION("""COMPUTED_VALUE"""),"ด.ญ.ซูรัยยา บากาประเสริฐ")</f>
        <v>ด.ญ.ซูรัยยา บากาประเสริฐ</v>
      </c>
      <c r="C1209" s="3" t="str">
        <f>IFERROR(__xludf.DUMMYFUNCTION("""COMPUTED_VALUE"""),"ม.3/7")</f>
        <v>ม.3/7</v>
      </c>
      <c r="D1209" s="3" t="str">
        <f>IFERROR(__xludf.DUMMYFUNCTION("""COMPUTED_VALUE"""),"อก.2/7")</f>
        <v>อก.2/7</v>
      </c>
      <c r="E1209" s="2" t="str">
        <f>IFERROR(__xludf.DUMMYFUNCTION("""COMPUTED_VALUE"""),"หญิง")</f>
        <v>หญิง</v>
      </c>
      <c r="F1209" s="5" t="str">
        <f>IFERROR(__xludf.DUMMYFUNCTION("""COMPUTED_VALUE"""),"https://azizstan.net/student_image/24942.jpg")</f>
        <v>https://azizstan.net/student_image/24942.jpg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>
      <c r="A1210" s="3" t="str">
        <f>IFERROR(__xludf.DUMMYFUNCTION("""COMPUTED_VALUE"""),"24953")</f>
        <v>24953</v>
      </c>
      <c r="B1210" s="3" t="str">
        <f>IFERROR(__xludf.DUMMYFUNCTION("""COMPUTED_VALUE"""),"ด.ญ.อันวารี จะระแอ")</f>
        <v>ด.ญ.อันวารี จะระแอ</v>
      </c>
      <c r="C1210" s="3" t="str">
        <f>IFERROR(__xludf.DUMMYFUNCTION("""COMPUTED_VALUE"""),"ม.3/7")</f>
        <v>ม.3/7</v>
      </c>
      <c r="D1210" s="3" t="str">
        <f>IFERROR(__xludf.DUMMYFUNCTION("""COMPUTED_VALUE"""),"อก.2/7")</f>
        <v>อก.2/7</v>
      </c>
      <c r="E1210" s="2" t="str">
        <f>IFERROR(__xludf.DUMMYFUNCTION("""COMPUTED_VALUE"""),"หญิง")</f>
        <v>หญิง</v>
      </c>
      <c r="F1210" s="5" t="str">
        <f>IFERROR(__xludf.DUMMYFUNCTION("""COMPUTED_VALUE"""),"https://azizstan.net/student_image/24953.jpg")</f>
        <v>https://azizstan.net/student_image/24953.jpg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>
      <c r="A1211" s="3" t="str">
        <f>IFERROR(__xludf.DUMMYFUNCTION("""COMPUTED_VALUE"""),"24954")</f>
        <v>24954</v>
      </c>
      <c r="B1211" s="3" t="str">
        <f>IFERROR(__xludf.DUMMYFUNCTION("""COMPUTED_VALUE"""),"ด.ญ.นัซนีน ยูโซะ")</f>
        <v>ด.ญ.นัซนีน ยูโซะ</v>
      </c>
      <c r="C1211" s="3" t="str">
        <f>IFERROR(__xludf.DUMMYFUNCTION("""COMPUTED_VALUE"""),"ม.3/7")</f>
        <v>ม.3/7</v>
      </c>
      <c r="D1211" s="3" t="str">
        <f>IFERROR(__xludf.DUMMYFUNCTION("""COMPUTED_VALUE"""),"อก.2/7")</f>
        <v>อก.2/7</v>
      </c>
      <c r="E1211" s="2" t="str">
        <f>IFERROR(__xludf.DUMMYFUNCTION("""COMPUTED_VALUE"""),"หญิง")</f>
        <v>หญิง</v>
      </c>
      <c r="F1211" s="5" t="str">
        <f>IFERROR(__xludf.DUMMYFUNCTION("""COMPUTED_VALUE"""),"https://azizstan.net/student_image/24954.jpg")</f>
        <v>https://azizstan.net/student_image/24954.jpg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>
      <c r="A1212" s="3" t="str">
        <f>IFERROR(__xludf.DUMMYFUNCTION("""COMPUTED_VALUE"""),"24956")</f>
        <v>24956</v>
      </c>
      <c r="B1212" s="3" t="str">
        <f>IFERROR(__xludf.DUMMYFUNCTION("""COMPUTED_VALUE"""),"ด.ญ.นูรุลฮุสนา บ้านนา")</f>
        <v>ด.ญ.นูรุลฮุสนา บ้านนา</v>
      </c>
      <c r="C1212" s="3" t="str">
        <f>IFERROR(__xludf.DUMMYFUNCTION("""COMPUTED_VALUE"""),"ม.3/7")</f>
        <v>ม.3/7</v>
      </c>
      <c r="D1212" s="3" t="str">
        <f>IFERROR(__xludf.DUMMYFUNCTION("""COMPUTED_VALUE"""),"อก.2/7")</f>
        <v>อก.2/7</v>
      </c>
      <c r="E1212" s="2" t="str">
        <f>IFERROR(__xludf.DUMMYFUNCTION("""COMPUTED_VALUE"""),"หญิง")</f>
        <v>หญิง</v>
      </c>
      <c r="F1212" s="5" t="str">
        <f>IFERROR(__xludf.DUMMYFUNCTION("""COMPUTED_VALUE"""),"https://azizstan.net/student_image/24956.jpg")</f>
        <v>https://azizstan.net/student_image/24956.jpg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>
      <c r="A1213" s="3" t="str">
        <f>IFERROR(__xludf.DUMMYFUNCTION("""COMPUTED_VALUE"""),"24965")</f>
        <v>24965</v>
      </c>
      <c r="B1213" s="3" t="str">
        <f>IFERROR(__xludf.DUMMYFUNCTION("""COMPUTED_VALUE"""),"ด.ญ.นาดียา ดาแม")</f>
        <v>ด.ญ.นาดียา ดาแม</v>
      </c>
      <c r="C1213" s="3" t="str">
        <f>IFERROR(__xludf.DUMMYFUNCTION("""COMPUTED_VALUE"""),"ม.3/7")</f>
        <v>ม.3/7</v>
      </c>
      <c r="D1213" s="3" t="str">
        <f>IFERROR(__xludf.DUMMYFUNCTION("""COMPUTED_VALUE"""),"อก.2/7")</f>
        <v>อก.2/7</v>
      </c>
      <c r="E1213" s="2" t="str">
        <f>IFERROR(__xludf.DUMMYFUNCTION("""COMPUTED_VALUE"""),"หญิง")</f>
        <v>หญิง</v>
      </c>
      <c r="F1213" s="5" t="str">
        <f>IFERROR(__xludf.DUMMYFUNCTION("""COMPUTED_VALUE"""),"https://azizstan.net/student_image/24965.jpg")</f>
        <v>https://azizstan.net/student_image/24965.jpg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>
      <c r="A1214" s="3" t="str">
        <f>IFERROR(__xludf.DUMMYFUNCTION("""COMPUTED_VALUE"""),"24976")</f>
        <v>24976</v>
      </c>
      <c r="B1214" s="3" t="str">
        <f>IFERROR(__xludf.DUMMYFUNCTION("""COMPUTED_VALUE"""),"ด.ญ.นูรุล กาซอ")</f>
        <v>ด.ญ.นูรุล กาซอ</v>
      </c>
      <c r="C1214" s="3" t="str">
        <f>IFERROR(__xludf.DUMMYFUNCTION("""COMPUTED_VALUE"""),"ม.3/7")</f>
        <v>ม.3/7</v>
      </c>
      <c r="D1214" s="3" t="str">
        <f>IFERROR(__xludf.DUMMYFUNCTION("""COMPUTED_VALUE"""),"อก.2/7")</f>
        <v>อก.2/7</v>
      </c>
      <c r="E1214" s="2" t="str">
        <f>IFERROR(__xludf.DUMMYFUNCTION("""COMPUTED_VALUE"""),"หญิง")</f>
        <v>หญิง</v>
      </c>
      <c r="F1214" s="5" t="str">
        <f>IFERROR(__xludf.DUMMYFUNCTION("""COMPUTED_VALUE"""),"https://azizstan.net/student_image/24976.jpg")</f>
        <v>https://azizstan.net/student_image/24976.jpg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>
      <c r="A1215" s="3" t="str">
        <f>IFERROR(__xludf.DUMMYFUNCTION("""COMPUTED_VALUE"""),"24989")</f>
        <v>24989</v>
      </c>
      <c r="B1215" s="3" t="str">
        <f>IFERROR(__xludf.DUMMYFUNCTION("""COMPUTED_VALUE"""),"ด.ญ.นาซูฮา มะลี")</f>
        <v>ด.ญ.นาซูฮา มะลี</v>
      </c>
      <c r="C1215" s="3" t="str">
        <f>IFERROR(__xludf.DUMMYFUNCTION("""COMPUTED_VALUE"""),"ม.3/7")</f>
        <v>ม.3/7</v>
      </c>
      <c r="D1215" s="3" t="str">
        <f>IFERROR(__xludf.DUMMYFUNCTION("""COMPUTED_VALUE"""),"อก.2/7")</f>
        <v>อก.2/7</v>
      </c>
      <c r="E1215" s="2" t="str">
        <f>IFERROR(__xludf.DUMMYFUNCTION("""COMPUTED_VALUE"""),"หญิง")</f>
        <v>หญิง</v>
      </c>
      <c r="F1215" s="5" t="str">
        <f>IFERROR(__xludf.DUMMYFUNCTION("""COMPUTED_VALUE"""),"https://azizstan.net/student_image/24989.jpg")</f>
        <v>https://azizstan.net/student_image/24989.jpg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>
      <c r="A1216" s="3" t="str">
        <f>IFERROR(__xludf.DUMMYFUNCTION("""COMPUTED_VALUE"""),"24994")</f>
        <v>24994</v>
      </c>
      <c r="B1216" s="3" t="str">
        <f>IFERROR(__xludf.DUMMYFUNCTION("""COMPUTED_VALUE"""),"ด.ญ.นุสเราะห์ เจะดอมะ")</f>
        <v>ด.ญ.นุสเราะห์ เจะดอมะ</v>
      </c>
      <c r="C1216" s="3" t="str">
        <f>IFERROR(__xludf.DUMMYFUNCTION("""COMPUTED_VALUE"""),"ม.3/7")</f>
        <v>ม.3/7</v>
      </c>
      <c r="D1216" s="3" t="str">
        <f>IFERROR(__xludf.DUMMYFUNCTION("""COMPUTED_VALUE"""),"อก.2/7")</f>
        <v>อก.2/7</v>
      </c>
      <c r="E1216" s="2" t="str">
        <f>IFERROR(__xludf.DUMMYFUNCTION("""COMPUTED_VALUE"""),"หญิง")</f>
        <v>หญิง</v>
      </c>
      <c r="F1216" s="5" t="str">
        <f>IFERROR(__xludf.DUMMYFUNCTION("""COMPUTED_VALUE"""),"https://azizstan.net/student_image/24994.jpg")</f>
        <v>https://azizstan.net/student_image/24994.jpg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>
      <c r="A1217" s="3" t="str">
        <f>IFERROR(__xludf.DUMMYFUNCTION("""COMPUTED_VALUE"""),"25028")</f>
        <v>25028</v>
      </c>
      <c r="B1217" s="3" t="str">
        <f>IFERROR(__xludf.DUMMYFUNCTION("""COMPUTED_VALUE"""),"ด.ญ.นิซัลวานี ยีอาแซ")</f>
        <v>ด.ญ.นิซัลวานี ยีอาแซ</v>
      </c>
      <c r="C1217" s="3" t="str">
        <f>IFERROR(__xludf.DUMMYFUNCTION("""COMPUTED_VALUE"""),"ม.3/7")</f>
        <v>ม.3/7</v>
      </c>
      <c r="D1217" s="3" t="str">
        <f>IFERROR(__xludf.DUMMYFUNCTION("""COMPUTED_VALUE"""),"อก.2/7")</f>
        <v>อก.2/7</v>
      </c>
      <c r="E1217" s="2" t="str">
        <f>IFERROR(__xludf.DUMMYFUNCTION("""COMPUTED_VALUE"""),"หญิง")</f>
        <v>หญิง</v>
      </c>
      <c r="F1217" s="5" t="str">
        <f>IFERROR(__xludf.DUMMYFUNCTION("""COMPUTED_VALUE"""),"https://azizstan.net/student_image/25028.jpg")</f>
        <v>https://azizstan.net/student_image/25028.jpg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>
      <c r="A1218" s="3" t="str">
        <f>IFERROR(__xludf.DUMMYFUNCTION("""COMPUTED_VALUE"""),"25058")</f>
        <v>25058</v>
      </c>
      <c r="B1218" s="3" t="str">
        <f>IFERROR(__xludf.DUMMYFUNCTION("""COMPUTED_VALUE"""),"ด.ญ.นูรลอิมียะห์ สาและ")</f>
        <v>ด.ญ.นูรลอิมียะห์ สาและ</v>
      </c>
      <c r="C1218" s="3" t="str">
        <f>IFERROR(__xludf.DUMMYFUNCTION("""COMPUTED_VALUE"""),"ม.3/7")</f>
        <v>ม.3/7</v>
      </c>
      <c r="D1218" s="3" t="str">
        <f>IFERROR(__xludf.DUMMYFUNCTION("""COMPUTED_VALUE"""),"อก.2/7")</f>
        <v>อก.2/7</v>
      </c>
      <c r="E1218" s="2" t="str">
        <f>IFERROR(__xludf.DUMMYFUNCTION("""COMPUTED_VALUE"""),"หญิง")</f>
        <v>หญิง</v>
      </c>
      <c r="F1218" s="5" t="str">
        <f>IFERROR(__xludf.DUMMYFUNCTION("""COMPUTED_VALUE"""),"https://azizstan.net/student_image/25058.jpg")</f>
        <v>https://azizstan.net/student_image/25058.jpg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>
      <c r="A1219" s="3" t="str">
        <f>IFERROR(__xludf.DUMMYFUNCTION("""COMPUTED_VALUE"""),"25111")</f>
        <v>25111</v>
      </c>
      <c r="B1219" s="3" t="str">
        <f>IFERROR(__xludf.DUMMYFUNCTION("""COMPUTED_VALUE"""),"ด.ญ.ซูหัยรา กาเดร์")</f>
        <v>ด.ญ.ซูหัยรา กาเดร์</v>
      </c>
      <c r="C1219" s="3" t="str">
        <f>IFERROR(__xludf.DUMMYFUNCTION("""COMPUTED_VALUE"""),"ม.3/7")</f>
        <v>ม.3/7</v>
      </c>
      <c r="D1219" s="3" t="str">
        <f>IFERROR(__xludf.DUMMYFUNCTION("""COMPUTED_VALUE"""),"อก.2/7")</f>
        <v>อก.2/7</v>
      </c>
      <c r="E1219" s="2" t="str">
        <f>IFERROR(__xludf.DUMMYFUNCTION("""COMPUTED_VALUE"""),"หญิง")</f>
        <v>หญิง</v>
      </c>
      <c r="F1219" s="5" t="str">
        <f>IFERROR(__xludf.DUMMYFUNCTION("""COMPUTED_VALUE"""),"https://azizstan.net/student_image/25111.jpg")</f>
        <v>https://azizstan.net/student_image/25111.jpg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>
      <c r="A1220" s="3" t="str">
        <f>IFERROR(__xludf.DUMMYFUNCTION("""COMPUTED_VALUE"""),"25135")</f>
        <v>25135</v>
      </c>
      <c r="B1220" s="3" t="str">
        <f>IFERROR(__xludf.DUMMYFUNCTION("""COMPUTED_VALUE"""),"ด.ญ.นาเดีย ปาโห๊ะ")</f>
        <v>ด.ญ.นาเดีย ปาโห๊ะ</v>
      </c>
      <c r="C1220" s="3" t="str">
        <f>IFERROR(__xludf.DUMMYFUNCTION("""COMPUTED_VALUE"""),"ม.3/7")</f>
        <v>ม.3/7</v>
      </c>
      <c r="D1220" s="3" t="str">
        <f>IFERROR(__xludf.DUMMYFUNCTION("""COMPUTED_VALUE"""),"อก.2/7")</f>
        <v>อก.2/7</v>
      </c>
      <c r="E1220" s="2" t="str">
        <f>IFERROR(__xludf.DUMMYFUNCTION("""COMPUTED_VALUE"""),"หญิง")</f>
        <v>หญิง</v>
      </c>
      <c r="F1220" s="5" t="str">
        <f>IFERROR(__xludf.DUMMYFUNCTION("""COMPUTED_VALUE"""),"https://azizstan.net/student_image/25135.jpg")</f>
        <v>https://azizstan.net/student_image/25135.jpg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>
      <c r="A1221" s="3" t="str">
        <f>IFERROR(__xludf.DUMMYFUNCTION("""COMPUTED_VALUE"""),"25153")</f>
        <v>25153</v>
      </c>
      <c r="B1221" s="3" t="str">
        <f>IFERROR(__xludf.DUMMYFUNCTION("""COMPUTED_VALUE"""),"ด.ญ.กัญญภัต อิแต")</f>
        <v>ด.ญ.กัญญภัต อิแต</v>
      </c>
      <c r="C1221" s="3" t="str">
        <f>IFERROR(__xludf.DUMMYFUNCTION("""COMPUTED_VALUE"""),"ม.3/7")</f>
        <v>ม.3/7</v>
      </c>
      <c r="D1221" s="3" t="str">
        <f>IFERROR(__xludf.DUMMYFUNCTION("""COMPUTED_VALUE"""),"อก.2/7")</f>
        <v>อก.2/7</v>
      </c>
      <c r="E1221" s="2" t="str">
        <f>IFERROR(__xludf.DUMMYFUNCTION("""COMPUTED_VALUE"""),"หญิง")</f>
        <v>หญิง</v>
      </c>
      <c r="F1221" s="5" t="str">
        <f>IFERROR(__xludf.DUMMYFUNCTION("""COMPUTED_VALUE"""),"https://azizstan.net/student_image/25153.jpg")</f>
        <v>https://azizstan.net/student_image/25153.jpg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>
      <c r="A1222" s="3" t="str">
        <f>IFERROR(__xludf.DUMMYFUNCTION("""COMPUTED_VALUE"""),"25157")</f>
        <v>25157</v>
      </c>
      <c r="B1222" s="3" t="str">
        <f>IFERROR(__xludf.DUMMYFUNCTION("""COMPUTED_VALUE"""),"ด.ญ.อาวาติส วานิ")</f>
        <v>ด.ญ.อาวาติส วานิ</v>
      </c>
      <c r="C1222" s="3" t="str">
        <f>IFERROR(__xludf.DUMMYFUNCTION("""COMPUTED_VALUE"""),"ม.3/7")</f>
        <v>ม.3/7</v>
      </c>
      <c r="D1222" s="3" t="str">
        <f>IFERROR(__xludf.DUMMYFUNCTION("""COMPUTED_VALUE"""),"อก.2/7")</f>
        <v>อก.2/7</v>
      </c>
      <c r="E1222" s="2" t="str">
        <f>IFERROR(__xludf.DUMMYFUNCTION("""COMPUTED_VALUE"""),"หญิง")</f>
        <v>หญิง</v>
      </c>
      <c r="F1222" s="5" t="str">
        <f>IFERROR(__xludf.DUMMYFUNCTION("""COMPUTED_VALUE"""),"https://azizstan.net/student_image/25157.jpg")</f>
        <v>https://azizstan.net/student_image/25157.jpg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>
      <c r="A1223" s="3" t="str">
        <f>IFERROR(__xludf.DUMMYFUNCTION("""COMPUTED_VALUE"""),"25161")</f>
        <v>25161</v>
      </c>
      <c r="B1223" s="3" t="str">
        <f>IFERROR(__xludf.DUMMYFUNCTION("""COMPUTED_VALUE"""),"ด.ญ.ซัลมา ดาโอะ")</f>
        <v>ด.ญ.ซัลมา ดาโอะ</v>
      </c>
      <c r="C1223" s="3" t="str">
        <f>IFERROR(__xludf.DUMMYFUNCTION("""COMPUTED_VALUE"""),"ม.3/7")</f>
        <v>ม.3/7</v>
      </c>
      <c r="D1223" s="3" t="str">
        <f>IFERROR(__xludf.DUMMYFUNCTION("""COMPUTED_VALUE"""),"อก.2/7")</f>
        <v>อก.2/7</v>
      </c>
      <c r="E1223" s="2" t="str">
        <f>IFERROR(__xludf.DUMMYFUNCTION("""COMPUTED_VALUE"""),"หญิง")</f>
        <v>หญิง</v>
      </c>
      <c r="F1223" s="5" t="str">
        <f>IFERROR(__xludf.DUMMYFUNCTION("""COMPUTED_VALUE"""),"https://azizstan.net/student_image/25161.jpg")</f>
        <v>https://azizstan.net/student_image/25161.jpg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>
      <c r="A1224" s="3" t="str">
        <f>IFERROR(__xludf.DUMMYFUNCTION("""COMPUTED_VALUE"""),"25245")</f>
        <v>25245</v>
      </c>
      <c r="B1224" s="3" t="str">
        <f>IFERROR(__xludf.DUMMYFUNCTION("""COMPUTED_VALUE"""),"ด.ญ.นุรไอนี ยูโซ๊ะ")</f>
        <v>ด.ญ.นุรไอนี ยูโซ๊ะ</v>
      </c>
      <c r="C1224" s="3" t="str">
        <f>IFERROR(__xludf.DUMMYFUNCTION("""COMPUTED_VALUE"""),"ม.3/7")</f>
        <v>ม.3/7</v>
      </c>
      <c r="D1224" s="3" t="str">
        <f>IFERROR(__xludf.DUMMYFUNCTION("""COMPUTED_VALUE"""),"อก.2/7")</f>
        <v>อก.2/7</v>
      </c>
      <c r="E1224" s="2" t="str">
        <f>IFERROR(__xludf.DUMMYFUNCTION("""COMPUTED_VALUE"""),"หญิง")</f>
        <v>หญิง</v>
      </c>
      <c r="F1224" s="5" t="str">
        <f>IFERROR(__xludf.DUMMYFUNCTION("""COMPUTED_VALUE"""),"https://azizstan.net/student_image/25245.jpg")</f>
        <v>https://azizstan.net/student_image/25245.jpg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>
      <c r="A1225" s="3" t="str">
        <f>IFERROR(__xludf.DUMMYFUNCTION("""COMPUTED_VALUE"""),"25250")</f>
        <v>25250</v>
      </c>
      <c r="B1225" s="3" t="str">
        <f>IFERROR(__xludf.DUMMYFUNCTION("""COMPUTED_VALUE"""),"ด.ญ.แวฟาดีละห์ ลาเตะ")</f>
        <v>ด.ญ.แวฟาดีละห์ ลาเตะ</v>
      </c>
      <c r="C1225" s="3" t="str">
        <f>IFERROR(__xludf.DUMMYFUNCTION("""COMPUTED_VALUE"""),"ม.3/7")</f>
        <v>ม.3/7</v>
      </c>
      <c r="D1225" s="3" t="str">
        <f>IFERROR(__xludf.DUMMYFUNCTION("""COMPUTED_VALUE"""),"อก.2/7")</f>
        <v>อก.2/7</v>
      </c>
      <c r="E1225" s="2" t="str">
        <f>IFERROR(__xludf.DUMMYFUNCTION("""COMPUTED_VALUE"""),"หญิง")</f>
        <v>หญิง</v>
      </c>
      <c r="F1225" s="5" t="str">
        <f>IFERROR(__xludf.DUMMYFUNCTION("""COMPUTED_VALUE"""),"https://azizstan.net/student_image/25250.jpg")</f>
        <v>https://azizstan.net/student_image/25250.jpg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>
      <c r="A1226" s="3" t="str">
        <f>IFERROR(__xludf.DUMMYFUNCTION("""COMPUTED_VALUE"""),"25276")</f>
        <v>25276</v>
      </c>
      <c r="B1226" s="3" t="str">
        <f>IFERROR(__xludf.DUMMYFUNCTION("""COMPUTED_VALUE"""),"ด.ญ.ฮานีฟา หวันหมาน")</f>
        <v>ด.ญ.ฮานีฟา หวันหมาน</v>
      </c>
      <c r="C1226" s="3" t="str">
        <f>IFERROR(__xludf.DUMMYFUNCTION("""COMPUTED_VALUE"""),"ม.3/7")</f>
        <v>ม.3/7</v>
      </c>
      <c r="D1226" s="3" t="str">
        <f>IFERROR(__xludf.DUMMYFUNCTION("""COMPUTED_VALUE"""),"อก.2/7")</f>
        <v>อก.2/7</v>
      </c>
      <c r="E1226" s="2" t="str">
        <f>IFERROR(__xludf.DUMMYFUNCTION("""COMPUTED_VALUE"""),"หญิง")</f>
        <v>หญิง</v>
      </c>
      <c r="F1226" s="5" t="str">
        <f>IFERROR(__xludf.DUMMYFUNCTION("""COMPUTED_VALUE"""),"https://azizstan.net/student_image/25276.jpg")</f>
        <v>https://azizstan.net/student_image/25276.jpg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>
      <c r="A1227" s="3" t="str">
        <f>IFERROR(__xludf.DUMMYFUNCTION("""COMPUTED_VALUE"""),"25374")</f>
        <v>25374</v>
      </c>
      <c r="B1227" s="3" t="str">
        <f>IFERROR(__xludf.DUMMYFUNCTION("""COMPUTED_VALUE"""),"ด.ญ.วาสนา สิงสาโร")</f>
        <v>ด.ญ.วาสนา สิงสาโร</v>
      </c>
      <c r="C1227" s="3" t="str">
        <f>IFERROR(__xludf.DUMMYFUNCTION("""COMPUTED_VALUE"""),"ม.3/7")</f>
        <v>ม.3/7</v>
      </c>
      <c r="D1227" s="3" t="str">
        <f>IFERROR(__xludf.DUMMYFUNCTION("""COMPUTED_VALUE"""),"อก.2/7")</f>
        <v>อก.2/7</v>
      </c>
      <c r="E1227" s="2" t="str">
        <f>IFERROR(__xludf.DUMMYFUNCTION("""COMPUTED_VALUE"""),"หญิง")</f>
        <v>หญิง</v>
      </c>
      <c r="F1227" s="5" t="str">
        <f>IFERROR(__xludf.DUMMYFUNCTION("""COMPUTED_VALUE"""),"https://azizstan.net/student_image/25374.jpg")</f>
        <v>https://azizstan.net/student_image/25374.jpg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>
      <c r="A1228" s="3" t="str">
        <f>IFERROR(__xludf.DUMMYFUNCTION("""COMPUTED_VALUE"""),"25517")</f>
        <v>25517</v>
      </c>
      <c r="B1228" s="3" t="str">
        <f>IFERROR(__xludf.DUMMYFUNCTION("""COMPUTED_VALUE"""),"ด.ญ.ฮัสราวาตี สิดิ")</f>
        <v>ด.ญ.ฮัสราวาตี สิดิ</v>
      </c>
      <c r="C1228" s="3" t="str">
        <f>IFERROR(__xludf.DUMMYFUNCTION("""COMPUTED_VALUE"""),"ม.3/7")</f>
        <v>ม.3/7</v>
      </c>
      <c r="D1228" s="3" t="str">
        <f>IFERROR(__xludf.DUMMYFUNCTION("""COMPUTED_VALUE"""),"อก.2/7")</f>
        <v>อก.2/7</v>
      </c>
      <c r="E1228" s="2" t="str">
        <f>IFERROR(__xludf.DUMMYFUNCTION("""COMPUTED_VALUE"""),"หญิง")</f>
        <v>หญิง</v>
      </c>
      <c r="F1228" s="5" t="str">
        <f>IFERROR(__xludf.DUMMYFUNCTION("""COMPUTED_VALUE"""),"https://azizstan.net/student_image/25517.jpg")</f>
        <v>https://azizstan.net/student_image/25517.jpg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>
      <c r="A1229" s="3" t="str">
        <f>IFERROR(__xludf.DUMMYFUNCTION("""COMPUTED_VALUE"""),"25928")</f>
        <v>25928</v>
      </c>
      <c r="B1229" s="3" t="str">
        <f>IFERROR(__xludf.DUMMYFUNCTION("""COMPUTED_VALUE"""),"ด.ญ.อาดีลา สาเล็ง")</f>
        <v>ด.ญ.อาดีลา สาเล็ง</v>
      </c>
      <c r="C1229" s="3" t="str">
        <f>IFERROR(__xludf.DUMMYFUNCTION("""COMPUTED_VALUE"""),"ม.3/7")</f>
        <v>ม.3/7</v>
      </c>
      <c r="D1229" s="3" t="str">
        <f>IFERROR(__xludf.DUMMYFUNCTION("""COMPUTED_VALUE"""),"อก.2/7")</f>
        <v>อก.2/7</v>
      </c>
      <c r="E1229" s="2" t="str">
        <f>IFERROR(__xludf.DUMMYFUNCTION("""COMPUTED_VALUE"""),"หญิง")</f>
        <v>หญิง</v>
      </c>
      <c r="F1229" s="5" t="str">
        <f>IFERROR(__xludf.DUMMYFUNCTION("""COMPUTED_VALUE"""),"https://azizstan.net/student_image/25928.jpg")</f>
        <v>https://azizstan.net/student_image/25928.jpg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>
      <c r="A1230" s="3" t="str">
        <f>IFERROR(__xludf.DUMMYFUNCTION("""COMPUTED_VALUE"""),"25996")</f>
        <v>25996</v>
      </c>
      <c r="B1230" s="3" t="str">
        <f>IFERROR(__xludf.DUMMYFUNCTION("""COMPUTED_VALUE"""),"ด.ญ.อาวาฏีฟ ดอเลาะ")</f>
        <v>ด.ญ.อาวาฏีฟ ดอเลาะ</v>
      </c>
      <c r="C1230" s="3" t="str">
        <f>IFERROR(__xludf.DUMMYFUNCTION("""COMPUTED_VALUE"""),"ม.3/7")</f>
        <v>ม.3/7</v>
      </c>
      <c r="D1230" s="3" t="str">
        <f>IFERROR(__xludf.DUMMYFUNCTION("""COMPUTED_VALUE"""),"อก.2/7")</f>
        <v>อก.2/7</v>
      </c>
      <c r="E1230" s="2" t="str">
        <f>IFERROR(__xludf.DUMMYFUNCTION("""COMPUTED_VALUE"""),"หญิง")</f>
        <v>หญิง</v>
      </c>
      <c r="F1230" s="5" t="str">
        <f>IFERROR(__xludf.DUMMYFUNCTION("""COMPUTED_VALUE"""),"https://azizstan.net/student_image/25996.jpg")</f>
        <v>https://azizstan.net/student_image/25996.jpg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>
      <c r="A1231" s="3" t="str">
        <f>IFERROR(__xludf.DUMMYFUNCTION("""COMPUTED_VALUE"""),"26207")</f>
        <v>26207</v>
      </c>
      <c r="B1231" s="3" t="str">
        <f>IFERROR(__xludf.DUMMYFUNCTION("""COMPUTED_VALUE"""),"ด.ญ.อามาณีย์ ดุลซามะ")</f>
        <v>ด.ญ.อามาณีย์ ดุลซามะ</v>
      </c>
      <c r="C1231" s="3" t="str">
        <f>IFERROR(__xludf.DUMMYFUNCTION("""COMPUTED_VALUE"""),"ม.3/7")</f>
        <v>ม.3/7</v>
      </c>
      <c r="D1231" s="3" t="str">
        <f>IFERROR(__xludf.DUMMYFUNCTION("""COMPUTED_VALUE"""),"อก.2/7")</f>
        <v>อก.2/7</v>
      </c>
      <c r="E1231" s="2" t="str">
        <f>IFERROR(__xludf.DUMMYFUNCTION("""COMPUTED_VALUE"""),"หญิง")</f>
        <v>หญิง</v>
      </c>
      <c r="F1231" s="5" t="str">
        <f>IFERROR(__xludf.DUMMYFUNCTION("""COMPUTED_VALUE"""),"https://azizstan.net/student_image/26207.jpg")</f>
        <v>https://azizstan.net/student_image/26207.jpg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>
      <c r="A1232" s="3" t="str">
        <f>IFERROR(__xludf.DUMMYFUNCTION("""COMPUTED_VALUE"""),"26656")</f>
        <v>26656</v>
      </c>
      <c r="B1232" s="3" t="str">
        <f>IFERROR(__xludf.DUMMYFUNCTION("""COMPUTED_VALUE"""),"ด.ญ.อัสสนีตาร์ หลงมีหนา")</f>
        <v>ด.ญ.อัสสนีตาร์ หลงมีหนา</v>
      </c>
      <c r="C1232" s="3" t="str">
        <f>IFERROR(__xludf.DUMMYFUNCTION("""COMPUTED_VALUE"""),"ม.3/7")</f>
        <v>ม.3/7</v>
      </c>
      <c r="D1232" s="3" t="str">
        <f>IFERROR(__xludf.DUMMYFUNCTION("""COMPUTED_VALUE"""),"อก.2/7")</f>
        <v>อก.2/7</v>
      </c>
      <c r="E1232" s="2" t="str">
        <f>IFERROR(__xludf.DUMMYFUNCTION("""COMPUTED_VALUE"""),"หญิง")</f>
        <v>หญิง</v>
      </c>
      <c r="F1232" s="5" t="str">
        <f>IFERROR(__xludf.DUMMYFUNCTION("""COMPUTED_VALUE"""),"https://azizstan.net/student_image/26656.jpg")</f>
        <v>https://azizstan.net/student_image/26656.jpg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>
      <c r="A1233" s="3" t="str">
        <f>IFERROR(__xludf.DUMMYFUNCTION("""COMPUTED_VALUE"""),"26701")</f>
        <v>26701</v>
      </c>
      <c r="B1233" s="3" t="str">
        <f>IFERROR(__xludf.DUMMYFUNCTION("""COMPUTED_VALUE"""),"ด.ญ.ญัสมิน หะยีมะหะ")</f>
        <v>ด.ญ.ญัสมิน หะยีมะหะ</v>
      </c>
      <c r="C1233" s="3" t="str">
        <f>IFERROR(__xludf.DUMMYFUNCTION("""COMPUTED_VALUE"""),"ม.3/7")</f>
        <v>ม.3/7</v>
      </c>
      <c r="D1233" s="3" t="str">
        <f>IFERROR(__xludf.DUMMYFUNCTION("""COMPUTED_VALUE"""),"อก.2/7")</f>
        <v>อก.2/7</v>
      </c>
      <c r="E1233" s="2" t="str">
        <f>IFERROR(__xludf.DUMMYFUNCTION("""COMPUTED_VALUE"""),"หญิง")</f>
        <v>หญิง</v>
      </c>
      <c r="F1233" s="5" t="str">
        <f>IFERROR(__xludf.DUMMYFUNCTION("""COMPUTED_VALUE"""),"https://azizstan.net/student_image/26701.jpg")</f>
        <v>https://azizstan.net/student_image/26701.jpg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>
      <c r="A1234" s="3" t="str">
        <f>IFERROR(__xludf.DUMMYFUNCTION("""COMPUTED_VALUE"""),"24590")</f>
        <v>24590</v>
      </c>
      <c r="B1234" s="3" t="str">
        <f>IFERROR(__xludf.DUMMYFUNCTION("""COMPUTED_VALUE"""),"ด.ญ.นูรมา สาเมาะ")</f>
        <v>ด.ญ.นูรมา สาเมาะ</v>
      </c>
      <c r="C1234" s="3" t="str">
        <f>IFERROR(__xludf.DUMMYFUNCTION("""COMPUTED_VALUE"""),"ม.3/8")</f>
        <v>ม.3/8</v>
      </c>
      <c r="D1234" s="3" t="str">
        <f>IFERROR(__xludf.DUMMYFUNCTION("""COMPUTED_VALUE"""),"อก.2/8")</f>
        <v>อก.2/8</v>
      </c>
      <c r="E1234" s="2" t="str">
        <f>IFERROR(__xludf.DUMMYFUNCTION("""COMPUTED_VALUE"""),"หญิง")</f>
        <v>หญิง</v>
      </c>
      <c r="F1234" s="5" t="str">
        <f>IFERROR(__xludf.DUMMYFUNCTION("""COMPUTED_VALUE"""),"https://azizstan.net/student_image/24590.jpg")</f>
        <v>https://azizstan.net/student_image/24590.jpg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>
      <c r="A1235" s="3" t="str">
        <f>IFERROR(__xludf.DUMMYFUNCTION("""COMPUTED_VALUE"""),"24593")</f>
        <v>24593</v>
      </c>
      <c r="B1235" s="3" t="str">
        <f>IFERROR(__xludf.DUMMYFUNCTION("""COMPUTED_VALUE"""),"ด.ญ.บัลกิส นาแว")</f>
        <v>ด.ญ.บัลกิส นาแว</v>
      </c>
      <c r="C1235" s="3" t="str">
        <f>IFERROR(__xludf.DUMMYFUNCTION("""COMPUTED_VALUE"""),"ม.3/8")</f>
        <v>ม.3/8</v>
      </c>
      <c r="D1235" s="3" t="str">
        <f>IFERROR(__xludf.DUMMYFUNCTION("""COMPUTED_VALUE"""),"อก.2/8")</f>
        <v>อก.2/8</v>
      </c>
      <c r="E1235" s="2" t="str">
        <f>IFERROR(__xludf.DUMMYFUNCTION("""COMPUTED_VALUE"""),"หญิง")</f>
        <v>หญิง</v>
      </c>
      <c r="F1235" s="5" t="str">
        <f>IFERROR(__xludf.DUMMYFUNCTION("""COMPUTED_VALUE"""),"https://azizstan.net/student_image/24593.jpg")</f>
        <v>https://azizstan.net/student_image/24593.jpg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>
      <c r="A1236" s="3" t="str">
        <f>IFERROR(__xludf.DUMMYFUNCTION("""COMPUTED_VALUE"""),"24595")</f>
        <v>24595</v>
      </c>
      <c r="B1236" s="3" t="str">
        <f>IFERROR(__xludf.DUMMYFUNCTION("""COMPUTED_VALUE"""),"ด.ญ.อารียา มามะ")</f>
        <v>ด.ญ.อารียา มามะ</v>
      </c>
      <c r="C1236" s="3" t="str">
        <f>IFERROR(__xludf.DUMMYFUNCTION("""COMPUTED_VALUE"""),"ม.3/8")</f>
        <v>ม.3/8</v>
      </c>
      <c r="D1236" s="3" t="str">
        <f>IFERROR(__xludf.DUMMYFUNCTION("""COMPUTED_VALUE"""),"อก.2/8")</f>
        <v>อก.2/8</v>
      </c>
      <c r="E1236" s="2" t="str">
        <f>IFERROR(__xludf.DUMMYFUNCTION("""COMPUTED_VALUE"""),"หญิง")</f>
        <v>หญิง</v>
      </c>
      <c r="F1236" s="5" t="str">
        <f>IFERROR(__xludf.DUMMYFUNCTION("""COMPUTED_VALUE"""),"https://azizstan.net/student_image/24595.jpg")</f>
        <v>https://azizstan.net/student_image/24595.jpg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>
      <c r="A1237" s="3" t="str">
        <f>IFERROR(__xludf.DUMMYFUNCTION("""COMPUTED_VALUE"""),"24599")</f>
        <v>24599</v>
      </c>
      <c r="B1237" s="3" t="str">
        <f>IFERROR(__xludf.DUMMYFUNCTION("""COMPUTED_VALUE"""),"ด.ญ.อาอีเสาะ เจะหะ")</f>
        <v>ด.ญ.อาอีเสาะ เจะหะ</v>
      </c>
      <c r="C1237" s="3" t="str">
        <f>IFERROR(__xludf.DUMMYFUNCTION("""COMPUTED_VALUE"""),"ม.3/8")</f>
        <v>ม.3/8</v>
      </c>
      <c r="D1237" s="3" t="str">
        <f>IFERROR(__xludf.DUMMYFUNCTION("""COMPUTED_VALUE"""),"อก.2/8")</f>
        <v>อก.2/8</v>
      </c>
      <c r="E1237" s="2" t="str">
        <f>IFERROR(__xludf.DUMMYFUNCTION("""COMPUTED_VALUE"""),"หญิง")</f>
        <v>หญิง</v>
      </c>
      <c r="F1237" s="5" t="str">
        <f>IFERROR(__xludf.DUMMYFUNCTION("""COMPUTED_VALUE"""),"https://azizstan.net/student_image/24599.jpg")</f>
        <v>https://azizstan.net/student_image/24599.jpg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>
      <c r="A1238" s="3" t="str">
        <f>IFERROR(__xludf.DUMMYFUNCTION("""COMPUTED_VALUE"""),"24606")</f>
        <v>24606</v>
      </c>
      <c r="B1238" s="3" t="str">
        <f>IFERROR(__xludf.DUMMYFUNCTION("""COMPUTED_VALUE"""),"ด.ญ.รุสณี เด็นเล๊าะ")</f>
        <v>ด.ญ.รุสณี เด็นเล๊าะ</v>
      </c>
      <c r="C1238" s="3" t="str">
        <f>IFERROR(__xludf.DUMMYFUNCTION("""COMPUTED_VALUE"""),"ม.3/8")</f>
        <v>ม.3/8</v>
      </c>
      <c r="D1238" s="3" t="str">
        <f>IFERROR(__xludf.DUMMYFUNCTION("""COMPUTED_VALUE"""),"อก.2/8")</f>
        <v>อก.2/8</v>
      </c>
      <c r="E1238" s="2" t="str">
        <f>IFERROR(__xludf.DUMMYFUNCTION("""COMPUTED_VALUE"""),"หญิง")</f>
        <v>หญิง</v>
      </c>
      <c r="F1238" s="5" t="str">
        <f>IFERROR(__xludf.DUMMYFUNCTION("""COMPUTED_VALUE"""),"https://azizstan.net/student_image/24606.jpg")</f>
        <v>https://azizstan.net/student_image/24606.jpg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>
      <c r="A1239" s="3" t="str">
        <f>IFERROR(__xludf.DUMMYFUNCTION("""COMPUTED_VALUE"""),"24610")</f>
        <v>24610</v>
      </c>
      <c r="B1239" s="3" t="str">
        <f>IFERROR(__xludf.DUMMYFUNCTION("""COMPUTED_VALUE"""),"ด.ญ.ฟาเดียร์ ลาเต๊ะ")</f>
        <v>ด.ญ.ฟาเดียร์ ลาเต๊ะ</v>
      </c>
      <c r="C1239" s="3" t="str">
        <f>IFERROR(__xludf.DUMMYFUNCTION("""COMPUTED_VALUE"""),"ม.3/8")</f>
        <v>ม.3/8</v>
      </c>
      <c r="D1239" s="3" t="str">
        <f>IFERROR(__xludf.DUMMYFUNCTION("""COMPUTED_VALUE"""),"อก.2/8")</f>
        <v>อก.2/8</v>
      </c>
      <c r="E1239" s="2" t="str">
        <f>IFERROR(__xludf.DUMMYFUNCTION("""COMPUTED_VALUE"""),"หญิง")</f>
        <v>หญิง</v>
      </c>
      <c r="F1239" s="5" t="str">
        <f>IFERROR(__xludf.DUMMYFUNCTION("""COMPUTED_VALUE"""),"https://azizstan.net/student_image/24610.jpg")</f>
        <v>https://azizstan.net/student_image/24610.jpg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>
      <c r="A1240" s="3" t="str">
        <f>IFERROR(__xludf.DUMMYFUNCTION("""COMPUTED_VALUE"""),"24633")</f>
        <v>24633</v>
      </c>
      <c r="B1240" s="3" t="str">
        <f>IFERROR(__xludf.DUMMYFUNCTION("""COMPUTED_VALUE"""),"ด.ญ.ฟิรดาวส์ สาและเล๊าะ")</f>
        <v>ด.ญ.ฟิรดาวส์ สาและเล๊าะ</v>
      </c>
      <c r="C1240" s="3" t="str">
        <f>IFERROR(__xludf.DUMMYFUNCTION("""COMPUTED_VALUE"""),"ม.3/8")</f>
        <v>ม.3/8</v>
      </c>
      <c r="D1240" s="3" t="str">
        <f>IFERROR(__xludf.DUMMYFUNCTION("""COMPUTED_VALUE"""),"อก.2/8")</f>
        <v>อก.2/8</v>
      </c>
      <c r="E1240" s="2" t="str">
        <f>IFERROR(__xludf.DUMMYFUNCTION("""COMPUTED_VALUE"""),"หญิง")</f>
        <v>หญิง</v>
      </c>
      <c r="F1240" s="5" t="str">
        <f>IFERROR(__xludf.DUMMYFUNCTION("""COMPUTED_VALUE"""),"https://azizstan.net/student_image/24633.jpg")</f>
        <v>https://azizstan.net/student_image/24633.jpg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>
      <c r="A1241" s="3" t="str">
        <f>IFERROR(__xludf.DUMMYFUNCTION("""COMPUTED_VALUE"""),"24640")</f>
        <v>24640</v>
      </c>
      <c r="B1241" s="3" t="str">
        <f>IFERROR(__xludf.DUMMYFUNCTION("""COMPUTED_VALUE"""),"ด.ญ.นุรวาอีดาร์ อีแต")</f>
        <v>ด.ญ.นุรวาอีดาร์ อีแต</v>
      </c>
      <c r="C1241" s="3" t="str">
        <f>IFERROR(__xludf.DUMMYFUNCTION("""COMPUTED_VALUE"""),"ม.3/8")</f>
        <v>ม.3/8</v>
      </c>
      <c r="D1241" s="3" t="str">
        <f>IFERROR(__xludf.DUMMYFUNCTION("""COMPUTED_VALUE"""),"อก.2/8")</f>
        <v>อก.2/8</v>
      </c>
      <c r="E1241" s="2" t="str">
        <f>IFERROR(__xludf.DUMMYFUNCTION("""COMPUTED_VALUE"""),"หญิง")</f>
        <v>หญิง</v>
      </c>
      <c r="F1241" s="5" t="str">
        <f>IFERROR(__xludf.DUMMYFUNCTION("""COMPUTED_VALUE"""),"https://azizstan.net/student_image/24640.jpg")</f>
        <v>https://azizstan.net/student_image/24640.jpg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>
      <c r="A1242" s="3" t="str">
        <f>IFERROR(__xludf.DUMMYFUNCTION("""COMPUTED_VALUE"""),"24685")</f>
        <v>24685</v>
      </c>
      <c r="B1242" s="3" t="str">
        <f>IFERROR(__xludf.DUMMYFUNCTION("""COMPUTED_VALUE"""),"ด.ญ.นูรุลอีมาน ใบหวังอะ")</f>
        <v>ด.ญ.นูรุลอีมาน ใบหวังอะ</v>
      </c>
      <c r="C1242" s="3" t="str">
        <f>IFERROR(__xludf.DUMMYFUNCTION("""COMPUTED_VALUE"""),"ม.3/8")</f>
        <v>ม.3/8</v>
      </c>
      <c r="D1242" s="3" t="str">
        <f>IFERROR(__xludf.DUMMYFUNCTION("""COMPUTED_VALUE"""),"อก.2/8")</f>
        <v>อก.2/8</v>
      </c>
      <c r="E1242" s="2" t="str">
        <f>IFERROR(__xludf.DUMMYFUNCTION("""COMPUTED_VALUE"""),"หญิง")</f>
        <v>หญิง</v>
      </c>
      <c r="F1242" s="5" t="str">
        <f>IFERROR(__xludf.DUMMYFUNCTION("""COMPUTED_VALUE"""),"https://azizstan.net/student_image/24685.jpg")</f>
        <v>https://azizstan.net/student_image/24685.jpg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>
      <c r="A1243" s="3" t="str">
        <f>IFERROR(__xludf.DUMMYFUNCTION("""COMPUTED_VALUE"""),"24695")</f>
        <v>24695</v>
      </c>
      <c r="B1243" s="3" t="str">
        <f>IFERROR(__xludf.DUMMYFUNCTION("""COMPUTED_VALUE"""),"ด.ญ.รุสมีนา แซ่ฮ๋ง")</f>
        <v>ด.ญ.รุสมีนา แซ่ฮ๋ง</v>
      </c>
      <c r="C1243" s="3" t="str">
        <f>IFERROR(__xludf.DUMMYFUNCTION("""COMPUTED_VALUE"""),"ม.3/8")</f>
        <v>ม.3/8</v>
      </c>
      <c r="D1243" s="3" t="str">
        <f>IFERROR(__xludf.DUMMYFUNCTION("""COMPUTED_VALUE"""),"อก.2/8")</f>
        <v>อก.2/8</v>
      </c>
      <c r="E1243" s="2" t="str">
        <f>IFERROR(__xludf.DUMMYFUNCTION("""COMPUTED_VALUE"""),"หญิง")</f>
        <v>หญิง</v>
      </c>
      <c r="F1243" s="5" t="str">
        <f>IFERROR(__xludf.DUMMYFUNCTION("""COMPUTED_VALUE"""),"https://azizstan.net/student_image/24695.jpg")</f>
        <v>https://azizstan.net/student_image/24695.jpg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>
      <c r="A1244" s="3" t="str">
        <f>IFERROR(__xludf.DUMMYFUNCTION("""COMPUTED_VALUE"""),"24707")</f>
        <v>24707</v>
      </c>
      <c r="B1244" s="3" t="str">
        <f>IFERROR(__xludf.DUMMYFUNCTION("""COMPUTED_VALUE"""),"ด.ญ.นูรนีตา กามา")</f>
        <v>ด.ญ.นูรนีตา กามา</v>
      </c>
      <c r="C1244" s="3" t="str">
        <f>IFERROR(__xludf.DUMMYFUNCTION("""COMPUTED_VALUE"""),"ม.3/8")</f>
        <v>ม.3/8</v>
      </c>
      <c r="D1244" s="3" t="str">
        <f>IFERROR(__xludf.DUMMYFUNCTION("""COMPUTED_VALUE"""),"อก.2/8")</f>
        <v>อก.2/8</v>
      </c>
      <c r="E1244" s="2" t="str">
        <f>IFERROR(__xludf.DUMMYFUNCTION("""COMPUTED_VALUE"""),"หญิง")</f>
        <v>หญิง</v>
      </c>
      <c r="F1244" s="5" t="str">
        <f>IFERROR(__xludf.DUMMYFUNCTION("""COMPUTED_VALUE"""),"https://azizstan.net/student_image/24707.jpg")</f>
        <v>https://azizstan.net/student_image/24707.jpg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>
      <c r="A1245" s="3" t="str">
        <f>IFERROR(__xludf.DUMMYFUNCTION("""COMPUTED_VALUE"""),"24718")</f>
        <v>24718</v>
      </c>
      <c r="B1245" s="3" t="str">
        <f>IFERROR(__xludf.DUMMYFUNCTION("""COMPUTED_VALUE"""),"ด.ญ.โซฟีนา ลาเต๊ะ")</f>
        <v>ด.ญ.โซฟีนา ลาเต๊ะ</v>
      </c>
      <c r="C1245" s="3" t="str">
        <f>IFERROR(__xludf.DUMMYFUNCTION("""COMPUTED_VALUE"""),"ม.3/8")</f>
        <v>ม.3/8</v>
      </c>
      <c r="D1245" s="3" t="str">
        <f>IFERROR(__xludf.DUMMYFUNCTION("""COMPUTED_VALUE"""),"อก.2/8")</f>
        <v>อก.2/8</v>
      </c>
      <c r="E1245" s="2" t="str">
        <f>IFERROR(__xludf.DUMMYFUNCTION("""COMPUTED_VALUE"""),"หญิง")</f>
        <v>หญิง</v>
      </c>
      <c r="F1245" s="5" t="str">
        <f>IFERROR(__xludf.DUMMYFUNCTION("""COMPUTED_VALUE"""),"https://azizstan.net/student_image/24718.jpg")</f>
        <v>https://azizstan.net/student_image/24718.jpg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>
      <c r="A1246" s="3" t="str">
        <f>IFERROR(__xludf.DUMMYFUNCTION("""COMPUTED_VALUE"""),"24725")</f>
        <v>24725</v>
      </c>
      <c r="B1246" s="3" t="str">
        <f>IFERROR(__xludf.DUMMYFUNCTION("""COMPUTED_VALUE"""),"ด.ญ.ลาตีฟะห์ สะแม")</f>
        <v>ด.ญ.ลาตีฟะห์ สะแม</v>
      </c>
      <c r="C1246" s="3" t="str">
        <f>IFERROR(__xludf.DUMMYFUNCTION("""COMPUTED_VALUE"""),"ม.3/8")</f>
        <v>ม.3/8</v>
      </c>
      <c r="D1246" s="3" t="str">
        <f>IFERROR(__xludf.DUMMYFUNCTION("""COMPUTED_VALUE"""),"อก.2/8")</f>
        <v>อก.2/8</v>
      </c>
      <c r="E1246" s="2" t="str">
        <f>IFERROR(__xludf.DUMMYFUNCTION("""COMPUTED_VALUE"""),"หญิง")</f>
        <v>หญิง</v>
      </c>
      <c r="F1246" s="5" t="str">
        <f>IFERROR(__xludf.DUMMYFUNCTION("""COMPUTED_VALUE"""),"https://azizstan.net/student_image/24725.jpg")</f>
        <v>https://azizstan.net/student_image/24725.jpg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>
      <c r="A1247" s="3" t="str">
        <f>IFERROR(__xludf.DUMMYFUNCTION("""COMPUTED_VALUE"""),"24729")</f>
        <v>24729</v>
      </c>
      <c r="B1247" s="3" t="str">
        <f>IFERROR(__xludf.DUMMYFUNCTION("""COMPUTED_VALUE"""),"ด.ญ.ฟัดวา สะอิ")</f>
        <v>ด.ญ.ฟัดวา สะอิ</v>
      </c>
      <c r="C1247" s="3" t="str">
        <f>IFERROR(__xludf.DUMMYFUNCTION("""COMPUTED_VALUE"""),"ม.3/8")</f>
        <v>ม.3/8</v>
      </c>
      <c r="D1247" s="3" t="str">
        <f>IFERROR(__xludf.DUMMYFUNCTION("""COMPUTED_VALUE"""),"อก.2/8")</f>
        <v>อก.2/8</v>
      </c>
      <c r="E1247" s="2" t="str">
        <f>IFERROR(__xludf.DUMMYFUNCTION("""COMPUTED_VALUE"""),"หญิง")</f>
        <v>หญิง</v>
      </c>
      <c r="F1247" s="5" t="str">
        <f>IFERROR(__xludf.DUMMYFUNCTION("""COMPUTED_VALUE"""),"https://azizstan.net/student_image/24729.jpg")</f>
        <v>https://azizstan.net/student_image/24729.jpg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>
      <c r="A1248" s="3" t="str">
        <f>IFERROR(__xludf.DUMMYFUNCTION("""COMPUTED_VALUE"""),"24743")</f>
        <v>24743</v>
      </c>
      <c r="B1248" s="3" t="str">
        <f>IFERROR(__xludf.DUMMYFUNCTION("""COMPUTED_VALUE"""),"ด.ญ.ฮารีฟา มาหมะ")</f>
        <v>ด.ญ.ฮารีฟา มาหมะ</v>
      </c>
      <c r="C1248" s="3" t="str">
        <f>IFERROR(__xludf.DUMMYFUNCTION("""COMPUTED_VALUE"""),"ม.3/8")</f>
        <v>ม.3/8</v>
      </c>
      <c r="D1248" s="3" t="str">
        <f>IFERROR(__xludf.DUMMYFUNCTION("""COMPUTED_VALUE"""),"อก.2/8")</f>
        <v>อก.2/8</v>
      </c>
      <c r="E1248" s="2" t="str">
        <f>IFERROR(__xludf.DUMMYFUNCTION("""COMPUTED_VALUE"""),"หญิง")</f>
        <v>หญิง</v>
      </c>
      <c r="F1248" s="5" t="str">
        <f>IFERROR(__xludf.DUMMYFUNCTION("""COMPUTED_VALUE"""),"https://azizstan.net/student_image/24743.jpg")</f>
        <v>https://azizstan.net/student_image/24743.jpg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>
      <c r="A1249" s="3" t="str">
        <f>IFERROR(__xludf.DUMMYFUNCTION("""COMPUTED_VALUE"""),"24751")</f>
        <v>24751</v>
      </c>
      <c r="B1249" s="3" t="str">
        <f>IFERROR(__xludf.DUMMYFUNCTION("""COMPUTED_VALUE"""),"ด.ญ.นูรฟาอีซา เมาะมุสอ")</f>
        <v>ด.ญ.นูรฟาอีซา เมาะมุสอ</v>
      </c>
      <c r="C1249" s="3" t="str">
        <f>IFERROR(__xludf.DUMMYFUNCTION("""COMPUTED_VALUE"""),"ม.3/8")</f>
        <v>ม.3/8</v>
      </c>
      <c r="D1249" s="3" t="str">
        <f>IFERROR(__xludf.DUMMYFUNCTION("""COMPUTED_VALUE"""),"อก.2/8")</f>
        <v>อก.2/8</v>
      </c>
      <c r="E1249" s="2" t="str">
        <f>IFERROR(__xludf.DUMMYFUNCTION("""COMPUTED_VALUE"""),"หญิง")</f>
        <v>หญิง</v>
      </c>
      <c r="F1249" s="5" t="str">
        <f>IFERROR(__xludf.DUMMYFUNCTION("""COMPUTED_VALUE"""),"https://azizstan.net/student_image/24751.jpg")</f>
        <v>https://azizstan.net/student_image/24751.jpg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>
      <c r="A1250" s="3" t="str">
        <f>IFERROR(__xludf.DUMMYFUNCTION("""COMPUTED_VALUE"""),"24757")</f>
        <v>24757</v>
      </c>
      <c r="B1250" s="3" t="str">
        <f>IFERROR(__xludf.DUMMYFUNCTION("""COMPUTED_VALUE"""),"ด.ญ.ต่วนมุศลา ต่วนมะ")</f>
        <v>ด.ญ.ต่วนมุศลา ต่วนมะ</v>
      </c>
      <c r="C1250" s="3" t="str">
        <f>IFERROR(__xludf.DUMMYFUNCTION("""COMPUTED_VALUE"""),"ม.3/8")</f>
        <v>ม.3/8</v>
      </c>
      <c r="D1250" s="3" t="str">
        <f>IFERROR(__xludf.DUMMYFUNCTION("""COMPUTED_VALUE"""),"อก.2/8")</f>
        <v>อก.2/8</v>
      </c>
      <c r="E1250" s="2" t="str">
        <f>IFERROR(__xludf.DUMMYFUNCTION("""COMPUTED_VALUE"""),"หญิง")</f>
        <v>หญิง</v>
      </c>
      <c r="F1250" s="5" t="str">
        <f>IFERROR(__xludf.DUMMYFUNCTION("""COMPUTED_VALUE"""),"https://azizstan.net/student_image/24757.jpg")</f>
        <v>https://azizstan.net/student_image/24757.jpg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>
      <c r="A1251" s="3" t="str">
        <f>IFERROR(__xludf.DUMMYFUNCTION("""COMPUTED_VALUE"""),"24793")</f>
        <v>24793</v>
      </c>
      <c r="B1251" s="3" t="str">
        <f>IFERROR(__xludf.DUMMYFUNCTION("""COMPUTED_VALUE"""),"ด.ญ.นูรฟาติน เจ๊ะมามุ")</f>
        <v>ด.ญ.นูรฟาติน เจ๊ะมามุ</v>
      </c>
      <c r="C1251" s="3" t="str">
        <f>IFERROR(__xludf.DUMMYFUNCTION("""COMPUTED_VALUE"""),"ม.3/8")</f>
        <v>ม.3/8</v>
      </c>
      <c r="D1251" s="3" t="str">
        <f>IFERROR(__xludf.DUMMYFUNCTION("""COMPUTED_VALUE"""),"อก.2/8")</f>
        <v>อก.2/8</v>
      </c>
      <c r="E1251" s="2" t="str">
        <f>IFERROR(__xludf.DUMMYFUNCTION("""COMPUTED_VALUE"""),"หญิง")</f>
        <v>หญิง</v>
      </c>
      <c r="F1251" s="5" t="str">
        <f>IFERROR(__xludf.DUMMYFUNCTION("""COMPUTED_VALUE"""),"https://azizstan.net/student_image/24793.jpg")</f>
        <v>https://azizstan.net/student_image/24793.jpg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>
      <c r="A1252" s="3" t="str">
        <f>IFERROR(__xludf.DUMMYFUNCTION("""COMPUTED_VALUE"""),"24814")</f>
        <v>24814</v>
      </c>
      <c r="B1252" s="3" t="str">
        <f>IFERROR(__xludf.DUMMYFUNCTION("""COMPUTED_VALUE"""),"ด.ญ.ดียาณา สาเมาะ")</f>
        <v>ด.ญ.ดียาณา สาเมาะ</v>
      </c>
      <c r="C1252" s="3" t="str">
        <f>IFERROR(__xludf.DUMMYFUNCTION("""COMPUTED_VALUE"""),"ม.3/8")</f>
        <v>ม.3/8</v>
      </c>
      <c r="D1252" s="3" t="str">
        <f>IFERROR(__xludf.DUMMYFUNCTION("""COMPUTED_VALUE"""),"อก.2/8")</f>
        <v>อก.2/8</v>
      </c>
      <c r="E1252" s="2" t="str">
        <f>IFERROR(__xludf.DUMMYFUNCTION("""COMPUTED_VALUE"""),"หญิง")</f>
        <v>หญิง</v>
      </c>
      <c r="F1252" s="5" t="str">
        <f>IFERROR(__xludf.DUMMYFUNCTION("""COMPUTED_VALUE"""),"https://azizstan.net/student_image/24814.jpg")</f>
        <v>https://azizstan.net/student_image/24814.jpg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>
      <c r="A1253" s="3" t="str">
        <f>IFERROR(__xludf.DUMMYFUNCTION("""COMPUTED_VALUE"""),"24862")</f>
        <v>24862</v>
      </c>
      <c r="B1253" s="3" t="str">
        <f>IFERROR(__xludf.DUMMYFUNCTION("""COMPUTED_VALUE"""),"ด.ญ.นูรอ อูมา")</f>
        <v>ด.ญ.นูรอ อูมา</v>
      </c>
      <c r="C1253" s="3" t="str">
        <f>IFERROR(__xludf.DUMMYFUNCTION("""COMPUTED_VALUE"""),"ม.3/8")</f>
        <v>ม.3/8</v>
      </c>
      <c r="D1253" s="3" t="str">
        <f>IFERROR(__xludf.DUMMYFUNCTION("""COMPUTED_VALUE"""),"อก.2/8")</f>
        <v>อก.2/8</v>
      </c>
      <c r="E1253" s="2" t="str">
        <f>IFERROR(__xludf.DUMMYFUNCTION("""COMPUTED_VALUE"""),"หญิง")</f>
        <v>หญิง</v>
      </c>
      <c r="F1253" s="5" t="str">
        <f>IFERROR(__xludf.DUMMYFUNCTION("""COMPUTED_VALUE"""),"https://azizstan.net/student_image/24862.jpg")</f>
        <v>https://azizstan.net/student_image/24862.jpg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>
      <c r="A1254" s="3" t="str">
        <f>IFERROR(__xludf.DUMMYFUNCTION("""COMPUTED_VALUE"""),"24867")</f>
        <v>24867</v>
      </c>
      <c r="B1254" s="3" t="str">
        <f>IFERROR(__xludf.DUMMYFUNCTION("""COMPUTED_VALUE"""),"ด.ญ.มัยมูน โยสะ")</f>
        <v>ด.ญ.มัยมูน โยสะ</v>
      </c>
      <c r="C1254" s="3" t="str">
        <f>IFERROR(__xludf.DUMMYFUNCTION("""COMPUTED_VALUE"""),"ม.3/8")</f>
        <v>ม.3/8</v>
      </c>
      <c r="D1254" s="3" t="str">
        <f>IFERROR(__xludf.DUMMYFUNCTION("""COMPUTED_VALUE"""),"อก.2/8")</f>
        <v>อก.2/8</v>
      </c>
      <c r="E1254" s="2" t="str">
        <f>IFERROR(__xludf.DUMMYFUNCTION("""COMPUTED_VALUE"""),"หญิง")</f>
        <v>หญิง</v>
      </c>
      <c r="F1254" s="5" t="str">
        <f>IFERROR(__xludf.DUMMYFUNCTION("""COMPUTED_VALUE"""),"https://azizstan.net/student_image/24867.jpg")</f>
        <v>https://azizstan.net/student_image/24867.jpg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>
      <c r="A1255" s="3" t="str">
        <f>IFERROR(__xludf.DUMMYFUNCTION("""COMPUTED_VALUE"""),"24869")</f>
        <v>24869</v>
      </c>
      <c r="B1255" s="3" t="str">
        <f>IFERROR(__xludf.DUMMYFUNCTION("""COMPUTED_VALUE"""),"ด.ญ.ฟารีฮาม อุมัต")</f>
        <v>ด.ญ.ฟารีฮาม อุมัต</v>
      </c>
      <c r="C1255" s="3" t="str">
        <f>IFERROR(__xludf.DUMMYFUNCTION("""COMPUTED_VALUE"""),"ม.3/8")</f>
        <v>ม.3/8</v>
      </c>
      <c r="D1255" s="3" t="str">
        <f>IFERROR(__xludf.DUMMYFUNCTION("""COMPUTED_VALUE"""),"อก.2/8")</f>
        <v>อก.2/8</v>
      </c>
      <c r="E1255" s="2" t="str">
        <f>IFERROR(__xludf.DUMMYFUNCTION("""COMPUTED_VALUE"""),"หญิง")</f>
        <v>หญิง</v>
      </c>
      <c r="F1255" s="5" t="str">
        <f>IFERROR(__xludf.DUMMYFUNCTION("""COMPUTED_VALUE"""),"https://azizstan.net/student_image/24869.jpg")</f>
        <v>https://azizstan.net/student_image/24869.jpg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>
      <c r="A1256" s="3" t="str">
        <f>IFERROR(__xludf.DUMMYFUNCTION("""COMPUTED_VALUE"""),"24883")</f>
        <v>24883</v>
      </c>
      <c r="B1256" s="3" t="str">
        <f>IFERROR(__xludf.DUMMYFUNCTION("""COMPUTED_VALUE"""),"ด.ญ.นูรฮัซซูน่า สาและ")</f>
        <v>ด.ญ.นูรฮัซซูน่า สาและ</v>
      </c>
      <c r="C1256" s="3" t="str">
        <f>IFERROR(__xludf.DUMMYFUNCTION("""COMPUTED_VALUE"""),"ม.3/8")</f>
        <v>ม.3/8</v>
      </c>
      <c r="D1256" s="3" t="str">
        <f>IFERROR(__xludf.DUMMYFUNCTION("""COMPUTED_VALUE"""),"อก.2/8")</f>
        <v>อก.2/8</v>
      </c>
      <c r="E1256" s="2" t="str">
        <f>IFERROR(__xludf.DUMMYFUNCTION("""COMPUTED_VALUE"""),"หญิง")</f>
        <v>หญิง</v>
      </c>
      <c r="F1256" s="5" t="str">
        <f>IFERROR(__xludf.DUMMYFUNCTION("""COMPUTED_VALUE"""),"https://azizstan.net/student_image/24883.jpg")</f>
        <v>https://azizstan.net/student_image/24883.jpg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>
      <c r="A1257" s="3" t="str">
        <f>IFERROR(__xludf.DUMMYFUNCTION("""COMPUTED_VALUE"""),"24914")</f>
        <v>24914</v>
      </c>
      <c r="B1257" s="3" t="str">
        <f>IFERROR(__xludf.DUMMYFUNCTION("""COMPUTED_VALUE"""),"ด.ญ.มาราตี ทองแก้วแก้ว")</f>
        <v>ด.ญ.มาราตี ทองแก้วแก้ว</v>
      </c>
      <c r="C1257" s="3" t="str">
        <f>IFERROR(__xludf.DUMMYFUNCTION("""COMPUTED_VALUE"""),"ม.3/8")</f>
        <v>ม.3/8</v>
      </c>
      <c r="D1257" s="3" t="str">
        <f>IFERROR(__xludf.DUMMYFUNCTION("""COMPUTED_VALUE"""),"อก.2/8")</f>
        <v>อก.2/8</v>
      </c>
      <c r="E1257" s="2" t="str">
        <f>IFERROR(__xludf.DUMMYFUNCTION("""COMPUTED_VALUE"""),"หญิง")</f>
        <v>หญิง</v>
      </c>
      <c r="F1257" s="5" t="str">
        <f>IFERROR(__xludf.DUMMYFUNCTION("""COMPUTED_VALUE"""),"https://azizstan.net/student_image/24914.jpg")</f>
        <v>https://azizstan.net/student_image/24914.jpg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>
      <c r="A1258" s="3" t="str">
        <f>IFERROR(__xludf.DUMMYFUNCTION("""COMPUTED_VALUE"""),"24931")</f>
        <v>24931</v>
      </c>
      <c r="B1258" s="3" t="str">
        <f>IFERROR(__xludf.DUMMYFUNCTION("""COMPUTED_VALUE"""),"ด.ญ.อิลฮาม สาแม")</f>
        <v>ด.ญ.อิลฮาม สาแม</v>
      </c>
      <c r="C1258" s="3" t="str">
        <f>IFERROR(__xludf.DUMMYFUNCTION("""COMPUTED_VALUE"""),"ม.3/8")</f>
        <v>ม.3/8</v>
      </c>
      <c r="D1258" s="3" t="str">
        <f>IFERROR(__xludf.DUMMYFUNCTION("""COMPUTED_VALUE"""),"อก.2/8")</f>
        <v>อก.2/8</v>
      </c>
      <c r="E1258" s="2" t="str">
        <f>IFERROR(__xludf.DUMMYFUNCTION("""COMPUTED_VALUE"""),"หญิง")</f>
        <v>หญิง</v>
      </c>
      <c r="F1258" s="5" t="str">
        <f>IFERROR(__xludf.DUMMYFUNCTION("""COMPUTED_VALUE"""),"https://azizstan.net/student_image/24931.jpg")</f>
        <v>https://azizstan.net/student_image/24931.jpg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>
      <c r="A1259" s="3" t="str">
        <f>IFERROR(__xludf.DUMMYFUNCTION("""COMPUTED_VALUE"""),"24938")</f>
        <v>24938</v>
      </c>
      <c r="B1259" s="3" t="str">
        <f>IFERROR(__xludf.DUMMYFUNCTION("""COMPUTED_VALUE"""),"ด.ญ.นุศรา ร่าหีม")</f>
        <v>ด.ญ.นุศรา ร่าหีม</v>
      </c>
      <c r="C1259" s="3" t="str">
        <f>IFERROR(__xludf.DUMMYFUNCTION("""COMPUTED_VALUE"""),"ม.3/8")</f>
        <v>ม.3/8</v>
      </c>
      <c r="D1259" s="3" t="str">
        <f>IFERROR(__xludf.DUMMYFUNCTION("""COMPUTED_VALUE"""),"อก.2/8")</f>
        <v>อก.2/8</v>
      </c>
      <c r="E1259" s="2" t="str">
        <f>IFERROR(__xludf.DUMMYFUNCTION("""COMPUTED_VALUE"""),"หญิง")</f>
        <v>หญิง</v>
      </c>
      <c r="F1259" s="5" t="str">
        <f>IFERROR(__xludf.DUMMYFUNCTION("""COMPUTED_VALUE"""),"https://azizstan.net/student_image/24938.jpg")</f>
        <v>https://azizstan.net/student_image/24938.jpg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>
      <c r="A1260" s="3" t="str">
        <f>IFERROR(__xludf.DUMMYFUNCTION("""COMPUTED_VALUE"""),"24941")</f>
        <v>24941</v>
      </c>
      <c r="B1260" s="3" t="str">
        <f>IFERROR(__xludf.DUMMYFUNCTION("""COMPUTED_VALUE"""),"ด.ญ.อิบตีซาม สะแม")</f>
        <v>ด.ญ.อิบตีซาม สะแม</v>
      </c>
      <c r="C1260" s="3" t="str">
        <f>IFERROR(__xludf.DUMMYFUNCTION("""COMPUTED_VALUE"""),"ม.3/8")</f>
        <v>ม.3/8</v>
      </c>
      <c r="D1260" s="3" t="str">
        <f>IFERROR(__xludf.DUMMYFUNCTION("""COMPUTED_VALUE"""),"อก.2/8")</f>
        <v>อก.2/8</v>
      </c>
      <c r="E1260" s="2" t="str">
        <f>IFERROR(__xludf.DUMMYFUNCTION("""COMPUTED_VALUE"""),"หญิง")</f>
        <v>หญิง</v>
      </c>
      <c r="F1260" s="5" t="str">
        <f>IFERROR(__xludf.DUMMYFUNCTION("""COMPUTED_VALUE"""),"https://azizstan.net/student_image/24941.jpg")</f>
        <v>https://azizstan.net/student_image/24941.jpg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>
      <c r="A1261" s="3" t="str">
        <f>IFERROR(__xludf.DUMMYFUNCTION("""COMPUTED_VALUE"""),"24962")</f>
        <v>24962</v>
      </c>
      <c r="B1261" s="3" t="str">
        <f>IFERROR(__xludf.DUMMYFUNCTION("""COMPUTED_VALUE"""),"ด.ญ.นัสรีย์ หัดสาหมัด")</f>
        <v>ด.ญ.นัสรีย์ หัดสาหมัด</v>
      </c>
      <c r="C1261" s="3" t="str">
        <f>IFERROR(__xludf.DUMMYFUNCTION("""COMPUTED_VALUE"""),"ม.3/8")</f>
        <v>ม.3/8</v>
      </c>
      <c r="D1261" s="3" t="str">
        <f>IFERROR(__xludf.DUMMYFUNCTION("""COMPUTED_VALUE"""),"อก.2/8")</f>
        <v>อก.2/8</v>
      </c>
      <c r="E1261" s="2" t="str">
        <f>IFERROR(__xludf.DUMMYFUNCTION("""COMPUTED_VALUE"""),"หญิง")</f>
        <v>หญิง</v>
      </c>
      <c r="F1261" s="5" t="str">
        <f>IFERROR(__xludf.DUMMYFUNCTION("""COMPUTED_VALUE"""),"https://azizstan.net/student_image/24962.jpg")</f>
        <v>https://azizstan.net/student_image/24962.jpg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>
      <c r="A1262" s="3" t="str">
        <f>IFERROR(__xludf.DUMMYFUNCTION("""COMPUTED_VALUE"""),"24985")</f>
        <v>24985</v>
      </c>
      <c r="B1262" s="3" t="str">
        <f>IFERROR(__xludf.DUMMYFUNCTION("""COMPUTED_VALUE"""),"ด.ญ.นูรตัสนิม ดาหะยอ")</f>
        <v>ด.ญ.นูรตัสนิม ดาหะยอ</v>
      </c>
      <c r="C1262" s="3" t="str">
        <f>IFERROR(__xludf.DUMMYFUNCTION("""COMPUTED_VALUE"""),"ม.3/8")</f>
        <v>ม.3/8</v>
      </c>
      <c r="D1262" s="3" t="str">
        <f>IFERROR(__xludf.DUMMYFUNCTION("""COMPUTED_VALUE"""),"อก.2/8")</f>
        <v>อก.2/8</v>
      </c>
      <c r="E1262" s="2" t="str">
        <f>IFERROR(__xludf.DUMMYFUNCTION("""COMPUTED_VALUE"""),"หญิง")</f>
        <v>หญิง</v>
      </c>
      <c r="F1262" s="5" t="str">
        <f>IFERROR(__xludf.DUMMYFUNCTION("""COMPUTED_VALUE"""),"https://azizstan.net/student_image/24985.jpg")</f>
        <v>https://azizstan.net/student_image/24985.jpg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>
      <c r="A1263" s="3" t="str">
        <f>IFERROR(__xludf.DUMMYFUNCTION("""COMPUTED_VALUE"""),"24987")</f>
        <v>24987</v>
      </c>
      <c r="B1263" s="3" t="str">
        <f>IFERROR(__xludf.DUMMYFUNCTION("""COMPUTED_VALUE"""),"ด.ญ.นูรฟาติน วาโด")</f>
        <v>ด.ญ.นูรฟาติน วาโด</v>
      </c>
      <c r="C1263" s="3" t="str">
        <f>IFERROR(__xludf.DUMMYFUNCTION("""COMPUTED_VALUE"""),"ม.3/8")</f>
        <v>ม.3/8</v>
      </c>
      <c r="D1263" s="3" t="str">
        <f>IFERROR(__xludf.DUMMYFUNCTION("""COMPUTED_VALUE"""),"อก.2/8")</f>
        <v>อก.2/8</v>
      </c>
      <c r="E1263" s="2" t="str">
        <f>IFERROR(__xludf.DUMMYFUNCTION("""COMPUTED_VALUE"""),"หญิง")</f>
        <v>หญิง</v>
      </c>
      <c r="F1263" s="5" t="str">
        <f>IFERROR(__xludf.DUMMYFUNCTION("""COMPUTED_VALUE"""),"https://azizstan.net/student_image/24987.jpg")</f>
        <v>https://azizstan.net/student_image/24987.jpg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>
      <c r="A1264" s="3" t="str">
        <f>IFERROR(__xludf.DUMMYFUNCTION("""COMPUTED_VALUE"""),"25018")</f>
        <v>25018</v>
      </c>
      <c r="B1264" s="3" t="str">
        <f>IFERROR(__xludf.DUMMYFUNCTION("""COMPUTED_VALUE"""),"ด.ญ.นูรอาลีซา หยีดอเลาะ")</f>
        <v>ด.ญ.นูรอาลีซา หยีดอเลาะ</v>
      </c>
      <c r="C1264" s="3" t="str">
        <f>IFERROR(__xludf.DUMMYFUNCTION("""COMPUTED_VALUE"""),"ม.3/8")</f>
        <v>ม.3/8</v>
      </c>
      <c r="D1264" s="3" t="str">
        <f>IFERROR(__xludf.DUMMYFUNCTION("""COMPUTED_VALUE"""),"อก.2/8")</f>
        <v>อก.2/8</v>
      </c>
      <c r="E1264" s="2" t="str">
        <f>IFERROR(__xludf.DUMMYFUNCTION("""COMPUTED_VALUE"""),"หญิง")</f>
        <v>หญิง</v>
      </c>
      <c r="F1264" s="5" t="str">
        <f>IFERROR(__xludf.DUMMYFUNCTION("""COMPUTED_VALUE"""),"https://azizstan.net/student_image/25018.jpg")</f>
        <v>https://azizstan.net/student_image/25018.jpg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>
      <c r="A1265" s="3" t="str">
        <f>IFERROR(__xludf.DUMMYFUNCTION("""COMPUTED_VALUE"""),"25034")</f>
        <v>25034</v>
      </c>
      <c r="B1265" s="3" t="str">
        <f>IFERROR(__xludf.DUMMYFUNCTION("""COMPUTED_VALUE"""),"ด.ญ.นุรฟายีรา มะสัน")</f>
        <v>ด.ญ.นุรฟายีรา มะสัน</v>
      </c>
      <c r="C1265" s="3" t="str">
        <f>IFERROR(__xludf.DUMMYFUNCTION("""COMPUTED_VALUE"""),"ม.3/8")</f>
        <v>ม.3/8</v>
      </c>
      <c r="D1265" s="3" t="str">
        <f>IFERROR(__xludf.DUMMYFUNCTION("""COMPUTED_VALUE"""),"อก.2/8")</f>
        <v>อก.2/8</v>
      </c>
      <c r="E1265" s="2" t="str">
        <f>IFERROR(__xludf.DUMMYFUNCTION("""COMPUTED_VALUE"""),"หญิง")</f>
        <v>หญิง</v>
      </c>
      <c r="F1265" s="5" t="str">
        <f>IFERROR(__xludf.DUMMYFUNCTION("""COMPUTED_VALUE"""),"https://azizstan.net/student_image/25034.jpg")</f>
        <v>https://azizstan.net/student_image/25034.jpg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>
      <c r="A1266" s="3" t="str">
        <f>IFERROR(__xludf.DUMMYFUNCTION("""COMPUTED_VALUE"""),"25042")</f>
        <v>25042</v>
      </c>
      <c r="B1266" s="3" t="str">
        <f>IFERROR(__xludf.DUMMYFUNCTION("""COMPUTED_VALUE"""),"ด.ญ.อัฟเรียณา เซ็ง")</f>
        <v>ด.ญ.อัฟเรียณา เซ็ง</v>
      </c>
      <c r="C1266" s="3" t="str">
        <f>IFERROR(__xludf.DUMMYFUNCTION("""COMPUTED_VALUE"""),"ม.3/8")</f>
        <v>ม.3/8</v>
      </c>
      <c r="D1266" s="3" t="str">
        <f>IFERROR(__xludf.DUMMYFUNCTION("""COMPUTED_VALUE"""),"อก.2/8")</f>
        <v>อก.2/8</v>
      </c>
      <c r="E1266" s="2" t="str">
        <f>IFERROR(__xludf.DUMMYFUNCTION("""COMPUTED_VALUE"""),"หญิง")</f>
        <v>หญิง</v>
      </c>
      <c r="F1266" s="5" t="str">
        <f>IFERROR(__xludf.DUMMYFUNCTION("""COMPUTED_VALUE"""),"https://azizstan.net/student_image/25042.jpg")</f>
        <v>https://azizstan.net/student_image/25042.jpg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>
      <c r="A1267" s="3" t="str">
        <f>IFERROR(__xludf.DUMMYFUNCTION("""COMPUTED_VALUE"""),"25043")</f>
        <v>25043</v>
      </c>
      <c r="B1267" s="3" t="str">
        <f>IFERROR(__xludf.DUMMYFUNCTION("""COMPUTED_VALUE"""),"ด.ญ.สูลัยมีย์ เจะมะ")</f>
        <v>ด.ญ.สูลัยมีย์ เจะมะ</v>
      </c>
      <c r="C1267" s="3" t="str">
        <f>IFERROR(__xludf.DUMMYFUNCTION("""COMPUTED_VALUE"""),"ม.3/8")</f>
        <v>ม.3/8</v>
      </c>
      <c r="D1267" s="3" t="str">
        <f>IFERROR(__xludf.DUMMYFUNCTION("""COMPUTED_VALUE"""),"อก.2/8")</f>
        <v>อก.2/8</v>
      </c>
      <c r="E1267" s="2" t="str">
        <f>IFERROR(__xludf.DUMMYFUNCTION("""COMPUTED_VALUE"""),"หญิง")</f>
        <v>หญิง</v>
      </c>
      <c r="F1267" s="5" t="str">
        <f>IFERROR(__xludf.DUMMYFUNCTION("""COMPUTED_VALUE"""),"https://azizstan.net/student_image/25043.jpg")</f>
        <v>https://azizstan.net/student_image/25043.jpg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>
      <c r="A1268" s="3" t="str">
        <f>IFERROR(__xludf.DUMMYFUNCTION("""COMPUTED_VALUE"""),"25078")</f>
        <v>25078</v>
      </c>
      <c r="B1268" s="3" t="str">
        <f>IFERROR(__xludf.DUMMYFUNCTION("""COMPUTED_VALUE"""),"ด.ญ.ฟาตีฮะห์ ยะโต๊ะ")</f>
        <v>ด.ญ.ฟาตีฮะห์ ยะโต๊ะ</v>
      </c>
      <c r="C1268" s="3" t="str">
        <f>IFERROR(__xludf.DUMMYFUNCTION("""COMPUTED_VALUE"""),"ม.3/8")</f>
        <v>ม.3/8</v>
      </c>
      <c r="D1268" s="3" t="str">
        <f>IFERROR(__xludf.DUMMYFUNCTION("""COMPUTED_VALUE"""),"อก.2/8")</f>
        <v>อก.2/8</v>
      </c>
      <c r="E1268" s="2" t="str">
        <f>IFERROR(__xludf.DUMMYFUNCTION("""COMPUTED_VALUE"""),"หญิง")</f>
        <v>หญิง</v>
      </c>
      <c r="F1268" s="5" t="str">
        <f>IFERROR(__xludf.DUMMYFUNCTION("""COMPUTED_VALUE"""),"https://azizstan.net/student_image/25078.jpg")</f>
        <v>https://azizstan.net/student_image/25078.jpg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>
      <c r="A1269" s="3" t="str">
        <f>IFERROR(__xludf.DUMMYFUNCTION("""COMPUTED_VALUE"""),"25080")</f>
        <v>25080</v>
      </c>
      <c r="B1269" s="3" t="str">
        <f>IFERROR(__xludf.DUMMYFUNCTION("""COMPUTED_VALUE"""),"ด.ญ.กูรีดา สาเมาะ")</f>
        <v>ด.ญ.กูรีดา สาเมาะ</v>
      </c>
      <c r="C1269" s="3" t="str">
        <f>IFERROR(__xludf.DUMMYFUNCTION("""COMPUTED_VALUE"""),"ม.3/8")</f>
        <v>ม.3/8</v>
      </c>
      <c r="D1269" s="3" t="str">
        <f>IFERROR(__xludf.DUMMYFUNCTION("""COMPUTED_VALUE"""),"อก.2/8")</f>
        <v>อก.2/8</v>
      </c>
      <c r="E1269" s="2" t="str">
        <f>IFERROR(__xludf.DUMMYFUNCTION("""COMPUTED_VALUE"""),"หญิง")</f>
        <v>หญิง</v>
      </c>
      <c r="F1269" s="5" t="str">
        <f>IFERROR(__xludf.DUMMYFUNCTION("""COMPUTED_VALUE"""),"https://azizstan.net/student_image/25080.jpg")</f>
        <v>https://azizstan.net/student_image/25080.jpg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>
      <c r="A1270" s="3" t="str">
        <f>IFERROR(__xludf.DUMMYFUNCTION("""COMPUTED_VALUE"""),"25090")</f>
        <v>25090</v>
      </c>
      <c r="B1270" s="3" t="str">
        <f>IFERROR(__xludf.DUMMYFUNCTION("""COMPUTED_VALUE"""),"ด.ญ.ไอรดา ดอเลาะ")</f>
        <v>ด.ญ.ไอรดา ดอเลาะ</v>
      </c>
      <c r="C1270" s="3" t="str">
        <f>IFERROR(__xludf.DUMMYFUNCTION("""COMPUTED_VALUE"""),"ม.3/8")</f>
        <v>ม.3/8</v>
      </c>
      <c r="D1270" s="3" t="str">
        <f>IFERROR(__xludf.DUMMYFUNCTION("""COMPUTED_VALUE"""),"อก.2/8")</f>
        <v>อก.2/8</v>
      </c>
      <c r="E1270" s="2" t="str">
        <f>IFERROR(__xludf.DUMMYFUNCTION("""COMPUTED_VALUE"""),"หญิง")</f>
        <v>หญิง</v>
      </c>
      <c r="F1270" s="5" t="str">
        <f>IFERROR(__xludf.DUMMYFUNCTION("""COMPUTED_VALUE"""),"https://azizstan.net/student_image/25090.jpg")</f>
        <v>https://azizstan.net/student_image/25090.jpg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>
      <c r="A1271" s="3" t="str">
        <f>IFERROR(__xludf.DUMMYFUNCTION("""COMPUTED_VALUE"""),"25104")</f>
        <v>25104</v>
      </c>
      <c r="B1271" s="3" t="str">
        <f>IFERROR(__xludf.DUMMYFUNCTION("""COMPUTED_VALUE"""),"ด.ญ.วานิดา โตะมะ")</f>
        <v>ด.ญ.วานิดา โตะมะ</v>
      </c>
      <c r="C1271" s="3" t="str">
        <f>IFERROR(__xludf.DUMMYFUNCTION("""COMPUTED_VALUE"""),"ม.3/8")</f>
        <v>ม.3/8</v>
      </c>
      <c r="D1271" s="3" t="str">
        <f>IFERROR(__xludf.DUMMYFUNCTION("""COMPUTED_VALUE"""),"อก.2/8")</f>
        <v>อก.2/8</v>
      </c>
      <c r="E1271" s="2" t="str">
        <f>IFERROR(__xludf.DUMMYFUNCTION("""COMPUTED_VALUE"""),"หญิง")</f>
        <v>หญิง</v>
      </c>
      <c r="F1271" s="5" t="str">
        <f>IFERROR(__xludf.DUMMYFUNCTION("""COMPUTED_VALUE"""),"https://azizstan.net/student_image/25104.jpg")</f>
        <v>https://azizstan.net/student_image/25104.jpg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>
      <c r="A1272" s="3" t="str">
        <f>IFERROR(__xludf.DUMMYFUNCTION("""COMPUTED_VALUE"""),"25125")</f>
        <v>25125</v>
      </c>
      <c r="B1272" s="3" t="str">
        <f>IFERROR(__xludf.DUMMYFUNCTION("""COMPUTED_VALUE"""),"ด.ญ.ชากีณา ฮาแย")</f>
        <v>ด.ญ.ชากีณา ฮาแย</v>
      </c>
      <c r="C1272" s="3" t="str">
        <f>IFERROR(__xludf.DUMMYFUNCTION("""COMPUTED_VALUE"""),"ม.3/8")</f>
        <v>ม.3/8</v>
      </c>
      <c r="D1272" s="3" t="str">
        <f>IFERROR(__xludf.DUMMYFUNCTION("""COMPUTED_VALUE"""),"อก.2/8")</f>
        <v>อก.2/8</v>
      </c>
      <c r="E1272" s="2" t="str">
        <f>IFERROR(__xludf.DUMMYFUNCTION("""COMPUTED_VALUE"""),"หญิง")</f>
        <v>หญิง</v>
      </c>
      <c r="F1272" s="5" t="str">
        <f>IFERROR(__xludf.DUMMYFUNCTION("""COMPUTED_VALUE"""),"https://azizstan.net/student_image/25125.jpg")</f>
        <v>https://azizstan.net/student_image/25125.jpg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>
      <c r="A1273" s="3" t="str">
        <f>IFERROR(__xludf.DUMMYFUNCTION("""COMPUTED_VALUE"""),"25138")</f>
        <v>25138</v>
      </c>
      <c r="B1273" s="3" t="str">
        <f>IFERROR(__xludf.DUMMYFUNCTION("""COMPUTED_VALUE"""),"ด.ญ.นุรณี ดอแนเลาะ")</f>
        <v>ด.ญ.นุรณี ดอแนเลาะ</v>
      </c>
      <c r="C1273" s="3" t="str">
        <f>IFERROR(__xludf.DUMMYFUNCTION("""COMPUTED_VALUE"""),"ม.3/8")</f>
        <v>ม.3/8</v>
      </c>
      <c r="D1273" s="3" t="str">
        <f>IFERROR(__xludf.DUMMYFUNCTION("""COMPUTED_VALUE"""),"อก.2/8")</f>
        <v>อก.2/8</v>
      </c>
      <c r="E1273" s="2" t="str">
        <f>IFERROR(__xludf.DUMMYFUNCTION("""COMPUTED_VALUE"""),"หญิง")</f>
        <v>หญิง</v>
      </c>
      <c r="F1273" s="5" t="str">
        <f>IFERROR(__xludf.DUMMYFUNCTION("""COMPUTED_VALUE"""),"https://azizstan.net/student_image/25138.jpg")</f>
        <v>https://azizstan.net/student_image/25138.jpg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>
      <c r="A1274" s="3" t="str">
        <f>IFERROR(__xludf.DUMMYFUNCTION("""COMPUTED_VALUE"""),"25167")</f>
        <v>25167</v>
      </c>
      <c r="B1274" s="3" t="str">
        <f>IFERROR(__xludf.DUMMYFUNCTION("""COMPUTED_VALUE"""),"ด.ญ.อาลาวียะห์ สาและ")</f>
        <v>ด.ญ.อาลาวียะห์ สาและ</v>
      </c>
      <c r="C1274" s="3" t="str">
        <f>IFERROR(__xludf.DUMMYFUNCTION("""COMPUTED_VALUE"""),"ม.3/8")</f>
        <v>ม.3/8</v>
      </c>
      <c r="D1274" s="3" t="str">
        <f>IFERROR(__xludf.DUMMYFUNCTION("""COMPUTED_VALUE"""),"อก.2/8")</f>
        <v>อก.2/8</v>
      </c>
      <c r="E1274" s="2" t="str">
        <f>IFERROR(__xludf.DUMMYFUNCTION("""COMPUTED_VALUE"""),"หญิง")</f>
        <v>หญิง</v>
      </c>
      <c r="F1274" s="5" t="str">
        <f>IFERROR(__xludf.DUMMYFUNCTION("""COMPUTED_VALUE"""),"https://azizstan.net/student_image/25167.jpg")</f>
        <v>https://azizstan.net/student_image/25167.jpg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>
      <c r="A1275" s="3" t="str">
        <f>IFERROR(__xludf.DUMMYFUNCTION("""COMPUTED_VALUE"""),"24621")</f>
        <v>24621</v>
      </c>
      <c r="B1275" s="3" t="str">
        <f>IFERROR(__xludf.DUMMYFUNCTION("""COMPUTED_VALUE"""),"ด.ญ.นัสรีน สันเต๊ะ")</f>
        <v>ด.ญ.นัสรีน สันเต๊ะ</v>
      </c>
      <c r="C1275" s="3" t="str">
        <f>IFERROR(__xludf.DUMMYFUNCTION("""COMPUTED_VALUE"""),"ม.3/9")</f>
        <v>ม.3/9</v>
      </c>
      <c r="D1275" s="3" t="str">
        <f>IFERROR(__xludf.DUMMYFUNCTION("""COMPUTED_VALUE"""),"อก.3/7")</f>
        <v>อก.3/7</v>
      </c>
      <c r="E1275" s="2" t="str">
        <f>IFERROR(__xludf.DUMMYFUNCTION("""COMPUTED_VALUE"""),"หญิง")</f>
        <v>หญิง</v>
      </c>
      <c r="F1275" s="5" t="str">
        <f>IFERROR(__xludf.DUMMYFUNCTION("""COMPUTED_VALUE"""),"https://azizstan.net/student_image/24621.jpg")</f>
        <v>https://azizstan.net/student_image/24621.jpg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>
      <c r="A1276" s="3" t="str">
        <f>IFERROR(__xludf.DUMMYFUNCTION("""COMPUTED_VALUE"""),"24626")</f>
        <v>24626</v>
      </c>
      <c r="B1276" s="3" t="str">
        <f>IFERROR(__xludf.DUMMYFUNCTION("""COMPUTED_VALUE"""),"ด.ช.ฮารูม หยงสตาร์")</f>
        <v>ด.ช.ฮารูม หยงสตาร์</v>
      </c>
      <c r="C1276" s="3" t="str">
        <f>IFERROR(__xludf.DUMMYFUNCTION("""COMPUTED_VALUE"""),"ม.3/9")</f>
        <v>ม.3/9</v>
      </c>
      <c r="D1276" s="3" t="str">
        <f>IFERROR(__xludf.DUMMYFUNCTION("""COMPUTED_VALUE"""),"อก.3/7")</f>
        <v>อก.3/7</v>
      </c>
      <c r="E1276" s="2" t="str">
        <f>IFERROR(__xludf.DUMMYFUNCTION("""COMPUTED_VALUE"""),"ชาย")</f>
        <v>ชาย</v>
      </c>
      <c r="F1276" s="5" t="str">
        <f>IFERROR(__xludf.DUMMYFUNCTION("""COMPUTED_VALUE"""),"https://azizstan.net/student_image/24626.jpg")</f>
        <v>https://azizstan.net/student_image/24626.jpg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>
      <c r="A1277" s="3" t="str">
        <f>IFERROR(__xludf.DUMMYFUNCTION("""COMPUTED_VALUE"""),"24645")</f>
        <v>24645</v>
      </c>
      <c r="B1277" s="3" t="str">
        <f>IFERROR(__xludf.DUMMYFUNCTION("""COMPUTED_VALUE"""),"ด.ญ.ภัรฮาณี มะหะ")</f>
        <v>ด.ญ.ภัรฮาณี มะหะ</v>
      </c>
      <c r="C1277" s="3" t="str">
        <f>IFERROR(__xludf.DUMMYFUNCTION("""COMPUTED_VALUE"""),"ม.3/9")</f>
        <v>ม.3/9</v>
      </c>
      <c r="D1277" s="3" t="str">
        <f>IFERROR(__xludf.DUMMYFUNCTION("""COMPUTED_VALUE"""),"อก.3/7")</f>
        <v>อก.3/7</v>
      </c>
      <c r="E1277" s="2" t="str">
        <f>IFERROR(__xludf.DUMMYFUNCTION("""COMPUTED_VALUE"""),"หญิง")</f>
        <v>หญิง</v>
      </c>
      <c r="F1277" s="5" t="str">
        <f>IFERROR(__xludf.DUMMYFUNCTION("""COMPUTED_VALUE"""),"https://azizstan.net/student_image/24645.jpg")</f>
        <v>https://azizstan.net/student_image/24645.jpg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>
      <c r="A1278" s="3" t="str">
        <f>IFERROR(__xludf.DUMMYFUNCTION("""COMPUTED_VALUE"""),"24694")</f>
        <v>24694</v>
      </c>
      <c r="B1278" s="3" t="str">
        <f>IFERROR(__xludf.DUMMYFUNCTION("""COMPUTED_VALUE"""),"ด.ช.ยาการียา เตะเหร็ม")</f>
        <v>ด.ช.ยาการียา เตะเหร็ม</v>
      </c>
      <c r="C1278" s="3" t="str">
        <f>IFERROR(__xludf.DUMMYFUNCTION("""COMPUTED_VALUE"""),"ม.3/9")</f>
        <v>ม.3/9</v>
      </c>
      <c r="D1278" s="3" t="str">
        <f>IFERROR(__xludf.DUMMYFUNCTION("""COMPUTED_VALUE"""),"อก.3/7")</f>
        <v>อก.3/7</v>
      </c>
      <c r="E1278" s="2" t="str">
        <f>IFERROR(__xludf.DUMMYFUNCTION("""COMPUTED_VALUE"""),"ชาย")</f>
        <v>ชาย</v>
      </c>
      <c r="F1278" s="5" t="str">
        <f>IFERROR(__xludf.DUMMYFUNCTION("""COMPUTED_VALUE"""),"https://azizstan.net/student_image/24694.jpg")</f>
        <v>https://azizstan.net/student_image/24694.jpg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>
      <c r="A1279" s="3" t="str">
        <f>IFERROR(__xludf.DUMMYFUNCTION("""COMPUTED_VALUE"""),"24720")</f>
        <v>24720</v>
      </c>
      <c r="B1279" s="3" t="str">
        <f>IFERROR(__xludf.DUMMYFUNCTION("""COMPUTED_VALUE"""),"ด.ญ.นูรฟาติณ เด็นและ")</f>
        <v>ด.ญ.นูรฟาติณ เด็นและ</v>
      </c>
      <c r="C1279" s="3" t="str">
        <f>IFERROR(__xludf.DUMMYFUNCTION("""COMPUTED_VALUE"""),"ม.3/9")</f>
        <v>ม.3/9</v>
      </c>
      <c r="D1279" s="3" t="str">
        <f>IFERROR(__xludf.DUMMYFUNCTION("""COMPUTED_VALUE"""),"อก.3/7")</f>
        <v>อก.3/7</v>
      </c>
      <c r="E1279" s="2" t="str">
        <f>IFERROR(__xludf.DUMMYFUNCTION("""COMPUTED_VALUE"""),"หญิง")</f>
        <v>หญิง</v>
      </c>
      <c r="F1279" s="5" t="str">
        <f>IFERROR(__xludf.DUMMYFUNCTION("""COMPUTED_VALUE"""),"https://azizstan.net/student_image/24720.jpg")</f>
        <v>https://azizstan.net/student_image/24720.jpg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>
      <c r="A1280" s="3" t="str">
        <f>IFERROR(__xludf.DUMMYFUNCTION("""COMPUTED_VALUE"""),"24760")</f>
        <v>24760</v>
      </c>
      <c r="B1280" s="3" t="str">
        <f>IFERROR(__xludf.DUMMYFUNCTION("""COMPUTED_VALUE"""),"ด.ญ.นัจมีย์ สามะ")</f>
        <v>ด.ญ.นัจมีย์ สามะ</v>
      </c>
      <c r="C1280" s="3" t="str">
        <f>IFERROR(__xludf.DUMMYFUNCTION("""COMPUTED_VALUE"""),"ม.3/9")</f>
        <v>ม.3/9</v>
      </c>
      <c r="D1280" s="3" t="str">
        <f>IFERROR(__xludf.DUMMYFUNCTION("""COMPUTED_VALUE"""),"อก.3/7")</f>
        <v>อก.3/7</v>
      </c>
      <c r="E1280" s="2" t="str">
        <f>IFERROR(__xludf.DUMMYFUNCTION("""COMPUTED_VALUE"""),"หญิง")</f>
        <v>หญิง</v>
      </c>
      <c r="F1280" s="5" t="str">
        <f>IFERROR(__xludf.DUMMYFUNCTION("""COMPUTED_VALUE"""),"https://azizstan.net/student_image/24760.jpg")</f>
        <v>https://azizstan.net/student_image/24760.jpg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>
      <c r="A1281" s="3" t="str">
        <f>IFERROR(__xludf.DUMMYFUNCTION("""COMPUTED_VALUE"""),"24763")</f>
        <v>24763</v>
      </c>
      <c r="B1281" s="3" t="str">
        <f>IFERROR(__xludf.DUMMYFUNCTION("""COMPUTED_VALUE"""),"ด.ญ.กูญาวาณีย์ จิ")</f>
        <v>ด.ญ.กูญาวาณีย์ จิ</v>
      </c>
      <c r="C1281" s="3" t="str">
        <f>IFERROR(__xludf.DUMMYFUNCTION("""COMPUTED_VALUE"""),"ม.3/9")</f>
        <v>ม.3/9</v>
      </c>
      <c r="D1281" s="3" t="str">
        <f>IFERROR(__xludf.DUMMYFUNCTION("""COMPUTED_VALUE"""),"อก.3/7")</f>
        <v>อก.3/7</v>
      </c>
      <c r="E1281" s="2" t="str">
        <f>IFERROR(__xludf.DUMMYFUNCTION("""COMPUTED_VALUE"""),"หญิง")</f>
        <v>หญิง</v>
      </c>
      <c r="F1281" s="5" t="str">
        <f>IFERROR(__xludf.DUMMYFUNCTION("""COMPUTED_VALUE"""),"https://azizstan.net/student_image/24763.jpg")</f>
        <v>https://azizstan.net/student_image/24763.jpg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>
      <c r="A1282" s="3" t="str">
        <f>IFERROR(__xludf.DUMMYFUNCTION("""COMPUTED_VALUE"""),"24781")</f>
        <v>24781</v>
      </c>
      <c r="B1282" s="3" t="str">
        <f>IFERROR(__xludf.DUMMYFUNCTION("""COMPUTED_VALUE"""),"ด.ช.ชามีน ปะดอมะ")</f>
        <v>ด.ช.ชามีน ปะดอมะ</v>
      </c>
      <c r="C1282" s="3" t="str">
        <f>IFERROR(__xludf.DUMMYFUNCTION("""COMPUTED_VALUE"""),"ม.3/9")</f>
        <v>ม.3/9</v>
      </c>
      <c r="D1282" s="3" t="str">
        <f>IFERROR(__xludf.DUMMYFUNCTION("""COMPUTED_VALUE"""),"อก.3/7")</f>
        <v>อก.3/7</v>
      </c>
      <c r="E1282" s="2" t="str">
        <f>IFERROR(__xludf.DUMMYFUNCTION("""COMPUTED_VALUE"""),"ชาย")</f>
        <v>ชาย</v>
      </c>
      <c r="F1282" s="5" t="str">
        <f>IFERROR(__xludf.DUMMYFUNCTION("""COMPUTED_VALUE"""),"https://azizstan.net/student_image/24781.jpg")</f>
        <v>https://azizstan.net/student_image/24781.jpg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>
      <c r="A1283" s="3" t="str">
        <f>IFERROR(__xludf.DUMMYFUNCTION("""COMPUTED_VALUE"""),"24838")</f>
        <v>24838</v>
      </c>
      <c r="B1283" s="3" t="str">
        <f>IFERROR(__xludf.DUMMYFUNCTION("""COMPUTED_VALUE"""),"ด.ช.อิมรอน บากา")</f>
        <v>ด.ช.อิมรอน บากา</v>
      </c>
      <c r="C1283" s="3" t="str">
        <f>IFERROR(__xludf.DUMMYFUNCTION("""COMPUTED_VALUE"""),"ม.3/9")</f>
        <v>ม.3/9</v>
      </c>
      <c r="D1283" s="3" t="str">
        <f>IFERROR(__xludf.DUMMYFUNCTION("""COMPUTED_VALUE"""),"อก.3/7")</f>
        <v>อก.3/7</v>
      </c>
      <c r="E1283" s="2" t="str">
        <f>IFERROR(__xludf.DUMMYFUNCTION("""COMPUTED_VALUE"""),"ชาย")</f>
        <v>ชาย</v>
      </c>
      <c r="F1283" s="5" t="str">
        <f>IFERROR(__xludf.DUMMYFUNCTION("""COMPUTED_VALUE"""),"https://azizstan.net/student_image/24838.jpg")</f>
        <v>https://azizstan.net/student_image/24838.jpg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>
      <c r="A1284" s="3" t="str">
        <f>IFERROR(__xludf.DUMMYFUNCTION("""COMPUTED_VALUE"""),"24950")</f>
        <v>24950</v>
      </c>
      <c r="B1284" s="3" t="str">
        <f>IFERROR(__xludf.DUMMYFUNCTION("""COMPUTED_VALUE"""),"ด.ญ.อามาณีย์ ลาเต๊ะ")</f>
        <v>ด.ญ.อามาณีย์ ลาเต๊ะ</v>
      </c>
      <c r="C1284" s="3" t="str">
        <f>IFERROR(__xludf.DUMMYFUNCTION("""COMPUTED_VALUE"""),"ม.3/9")</f>
        <v>ม.3/9</v>
      </c>
      <c r="D1284" s="3" t="str">
        <f>IFERROR(__xludf.DUMMYFUNCTION("""COMPUTED_VALUE"""),"อก.3/7")</f>
        <v>อก.3/7</v>
      </c>
      <c r="E1284" s="2" t="str">
        <f>IFERROR(__xludf.DUMMYFUNCTION("""COMPUTED_VALUE"""),"หญิง")</f>
        <v>หญิง</v>
      </c>
      <c r="F1284" s="5" t="str">
        <f>IFERROR(__xludf.DUMMYFUNCTION("""COMPUTED_VALUE"""),"https://azizstan.net/student_image/24950.jpg")</f>
        <v>https://azizstan.net/student_image/24950.jpg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>
      <c r="A1285" s="3" t="str">
        <f>IFERROR(__xludf.DUMMYFUNCTION("""COMPUTED_VALUE"""),"24968")</f>
        <v>24968</v>
      </c>
      <c r="B1285" s="3" t="str">
        <f>IFERROR(__xludf.DUMMYFUNCTION("""COMPUTED_VALUE"""),"ด.ญ.มัซกะห์ สีละรู")</f>
        <v>ด.ญ.มัซกะห์ สีละรู</v>
      </c>
      <c r="C1285" s="3" t="str">
        <f>IFERROR(__xludf.DUMMYFUNCTION("""COMPUTED_VALUE"""),"ม.3/9")</f>
        <v>ม.3/9</v>
      </c>
      <c r="D1285" s="3" t="str">
        <f>IFERROR(__xludf.DUMMYFUNCTION("""COMPUTED_VALUE"""),"อก.3/7")</f>
        <v>อก.3/7</v>
      </c>
      <c r="E1285" s="2" t="str">
        <f>IFERROR(__xludf.DUMMYFUNCTION("""COMPUTED_VALUE"""),"หญิง")</f>
        <v>หญิง</v>
      </c>
      <c r="F1285" s="5" t="str">
        <f>IFERROR(__xludf.DUMMYFUNCTION("""COMPUTED_VALUE"""),"https://azizstan.net/student_image/24968.jpg")</f>
        <v>https://azizstan.net/student_image/24968.jpg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>
      <c r="A1286" s="3" t="str">
        <f>IFERROR(__xludf.DUMMYFUNCTION("""COMPUTED_VALUE"""),"24975")</f>
        <v>24975</v>
      </c>
      <c r="B1286" s="3" t="str">
        <f>IFERROR(__xludf.DUMMYFUNCTION("""COMPUTED_VALUE"""),"ด.ช.ตัรมีซี เจะหะมะ")</f>
        <v>ด.ช.ตัรมีซี เจะหะมะ</v>
      </c>
      <c r="C1286" s="3" t="str">
        <f>IFERROR(__xludf.DUMMYFUNCTION("""COMPUTED_VALUE"""),"ม.3/9")</f>
        <v>ม.3/9</v>
      </c>
      <c r="D1286" s="3" t="str">
        <f>IFERROR(__xludf.DUMMYFUNCTION("""COMPUTED_VALUE"""),"อก.3/7")</f>
        <v>อก.3/7</v>
      </c>
      <c r="E1286" s="2" t="str">
        <f>IFERROR(__xludf.DUMMYFUNCTION("""COMPUTED_VALUE"""),"ชาย")</f>
        <v>ชาย</v>
      </c>
      <c r="F1286" s="5" t="str">
        <f>IFERROR(__xludf.DUMMYFUNCTION("""COMPUTED_VALUE"""),"https://azizstan.net/student_image/24975.jpg")</f>
        <v>https://azizstan.net/student_image/24975.jpg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>
      <c r="A1287" s="3" t="str">
        <f>IFERROR(__xludf.DUMMYFUNCTION("""COMPUTED_VALUE"""),"24997")</f>
        <v>24997</v>
      </c>
      <c r="B1287" s="3" t="str">
        <f>IFERROR(__xludf.DUMMYFUNCTION("""COMPUTED_VALUE"""),"ด.ญ.ลตีฟาฮ์ บาสอสิดิก")</f>
        <v>ด.ญ.ลตีฟาฮ์ บาสอสิดิก</v>
      </c>
      <c r="C1287" s="3" t="str">
        <f>IFERROR(__xludf.DUMMYFUNCTION("""COMPUTED_VALUE"""),"ม.3/9")</f>
        <v>ม.3/9</v>
      </c>
      <c r="D1287" s="3" t="str">
        <f>IFERROR(__xludf.DUMMYFUNCTION("""COMPUTED_VALUE"""),"อก.3/7")</f>
        <v>อก.3/7</v>
      </c>
      <c r="E1287" s="2" t="str">
        <f>IFERROR(__xludf.DUMMYFUNCTION("""COMPUTED_VALUE"""),"หญิง")</f>
        <v>หญิง</v>
      </c>
      <c r="F1287" s="5" t="str">
        <f>IFERROR(__xludf.DUMMYFUNCTION("""COMPUTED_VALUE"""),"https://azizstan.net/student_image/24997.jpg")</f>
        <v>https://azizstan.net/student_image/24997.jpg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>
      <c r="A1288" s="3" t="str">
        <f>IFERROR(__xludf.DUMMYFUNCTION("""COMPUTED_VALUE"""),"25006")</f>
        <v>25006</v>
      </c>
      <c r="B1288" s="3" t="str">
        <f>IFERROR(__xludf.DUMMYFUNCTION("""COMPUTED_VALUE"""),"ด.ช.มูฮัมหมัด มะโระ")</f>
        <v>ด.ช.มูฮัมหมัด มะโระ</v>
      </c>
      <c r="C1288" s="3" t="str">
        <f>IFERROR(__xludf.DUMMYFUNCTION("""COMPUTED_VALUE"""),"ม.3/9")</f>
        <v>ม.3/9</v>
      </c>
      <c r="D1288" s="3" t="str">
        <f>IFERROR(__xludf.DUMMYFUNCTION("""COMPUTED_VALUE"""),"อก.3/7")</f>
        <v>อก.3/7</v>
      </c>
      <c r="E1288" s="2" t="str">
        <f>IFERROR(__xludf.DUMMYFUNCTION("""COMPUTED_VALUE"""),"ชาย")</f>
        <v>ชาย</v>
      </c>
      <c r="F1288" s="5" t="str">
        <f>IFERROR(__xludf.DUMMYFUNCTION("""COMPUTED_VALUE"""),"https://azizstan.net/student_image/25006.jpg")</f>
        <v>https://azizstan.net/student_image/25006.jpg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>
      <c r="A1289" s="3" t="str">
        <f>IFERROR(__xludf.DUMMYFUNCTION("""COMPUTED_VALUE"""),"25048")</f>
        <v>25048</v>
      </c>
      <c r="B1289" s="3" t="str">
        <f>IFERROR(__xludf.DUMMYFUNCTION("""COMPUTED_VALUE"""),"ด.ช.ฟารุค กาเดร์")</f>
        <v>ด.ช.ฟารุค กาเดร์</v>
      </c>
      <c r="C1289" s="3" t="str">
        <f>IFERROR(__xludf.DUMMYFUNCTION("""COMPUTED_VALUE"""),"ม.3/9")</f>
        <v>ม.3/9</v>
      </c>
      <c r="D1289" s="3" t="str">
        <f>IFERROR(__xludf.DUMMYFUNCTION("""COMPUTED_VALUE"""),"อก.3/7")</f>
        <v>อก.3/7</v>
      </c>
      <c r="E1289" s="2" t="str">
        <f>IFERROR(__xludf.DUMMYFUNCTION("""COMPUTED_VALUE"""),"ชาย")</f>
        <v>ชาย</v>
      </c>
      <c r="F1289" s="5" t="str">
        <f>IFERROR(__xludf.DUMMYFUNCTION("""COMPUTED_VALUE"""),"https://azizstan.net/student_image/25048.jpg")</f>
        <v>https://azizstan.net/student_image/25048.jpg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>
      <c r="A1290" s="3" t="str">
        <f>IFERROR(__xludf.DUMMYFUNCTION("""COMPUTED_VALUE"""),"25056")</f>
        <v>25056</v>
      </c>
      <c r="B1290" s="3" t="str">
        <f>IFERROR(__xludf.DUMMYFUNCTION("""COMPUTED_VALUE"""),"ด.ช.ไซฟุดดีน เบ็นแหละแหนะ")</f>
        <v>ด.ช.ไซฟุดดีน เบ็นแหละแหนะ</v>
      </c>
      <c r="C1290" s="3" t="str">
        <f>IFERROR(__xludf.DUMMYFUNCTION("""COMPUTED_VALUE"""),"ม.3/9")</f>
        <v>ม.3/9</v>
      </c>
      <c r="D1290" s="3" t="str">
        <f>IFERROR(__xludf.DUMMYFUNCTION("""COMPUTED_VALUE"""),"อก.3/7")</f>
        <v>อก.3/7</v>
      </c>
      <c r="E1290" s="2" t="str">
        <f>IFERROR(__xludf.DUMMYFUNCTION("""COMPUTED_VALUE"""),"ชาย")</f>
        <v>ชาย</v>
      </c>
      <c r="F1290" s="5" t="str">
        <f>IFERROR(__xludf.DUMMYFUNCTION("""COMPUTED_VALUE"""),"https://azizstan.net/student_image/25056.jpg")</f>
        <v>https://azizstan.net/student_image/25056.jpg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>
      <c r="A1291" s="3" t="str">
        <f>IFERROR(__xludf.DUMMYFUNCTION("""COMPUTED_VALUE"""),"25061")</f>
        <v>25061</v>
      </c>
      <c r="B1291" s="3" t="str">
        <f>IFERROR(__xludf.DUMMYFUNCTION("""COMPUTED_VALUE"""),"ด.ช.ซูเฟียน สะเตาะ")</f>
        <v>ด.ช.ซูเฟียน สะเตาะ</v>
      </c>
      <c r="C1291" s="3" t="str">
        <f>IFERROR(__xludf.DUMMYFUNCTION("""COMPUTED_VALUE"""),"ม.3/9")</f>
        <v>ม.3/9</v>
      </c>
      <c r="D1291" s="3" t="str">
        <f>IFERROR(__xludf.DUMMYFUNCTION("""COMPUTED_VALUE"""),"อก.3/7")</f>
        <v>อก.3/7</v>
      </c>
      <c r="E1291" s="2" t="str">
        <f>IFERROR(__xludf.DUMMYFUNCTION("""COMPUTED_VALUE"""),"ชาย")</f>
        <v>ชาย</v>
      </c>
      <c r="F1291" s="5" t="str">
        <f>IFERROR(__xludf.DUMMYFUNCTION("""COMPUTED_VALUE"""),"https://azizstan.net/student_image/25061.jpg")</f>
        <v>https://azizstan.net/student_image/25061.jpg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>
      <c r="A1292" s="3" t="str">
        <f>IFERROR(__xludf.DUMMYFUNCTION("""COMPUTED_VALUE"""),"25105")</f>
        <v>25105</v>
      </c>
      <c r="B1292" s="3" t="str">
        <f>IFERROR(__xludf.DUMMYFUNCTION("""COMPUTED_VALUE"""),"ด.ช.ยูไลดี บีดิง")</f>
        <v>ด.ช.ยูไลดี บีดิง</v>
      </c>
      <c r="C1292" s="3" t="str">
        <f>IFERROR(__xludf.DUMMYFUNCTION("""COMPUTED_VALUE"""),"ม.3/9")</f>
        <v>ม.3/9</v>
      </c>
      <c r="D1292" s="3" t="str">
        <f>IFERROR(__xludf.DUMMYFUNCTION("""COMPUTED_VALUE"""),"อก.3/7")</f>
        <v>อก.3/7</v>
      </c>
      <c r="E1292" s="2" t="str">
        <f>IFERROR(__xludf.DUMMYFUNCTION("""COMPUTED_VALUE"""),"ชาย")</f>
        <v>ชาย</v>
      </c>
      <c r="F1292" s="5" t="str">
        <f>IFERROR(__xludf.DUMMYFUNCTION("""COMPUTED_VALUE"""),"https://azizstan.net/student_image/25105.jpg")</f>
        <v>https://azizstan.net/student_image/25105.jpg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>
      <c r="A1293" s="3" t="str">
        <f>IFERROR(__xludf.DUMMYFUNCTION("""COMPUTED_VALUE"""),"25106")</f>
        <v>25106</v>
      </c>
      <c r="B1293" s="3" t="str">
        <f>IFERROR(__xludf.DUMMYFUNCTION("""COMPUTED_VALUE"""),"ด.ช.ฮาฟิซ โดฆอ")</f>
        <v>ด.ช.ฮาฟิซ โดฆอ</v>
      </c>
      <c r="C1293" s="3" t="str">
        <f>IFERROR(__xludf.DUMMYFUNCTION("""COMPUTED_VALUE"""),"ม.3/9")</f>
        <v>ม.3/9</v>
      </c>
      <c r="D1293" s="3" t="str">
        <f>IFERROR(__xludf.DUMMYFUNCTION("""COMPUTED_VALUE"""),"อก.3/7")</f>
        <v>อก.3/7</v>
      </c>
      <c r="E1293" s="2" t="str">
        <f>IFERROR(__xludf.DUMMYFUNCTION("""COMPUTED_VALUE"""),"ชาย")</f>
        <v>ชาย</v>
      </c>
      <c r="F1293" s="5" t="str">
        <f>IFERROR(__xludf.DUMMYFUNCTION("""COMPUTED_VALUE"""),"https://azizstan.net/student_image/25106.jpg")</f>
        <v>https://azizstan.net/student_image/25106.jpg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>
      <c r="A1294" s="3" t="str">
        <f>IFERROR(__xludf.DUMMYFUNCTION("""COMPUTED_VALUE"""),"25129")</f>
        <v>25129</v>
      </c>
      <c r="B1294" s="3" t="str">
        <f>IFERROR(__xludf.DUMMYFUNCTION("""COMPUTED_VALUE"""),"ด.ช.อิรฟาน สาอิ")</f>
        <v>ด.ช.อิรฟาน สาอิ</v>
      </c>
      <c r="C1294" s="3" t="str">
        <f>IFERROR(__xludf.DUMMYFUNCTION("""COMPUTED_VALUE"""),"ม.3/9")</f>
        <v>ม.3/9</v>
      </c>
      <c r="D1294" s="3" t="str">
        <f>IFERROR(__xludf.DUMMYFUNCTION("""COMPUTED_VALUE"""),"อก.3/7")</f>
        <v>อก.3/7</v>
      </c>
      <c r="E1294" s="2" t="str">
        <f>IFERROR(__xludf.DUMMYFUNCTION("""COMPUTED_VALUE"""),"ชาย")</f>
        <v>ชาย</v>
      </c>
      <c r="F1294" s="5" t="str">
        <f>IFERROR(__xludf.DUMMYFUNCTION("""COMPUTED_VALUE"""),"https://azizstan.net/student_image/25129.jpg")</f>
        <v>https://azizstan.net/student_image/25129.jpg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>
      <c r="A1295" s="3" t="str">
        <f>IFERROR(__xludf.DUMMYFUNCTION("""COMPUTED_VALUE"""),"25142")</f>
        <v>25142</v>
      </c>
      <c r="B1295" s="3" t="str">
        <f>IFERROR(__xludf.DUMMYFUNCTION("""COMPUTED_VALUE"""),"ด.ช.นัซรอน เปาะโก๊ะ")</f>
        <v>ด.ช.นัซรอน เปาะโก๊ะ</v>
      </c>
      <c r="C1295" s="3" t="str">
        <f>IFERROR(__xludf.DUMMYFUNCTION("""COMPUTED_VALUE"""),"ม.3/9")</f>
        <v>ม.3/9</v>
      </c>
      <c r="D1295" s="3" t="str">
        <f>IFERROR(__xludf.DUMMYFUNCTION("""COMPUTED_VALUE"""),"อก.3/7")</f>
        <v>อก.3/7</v>
      </c>
      <c r="E1295" s="2" t="str">
        <f>IFERROR(__xludf.DUMMYFUNCTION("""COMPUTED_VALUE"""),"ชาย")</f>
        <v>ชาย</v>
      </c>
      <c r="F1295" s="5" t="str">
        <f>IFERROR(__xludf.DUMMYFUNCTION("""COMPUTED_VALUE"""),"https://azizstan.net/student_image/25142.jpg")</f>
        <v>https://azizstan.net/student_image/25142.jpg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>
      <c r="A1296" s="3" t="str">
        <f>IFERROR(__xludf.DUMMYFUNCTION("""COMPUTED_VALUE"""),"25148")</f>
        <v>25148</v>
      </c>
      <c r="B1296" s="3" t="str">
        <f>IFERROR(__xludf.DUMMYFUNCTION("""COMPUTED_VALUE"""),"ด.ญ.ฟาดีล๊ะ หอหมะ")</f>
        <v>ด.ญ.ฟาดีล๊ะ หอหมะ</v>
      </c>
      <c r="C1296" s="3" t="str">
        <f>IFERROR(__xludf.DUMMYFUNCTION("""COMPUTED_VALUE"""),"ม.3/9")</f>
        <v>ม.3/9</v>
      </c>
      <c r="D1296" s="3" t="str">
        <f>IFERROR(__xludf.DUMMYFUNCTION("""COMPUTED_VALUE"""),"อก.3/7")</f>
        <v>อก.3/7</v>
      </c>
      <c r="E1296" s="2" t="str">
        <f>IFERROR(__xludf.DUMMYFUNCTION("""COMPUTED_VALUE"""),"หญิง")</f>
        <v>หญิง</v>
      </c>
      <c r="F1296" s="5" t="str">
        <f>IFERROR(__xludf.DUMMYFUNCTION("""COMPUTED_VALUE"""),"https://azizstan.net/student_image/25148.jpg")</f>
        <v>https://azizstan.net/student_image/25148.jpg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>
      <c r="A1297" s="3" t="str">
        <f>IFERROR(__xludf.DUMMYFUNCTION("""COMPUTED_VALUE"""),"25149")</f>
        <v>25149</v>
      </c>
      <c r="B1297" s="3" t="str">
        <f>IFERROR(__xludf.DUMMYFUNCTION("""COMPUTED_VALUE"""),"ด.ญ.อิสรียา ลำเดาะ")</f>
        <v>ด.ญ.อิสรียา ลำเดาะ</v>
      </c>
      <c r="C1297" s="3" t="str">
        <f>IFERROR(__xludf.DUMMYFUNCTION("""COMPUTED_VALUE"""),"ม.3/9")</f>
        <v>ม.3/9</v>
      </c>
      <c r="D1297" s="3" t="str">
        <f>IFERROR(__xludf.DUMMYFUNCTION("""COMPUTED_VALUE"""),"อก.3/7")</f>
        <v>อก.3/7</v>
      </c>
      <c r="E1297" s="2" t="str">
        <f>IFERROR(__xludf.DUMMYFUNCTION("""COMPUTED_VALUE"""),"หญิง")</f>
        <v>หญิง</v>
      </c>
      <c r="F1297" s="5" t="str">
        <f>IFERROR(__xludf.DUMMYFUNCTION("""COMPUTED_VALUE"""),"https://azizstan.net/student_image/25149.jpg")</f>
        <v>https://azizstan.net/student_image/25149.jpg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>
      <c r="A1298" s="3" t="str">
        <f>IFERROR(__xludf.DUMMYFUNCTION("""COMPUTED_VALUE"""),"25208")</f>
        <v>25208</v>
      </c>
      <c r="B1298" s="3" t="str">
        <f>IFERROR(__xludf.DUMMYFUNCTION("""COMPUTED_VALUE"""),"ด.ช.อานัส นิฮะ")</f>
        <v>ด.ช.อานัส นิฮะ</v>
      </c>
      <c r="C1298" s="3" t="str">
        <f>IFERROR(__xludf.DUMMYFUNCTION("""COMPUTED_VALUE"""),"ม.3/9")</f>
        <v>ม.3/9</v>
      </c>
      <c r="D1298" s="3" t="str">
        <f>IFERROR(__xludf.DUMMYFUNCTION("""COMPUTED_VALUE"""),"อก.3/7")</f>
        <v>อก.3/7</v>
      </c>
      <c r="E1298" s="2" t="str">
        <f>IFERROR(__xludf.DUMMYFUNCTION("""COMPUTED_VALUE"""),"ชาย")</f>
        <v>ชาย</v>
      </c>
      <c r="F1298" s="5" t="str">
        <f>IFERROR(__xludf.DUMMYFUNCTION("""COMPUTED_VALUE"""),"https://azizstan.net/student_image/25208.jpg")</f>
        <v>https://azizstan.net/student_image/25208.jpg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>
      <c r="A1299" s="3" t="str">
        <f>IFERROR(__xludf.DUMMYFUNCTION("""COMPUTED_VALUE"""),"25224")</f>
        <v>25224</v>
      </c>
      <c r="B1299" s="3" t="str">
        <f>IFERROR(__xludf.DUMMYFUNCTION("""COMPUTED_VALUE"""),"ด.ญ.การีหม๊ะ ตอมะ")</f>
        <v>ด.ญ.การีหม๊ะ ตอมะ</v>
      </c>
      <c r="C1299" s="3" t="str">
        <f>IFERROR(__xludf.DUMMYFUNCTION("""COMPUTED_VALUE"""),"ม.3/9")</f>
        <v>ม.3/9</v>
      </c>
      <c r="D1299" s="3" t="str">
        <f>IFERROR(__xludf.DUMMYFUNCTION("""COMPUTED_VALUE"""),"อก.3/7")</f>
        <v>อก.3/7</v>
      </c>
      <c r="E1299" s="2" t="str">
        <f>IFERROR(__xludf.DUMMYFUNCTION("""COMPUTED_VALUE"""),"หญิง")</f>
        <v>หญิง</v>
      </c>
      <c r="F1299" s="5" t="str">
        <f>IFERROR(__xludf.DUMMYFUNCTION("""COMPUTED_VALUE"""),"https://azizstan.net/student_image/25224.jpg")</f>
        <v>https://azizstan.net/student_image/25224.jpg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>
      <c r="A1300" s="3" t="str">
        <f>IFERROR(__xludf.DUMMYFUNCTION("""COMPUTED_VALUE"""),"24589")</f>
        <v>24589</v>
      </c>
      <c r="B1300" s="3" t="str">
        <f>IFERROR(__xludf.DUMMYFUNCTION("""COMPUTED_VALUE"""),"ด.ญ.อัสวาณีย์ สาแม")</f>
        <v>ด.ญ.อัสวาณีย์ สาแม</v>
      </c>
      <c r="C1300" s="3" t="str">
        <f>IFERROR(__xludf.DUMMYFUNCTION("""COMPUTED_VALUE"""),"ม.3/10")</f>
        <v>ม.3/10</v>
      </c>
      <c r="D1300" s="3" t="str">
        <f>IFERROR(__xludf.DUMMYFUNCTION("""COMPUTED_VALUE"""),"อก.3/12")</f>
        <v>อก.3/12</v>
      </c>
      <c r="E1300" s="2" t="str">
        <f>IFERROR(__xludf.DUMMYFUNCTION("""COMPUTED_VALUE"""),"หญิง")</f>
        <v>หญิง</v>
      </c>
      <c r="F1300" s="5" t="str">
        <f>IFERROR(__xludf.DUMMYFUNCTION("""COMPUTED_VALUE"""),"https://azizstan.net/student_image/24589.jpg")</f>
        <v>https://azizstan.net/student_image/24589.jpg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>
      <c r="A1301" s="3" t="str">
        <f>IFERROR(__xludf.DUMMYFUNCTION("""COMPUTED_VALUE"""),"24600")</f>
        <v>24600</v>
      </c>
      <c r="B1301" s="3" t="str">
        <f>IFERROR(__xludf.DUMMYFUNCTION("""COMPUTED_VALUE"""),"ด.ญ.หนิซูเฟียนา สูเล๊าะ")</f>
        <v>ด.ญ.หนิซูเฟียนา สูเล๊าะ</v>
      </c>
      <c r="C1301" s="3" t="str">
        <f>IFERROR(__xludf.DUMMYFUNCTION("""COMPUTED_VALUE"""),"ม.3/10")</f>
        <v>ม.3/10</v>
      </c>
      <c r="D1301" s="3" t="str">
        <f>IFERROR(__xludf.DUMMYFUNCTION("""COMPUTED_VALUE"""),"อก.3/12")</f>
        <v>อก.3/12</v>
      </c>
      <c r="E1301" s="2" t="str">
        <f>IFERROR(__xludf.DUMMYFUNCTION("""COMPUTED_VALUE"""),"หญิง")</f>
        <v>หญิง</v>
      </c>
      <c r="F1301" s="5" t="str">
        <f>IFERROR(__xludf.DUMMYFUNCTION("""COMPUTED_VALUE"""),"https://azizstan.net/student_image/24600.jpg")</f>
        <v>https://azizstan.net/student_image/24600.jpg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>
      <c r="A1302" s="3" t="str">
        <f>IFERROR(__xludf.DUMMYFUNCTION("""COMPUTED_VALUE"""),"24620")</f>
        <v>24620</v>
      </c>
      <c r="B1302" s="3" t="str">
        <f>IFERROR(__xludf.DUMMYFUNCTION("""COMPUTED_VALUE"""),"ด.ญ.นิสรีน แนหะ")</f>
        <v>ด.ญ.นิสรีน แนหะ</v>
      </c>
      <c r="C1302" s="3" t="str">
        <f>IFERROR(__xludf.DUMMYFUNCTION("""COMPUTED_VALUE"""),"ม.3/10")</f>
        <v>ม.3/10</v>
      </c>
      <c r="D1302" s="3" t="str">
        <f>IFERROR(__xludf.DUMMYFUNCTION("""COMPUTED_VALUE"""),"อก.3/12")</f>
        <v>อก.3/12</v>
      </c>
      <c r="E1302" s="2" t="str">
        <f>IFERROR(__xludf.DUMMYFUNCTION("""COMPUTED_VALUE"""),"หญิง")</f>
        <v>หญิง</v>
      </c>
      <c r="F1302" s="5" t="str">
        <f>IFERROR(__xludf.DUMMYFUNCTION("""COMPUTED_VALUE"""),"https://azizstan.net/student_image/24620.jpg")</f>
        <v>https://azizstan.net/student_image/24620.jpg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>
      <c r="A1303" s="3" t="str">
        <f>IFERROR(__xludf.DUMMYFUNCTION("""COMPUTED_VALUE"""),"24634")</f>
        <v>24634</v>
      </c>
      <c r="B1303" s="3" t="str">
        <f>IFERROR(__xludf.DUMMYFUNCTION("""COMPUTED_VALUE"""),"ด.ญ.ซัยนับ กาเจ")</f>
        <v>ด.ญ.ซัยนับ กาเจ</v>
      </c>
      <c r="C1303" s="3" t="str">
        <f>IFERROR(__xludf.DUMMYFUNCTION("""COMPUTED_VALUE"""),"ม.3/10")</f>
        <v>ม.3/10</v>
      </c>
      <c r="D1303" s="3" t="str">
        <f>IFERROR(__xludf.DUMMYFUNCTION("""COMPUTED_VALUE"""),"อก.3/12")</f>
        <v>อก.3/12</v>
      </c>
      <c r="E1303" s="2" t="str">
        <f>IFERROR(__xludf.DUMMYFUNCTION("""COMPUTED_VALUE"""),"หญิง")</f>
        <v>หญิง</v>
      </c>
      <c r="F1303" s="5" t="str">
        <f>IFERROR(__xludf.DUMMYFUNCTION("""COMPUTED_VALUE"""),"https://azizstan.net/student_image/24634.jpg")</f>
        <v>https://azizstan.net/student_image/24634.jpg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>
      <c r="A1304" s="3" t="str">
        <f>IFERROR(__xludf.DUMMYFUNCTION("""COMPUTED_VALUE"""),"24661")</f>
        <v>24661</v>
      </c>
      <c r="B1304" s="3" t="str">
        <f>IFERROR(__xludf.DUMMYFUNCTION("""COMPUTED_VALUE"""),"ด.ญ.ฟาเตร บอเถาะ")</f>
        <v>ด.ญ.ฟาเตร บอเถาะ</v>
      </c>
      <c r="C1304" s="3" t="str">
        <f>IFERROR(__xludf.DUMMYFUNCTION("""COMPUTED_VALUE"""),"ม.3/10")</f>
        <v>ม.3/10</v>
      </c>
      <c r="D1304" s="3" t="str">
        <f>IFERROR(__xludf.DUMMYFUNCTION("""COMPUTED_VALUE"""),"อก.3/12")</f>
        <v>อก.3/12</v>
      </c>
      <c r="E1304" s="2" t="str">
        <f>IFERROR(__xludf.DUMMYFUNCTION("""COMPUTED_VALUE"""),"หญิง")</f>
        <v>หญิง</v>
      </c>
      <c r="F1304" s="5" t="str">
        <f>IFERROR(__xludf.DUMMYFUNCTION("""COMPUTED_VALUE"""),"https://azizstan.net/student_image/24661.jpg")</f>
        <v>https://azizstan.net/student_image/24661.jpg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>
      <c r="A1305" s="3" t="str">
        <f>IFERROR(__xludf.DUMMYFUNCTION("""COMPUTED_VALUE"""),"24667")</f>
        <v>24667</v>
      </c>
      <c r="B1305" s="3" t="str">
        <f>IFERROR(__xludf.DUMMYFUNCTION("""COMPUTED_VALUE"""),"ด.ญ.บิสมีย์ ยูโซะ")</f>
        <v>ด.ญ.บิสมีย์ ยูโซะ</v>
      </c>
      <c r="C1305" s="3" t="str">
        <f>IFERROR(__xludf.DUMMYFUNCTION("""COMPUTED_VALUE"""),"ม.3/10")</f>
        <v>ม.3/10</v>
      </c>
      <c r="D1305" s="3" t="str">
        <f>IFERROR(__xludf.DUMMYFUNCTION("""COMPUTED_VALUE"""),"อก.3/12")</f>
        <v>อก.3/12</v>
      </c>
      <c r="E1305" s="2" t="str">
        <f>IFERROR(__xludf.DUMMYFUNCTION("""COMPUTED_VALUE"""),"หญิง")</f>
        <v>หญิง</v>
      </c>
      <c r="F1305" s="5" t="str">
        <f>IFERROR(__xludf.DUMMYFUNCTION("""COMPUTED_VALUE"""),"https://azizstan.net/student_image/24667.jpg")</f>
        <v>https://azizstan.net/student_image/24667.jpg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>
      <c r="A1306" s="3" t="str">
        <f>IFERROR(__xludf.DUMMYFUNCTION("""COMPUTED_VALUE"""),"24717")</f>
        <v>24717</v>
      </c>
      <c r="B1306" s="3" t="str">
        <f>IFERROR(__xludf.DUMMYFUNCTION("""COMPUTED_VALUE"""),"ด.ญ.แวนาอีมะห์ สาเล็ง")</f>
        <v>ด.ญ.แวนาอีมะห์ สาเล็ง</v>
      </c>
      <c r="C1306" s="3" t="str">
        <f>IFERROR(__xludf.DUMMYFUNCTION("""COMPUTED_VALUE"""),"ม.3/10")</f>
        <v>ม.3/10</v>
      </c>
      <c r="D1306" s="3" t="str">
        <f>IFERROR(__xludf.DUMMYFUNCTION("""COMPUTED_VALUE"""),"อก.3/12")</f>
        <v>อก.3/12</v>
      </c>
      <c r="E1306" s="2" t="str">
        <f>IFERROR(__xludf.DUMMYFUNCTION("""COMPUTED_VALUE"""),"หญิง")</f>
        <v>หญิง</v>
      </c>
      <c r="F1306" s="5" t="str">
        <f>IFERROR(__xludf.DUMMYFUNCTION("""COMPUTED_VALUE"""),"https://azizstan.net/student_image/24717.jpg")</f>
        <v>https://azizstan.net/student_image/24717.jpg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>
      <c r="A1307" s="3" t="str">
        <f>IFERROR(__xludf.DUMMYFUNCTION("""COMPUTED_VALUE"""),"24745")</f>
        <v>24745</v>
      </c>
      <c r="B1307" s="3" t="str">
        <f>IFERROR(__xludf.DUMMYFUNCTION("""COMPUTED_VALUE"""),"ด.ญ.รูกัยหยะฮ ก่องสามัน")</f>
        <v>ด.ญ.รูกัยหยะฮ ก่องสามัน</v>
      </c>
      <c r="C1307" s="3" t="str">
        <f>IFERROR(__xludf.DUMMYFUNCTION("""COMPUTED_VALUE"""),"ม.3/10")</f>
        <v>ม.3/10</v>
      </c>
      <c r="D1307" s="3" t="str">
        <f>IFERROR(__xludf.DUMMYFUNCTION("""COMPUTED_VALUE"""),"อก.3/12")</f>
        <v>อก.3/12</v>
      </c>
      <c r="E1307" s="2" t="str">
        <f>IFERROR(__xludf.DUMMYFUNCTION("""COMPUTED_VALUE"""),"หญิง")</f>
        <v>หญิง</v>
      </c>
      <c r="F1307" s="5" t="str">
        <f>IFERROR(__xludf.DUMMYFUNCTION("""COMPUTED_VALUE"""),"https://azizstan.net/student_image/24745.jpg")</f>
        <v>https://azizstan.net/student_image/24745.jpg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>
      <c r="A1308" s="3" t="str">
        <f>IFERROR(__xludf.DUMMYFUNCTION("""COMPUTED_VALUE"""),"24770")</f>
        <v>24770</v>
      </c>
      <c r="B1308" s="3" t="str">
        <f>IFERROR(__xludf.DUMMYFUNCTION("""COMPUTED_VALUE"""),"ด.ญ.วีอาร์ม เจะเหมาะ")</f>
        <v>ด.ญ.วีอาร์ม เจะเหมาะ</v>
      </c>
      <c r="C1308" s="3" t="str">
        <f>IFERROR(__xludf.DUMMYFUNCTION("""COMPUTED_VALUE"""),"ม.3/10")</f>
        <v>ม.3/10</v>
      </c>
      <c r="D1308" s="3" t="str">
        <f>IFERROR(__xludf.DUMMYFUNCTION("""COMPUTED_VALUE"""),"อก.3/12")</f>
        <v>อก.3/12</v>
      </c>
      <c r="E1308" s="2" t="str">
        <f>IFERROR(__xludf.DUMMYFUNCTION("""COMPUTED_VALUE"""),"หญิง")</f>
        <v>หญิง</v>
      </c>
      <c r="F1308" s="5" t="str">
        <f>IFERROR(__xludf.DUMMYFUNCTION("""COMPUTED_VALUE"""),"https://azizstan.net/student_image/24770.jpg")</f>
        <v>https://azizstan.net/student_image/24770.jpg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>
      <c r="A1309" s="3" t="str">
        <f>IFERROR(__xludf.DUMMYFUNCTION("""COMPUTED_VALUE"""),"24775")</f>
        <v>24775</v>
      </c>
      <c r="B1309" s="3" t="str">
        <f>IFERROR(__xludf.DUMMYFUNCTION("""COMPUTED_VALUE"""),"ด.ญ.ญานูรี สาหลำ")</f>
        <v>ด.ญ.ญานูรี สาหลำ</v>
      </c>
      <c r="C1309" s="3" t="str">
        <f>IFERROR(__xludf.DUMMYFUNCTION("""COMPUTED_VALUE"""),"ม.3/10")</f>
        <v>ม.3/10</v>
      </c>
      <c r="D1309" s="3" t="str">
        <f>IFERROR(__xludf.DUMMYFUNCTION("""COMPUTED_VALUE"""),"อก.3/12")</f>
        <v>อก.3/12</v>
      </c>
      <c r="E1309" s="2" t="str">
        <f>IFERROR(__xludf.DUMMYFUNCTION("""COMPUTED_VALUE"""),"หญิง")</f>
        <v>หญิง</v>
      </c>
      <c r="F1309" s="5" t="str">
        <f>IFERROR(__xludf.DUMMYFUNCTION("""COMPUTED_VALUE"""),"https://azizstan.net/student_image/24775.jpg")</f>
        <v>https://azizstan.net/student_image/24775.jpg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>
      <c r="A1310" s="3" t="str">
        <f>IFERROR(__xludf.DUMMYFUNCTION("""COMPUTED_VALUE"""),"24777")</f>
        <v>24777</v>
      </c>
      <c r="B1310" s="3" t="str">
        <f>IFERROR(__xludf.DUMMYFUNCTION("""COMPUTED_VALUE"""),"ด.ญ.นัซรินทร์ สาและ")</f>
        <v>ด.ญ.นัซรินทร์ สาและ</v>
      </c>
      <c r="C1310" s="3" t="str">
        <f>IFERROR(__xludf.DUMMYFUNCTION("""COMPUTED_VALUE"""),"ม.3/10")</f>
        <v>ม.3/10</v>
      </c>
      <c r="D1310" s="3" t="str">
        <f>IFERROR(__xludf.DUMMYFUNCTION("""COMPUTED_VALUE"""),"อก.3/12")</f>
        <v>อก.3/12</v>
      </c>
      <c r="E1310" s="2" t="str">
        <f>IFERROR(__xludf.DUMMYFUNCTION("""COMPUTED_VALUE"""),"หญิง")</f>
        <v>หญิง</v>
      </c>
      <c r="F1310" s="5" t="str">
        <f>IFERROR(__xludf.DUMMYFUNCTION("""COMPUTED_VALUE"""),"https://azizstan.net/student_image/24777.jpg")</f>
        <v>https://azizstan.net/student_image/24777.jpg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>
      <c r="A1311" s="3" t="str">
        <f>IFERROR(__xludf.DUMMYFUNCTION("""COMPUTED_VALUE"""),"24851")</f>
        <v>24851</v>
      </c>
      <c r="B1311" s="3" t="str">
        <f>IFERROR(__xludf.DUMMYFUNCTION("""COMPUTED_VALUE"""),"ด.ญ.นารีรัตน์ ดอปอ")</f>
        <v>ด.ญ.นารีรัตน์ ดอปอ</v>
      </c>
      <c r="C1311" s="3" t="str">
        <f>IFERROR(__xludf.DUMMYFUNCTION("""COMPUTED_VALUE"""),"ม.3/10")</f>
        <v>ม.3/10</v>
      </c>
      <c r="D1311" s="3" t="str">
        <f>IFERROR(__xludf.DUMMYFUNCTION("""COMPUTED_VALUE"""),"อก.3/12")</f>
        <v>อก.3/12</v>
      </c>
      <c r="E1311" s="2" t="str">
        <f>IFERROR(__xludf.DUMMYFUNCTION("""COMPUTED_VALUE"""),"หญิง")</f>
        <v>หญิง</v>
      </c>
      <c r="F1311" s="5" t="str">
        <f>IFERROR(__xludf.DUMMYFUNCTION("""COMPUTED_VALUE"""),"https://azizstan.net/student_image/24851.jpg")</f>
        <v>https://azizstan.net/student_image/24851.jpg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>
      <c r="A1312" s="3" t="str">
        <f>IFERROR(__xludf.DUMMYFUNCTION("""COMPUTED_VALUE"""),"24917")</f>
        <v>24917</v>
      </c>
      <c r="B1312" s="3" t="str">
        <f>IFERROR(__xludf.DUMMYFUNCTION("""COMPUTED_VALUE"""),"ด.ญ.ฮายาตี โต๊ะเด็ง")</f>
        <v>ด.ญ.ฮายาตี โต๊ะเด็ง</v>
      </c>
      <c r="C1312" s="3" t="str">
        <f>IFERROR(__xludf.DUMMYFUNCTION("""COMPUTED_VALUE"""),"ม.3/10")</f>
        <v>ม.3/10</v>
      </c>
      <c r="D1312" s="3" t="str">
        <f>IFERROR(__xludf.DUMMYFUNCTION("""COMPUTED_VALUE"""),"อก.3/12")</f>
        <v>อก.3/12</v>
      </c>
      <c r="E1312" s="2" t="str">
        <f>IFERROR(__xludf.DUMMYFUNCTION("""COMPUTED_VALUE"""),"หญิง")</f>
        <v>หญิง</v>
      </c>
      <c r="F1312" s="5" t="str">
        <f>IFERROR(__xludf.DUMMYFUNCTION("""COMPUTED_VALUE"""),"https://azizstan.net/student_image/24917.jpg")</f>
        <v>https://azizstan.net/student_image/24917.jpg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>
      <c r="A1313" s="3" t="str">
        <f>IFERROR(__xludf.DUMMYFUNCTION("""COMPUTED_VALUE"""),"24964")</f>
        <v>24964</v>
      </c>
      <c r="B1313" s="3" t="str">
        <f>IFERROR(__xludf.DUMMYFUNCTION("""COMPUTED_VALUE"""),"ด.ญ.บิสมิลล์ กูโน")</f>
        <v>ด.ญ.บิสมิลล์ กูโน</v>
      </c>
      <c r="C1313" s="3" t="str">
        <f>IFERROR(__xludf.DUMMYFUNCTION("""COMPUTED_VALUE"""),"ม.3/10")</f>
        <v>ม.3/10</v>
      </c>
      <c r="D1313" s="3" t="str">
        <f>IFERROR(__xludf.DUMMYFUNCTION("""COMPUTED_VALUE"""),"อก.3/12")</f>
        <v>อก.3/12</v>
      </c>
      <c r="E1313" s="2" t="str">
        <f>IFERROR(__xludf.DUMMYFUNCTION("""COMPUTED_VALUE"""),"หญิง")</f>
        <v>หญิง</v>
      </c>
      <c r="F1313" s="5" t="str">
        <f>IFERROR(__xludf.DUMMYFUNCTION("""COMPUTED_VALUE"""),"https://azizstan.net/student_image/24964.jpg")</f>
        <v>https://azizstan.net/student_image/24964.jpg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>
      <c r="A1314" s="3" t="str">
        <f>IFERROR(__xludf.DUMMYFUNCTION("""COMPUTED_VALUE"""),"24972")</f>
        <v>24972</v>
      </c>
      <c r="B1314" s="3" t="str">
        <f>IFERROR(__xludf.DUMMYFUNCTION("""COMPUTED_VALUE"""),"ด.ญ.นูรอซียะห์ วาเด็ง")</f>
        <v>ด.ญ.นูรอซียะห์ วาเด็ง</v>
      </c>
      <c r="C1314" s="3" t="str">
        <f>IFERROR(__xludf.DUMMYFUNCTION("""COMPUTED_VALUE"""),"ม.3/10")</f>
        <v>ม.3/10</v>
      </c>
      <c r="D1314" s="3" t="str">
        <f>IFERROR(__xludf.DUMMYFUNCTION("""COMPUTED_VALUE"""),"อก.3/12")</f>
        <v>อก.3/12</v>
      </c>
      <c r="E1314" s="2" t="str">
        <f>IFERROR(__xludf.DUMMYFUNCTION("""COMPUTED_VALUE"""),"หญิง")</f>
        <v>หญิง</v>
      </c>
      <c r="F1314" s="5" t="str">
        <f>IFERROR(__xludf.DUMMYFUNCTION("""COMPUTED_VALUE"""),"https://azizstan.net/student_image/24972.jpg")</f>
        <v>https://azizstan.net/student_image/24972.jpg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>
      <c r="A1315" s="3" t="str">
        <f>IFERROR(__xludf.DUMMYFUNCTION("""COMPUTED_VALUE"""),"24990")</f>
        <v>24990</v>
      </c>
      <c r="B1315" s="3" t="str">
        <f>IFERROR(__xludf.DUMMYFUNCTION("""COMPUTED_VALUE"""),"ด.ญ.ฟาตีณี ลาเตะ")</f>
        <v>ด.ญ.ฟาตีณี ลาเตะ</v>
      </c>
      <c r="C1315" s="3" t="str">
        <f>IFERROR(__xludf.DUMMYFUNCTION("""COMPUTED_VALUE"""),"ม.3/10")</f>
        <v>ม.3/10</v>
      </c>
      <c r="D1315" s="3" t="str">
        <f>IFERROR(__xludf.DUMMYFUNCTION("""COMPUTED_VALUE"""),"อก.3/12")</f>
        <v>อก.3/12</v>
      </c>
      <c r="E1315" s="2" t="str">
        <f>IFERROR(__xludf.DUMMYFUNCTION("""COMPUTED_VALUE"""),"หญิง")</f>
        <v>หญิง</v>
      </c>
      <c r="F1315" s="5" t="str">
        <f>IFERROR(__xludf.DUMMYFUNCTION("""COMPUTED_VALUE"""),"https://azizstan.net/student_image/24990.jpg")</f>
        <v>https://azizstan.net/student_image/24990.jpg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>
      <c r="A1316" s="3" t="str">
        <f>IFERROR(__xludf.DUMMYFUNCTION("""COMPUTED_VALUE"""),"24991")</f>
        <v>24991</v>
      </c>
      <c r="B1316" s="3" t="str">
        <f>IFERROR(__xludf.DUMMYFUNCTION("""COMPUTED_VALUE"""),"ด.ญ.นริศา เจ๊ะแว")</f>
        <v>ด.ญ.นริศา เจ๊ะแว</v>
      </c>
      <c r="C1316" s="3" t="str">
        <f>IFERROR(__xludf.DUMMYFUNCTION("""COMPUTED_VALUE"""),"ม.3/10")</f>
        <v>ม.3/10</v>
      </c>
      <c r="D1316" s="3" t="str">
        <f>IFERROR(__xludf.DUMMYFUNCTION("""COMPUTED_VALUE"""),"อก.3/12")</f>
        <v>อก.3/12</v>
      </c>
      <c r="E1316" s="2" t="str">
        <f>IFERROR(__xludf.DUMMYFUNCTION("""COMPUTED_VALUE"""),"หญิง")</f>
        <v>หญิง</v>
      </c>
      <c r="F1316" s="5" t="str">
        <f>IFERROR(__xludf.DUMMYFUNCTION("""COMPUTED_VALUE"""),"https://azizstan.net/student_image/24991.jpg")</f>
        <v>https://azizstan.net/student_image/24991.jpg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>
      <c r="A1317" s="3" t="str">
        <f>IFERROR(__xludf.DUMMYFUNCTION("""COMPUTED_VALUE"""),"24995")</f>
        <v>24995</v>
      </c>
      <c r="B1317" s="3" t="str">
        <f>IFERROR(__xludf.DUMMYFUNCTION("""COMPUTED_VALUE"""),"ด.ญ.ญารินดา บุญฤทธิ์")</f>
        <v>ด.ญ.ญารินดา บุญฤทธิ์</v>
      </c>
      <c r="C1317" s="3" t="str">
        <f>IFERROR(__xludf.DUMMYFUNCTION("""COMPUTED_VALUE"""),"ม.3/10")</f>
        <v>ม.3/10</v>
      </c>
      <c r="D1317" s="3" t="str">
        <f>IFERROR(__xludf.DUMMYFUNCTION("""COMPUTED_VALUE"""),"อก.3/12")</f>
        <v>อก.3/12</v>
      </c>
      <c r="E1317" s="2" t="str">
        <f>IFERROR(__xludf.DUMMYFUNCTION("""COMPUTED_VALUE"""),"หญิง")</f>
        <v>หญิง</v>
      </c>
      <c r="F1317" s="5" t="str">
        <f>IFERROR(__xludf.DUMMYFUNCTION("""COMPUTED_VALUE"""),"https://azizstan.net/student_image/24995.jpg")</f>
        <v>https://azizstan.net/student_image/24995.jpg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>
      <c r="A1318" s="3" t="str">
        <f>IFERROR(__xludf.DUMMYFUNCTION("""COMPUTED_VALUE"""),"25074")</f>
        <v>25074</v>
      </c>
      <c r="B1318" s="3" t="str">
        <f>IFERROR(__xludf.DUMMYFUNCTION("""COMPUTED_VALUE"""),"ด.ญ.รุสนา วันยี")</f>
        <v>ด.ญ.รุสนา วันยี</v>
      </c>
      <c r="C1318" s="3" t="str">
        <f>IFERROR(__xludf.DUMMYFUNCTION("""COMPUTED_VALUE"""),"ม.3/10")</f>
        <v>ม.3/10</v>
      </c>
      <c r="D1318" s="3" t="str">
        <f>IFERROR(__xludf.DUMMYFUNCTION("""COMPUTED_VALUE"""),"อก.3/12")</f>
        <v>อก.3/12</v>
      </c>
      <c r="E1318" s="2" t="str">
        <f>IFERROR(__xludf.DUMMYFUNCTION("""COMPUTED_VALUE"""),"หญิง")</f>
        <v>หญิง</v>
      </c>
      <c r="F1318" s="5" t="str">
        <f>IFERROR(__xludf.DUMMYFUNCTION("""COMPUTED_VALUE"""),"https://azizstan.net/student_image/25074.jpg")</f>
        <v>https://azizstan.net/student_image/25074.jpg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>
      <c r="A1319" s="3" t="str">
        <f>IFERROR(__xludf.DUMMYFUNCTION("""COMPUTED_VALUE"""),"25082")</f>
        <v>25082</v>
      </c>
      <c r="B1319" s="3" t="str">
        <f>IFERROR(__xludf.DUMMYFUNCTION("""COMPUTED_VALUE"""),"ด.ญ.อริสรา อารงค์")</f>
        <v>ด.ญ.อริสรา อารงค์</v>
      </c>
      <c r="C1319" s="3" t="str">
        <f>IFERROR(__xludf.DUMMYFUNCTION("""COMPUTED_VALUE"""),"ม.3/10")</f>
        <v>ม.3/10</v>
      </c>
      <c r="D1319" s="3" t="str">
        <f>IFERROR(__xludf.DUMMYFUNCTION("""COMPUTED_VALUE"""),"อก.3/12")</f>
        <v>อก.3/12</v>
      </c>
      <c r="E1319" s="2" t="str">
        <f>IFERROR(__xludf.DUMMYFUNCTION("""COMPUTED_VALUE"""),"หญิง")</f>
        <v>หญิง</v>
      </c>
      <c r="F1319" s="5" t="str">
        <f>IFERROR(__xludf.DUMMYFUNCTION("""COMPUTED_VALUE"""),"https://azizstan.net/student_image/25082.jpg")</f>
        <v>https://azizstan.net/student_image/25082.jpg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>
      <c r="A1320" s="3" t="str">
        <f>IFERROR(__xludf.DUMMYFUNCTION("""COMPUTED_VALUE"""),"25093")</f>
        <v>25093</v>
      </c>
      <c r="B1320" s="3" t="str">
        <f>IFERROR(__xludf.DUMMYFUNCTION("""COMPUTED_VALUE"""),"ด.ญ.วันฮุสนา ยีเลาะ")</f>
        <v>ด.ญ.วันฮุสนา ยีเลาะ</v>
      </c>
      <c r="C1320" s="3" t="str">
        <f>IFERROR(__xludf.DUMMYFUNCTION("""COMPUTED_VALUE"""),"ม.3/10")</f>
        <v>ม.3/10</v>
      </c>
      <c r="D1320" s="3" t="str">
        <f>IFERROR(__xludf.DUMMYFUNCTION("""COMPUTED_VALUE"""),"อก.3/12")</f>
        <v>อก.3/12</v>
      </c>
      <c r="E1320" s="2" t="str">
        <f>IFERROR(__xludf.DUMMYFUNCTION("""COMPUTED_VALUE"""),"หญิง")</f>
        <v>หญิง</v>
      </c>
      <c r="F1320" s="5" t="str">
        <f>IFERROR(__xludf.DUMMYFUNCTION("""COMPUTED_VALUE"""),"https://azizstan.net/student_image/25093.jpg")</f>
        <v>https://azizstan.net/student_image/25093.jpg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>
      <c r="A1321" s="3" t="str">
        <f>IFERROR(__xludf.DUMMYFUNCTION("""COMPUTED_VALUE"""),"25103")</f>
        <v>25103</v>
      </c>
      <c r="B1321" s="3" t="str">
        <f>IFERROR(__xludf.DUMMYFUNCTION("""COMPUTED_VALUE"""),"ด.ญ.ฮาฟีซา เหมอุดม")</f>
        <v>ด.ญ.ฮาฟีซา เหมอุดม</v>
      </c>
      <c r="C1321" s="3" t="str">
        <f>IFERROR(__xludf.DUMMYFUNCTION("""COMPUTED_VALUE"""),"ม.3/10")</f>
        <v>ม.3/10</v>
      </c>
      <c r="D1321" s="3" t="str">
        <f>IFERROR(__xludf.DUMMYFUNCTION("""COMPUTED_VALUE"""),"อก.3/12")</f>
        <v>อก.3/12</v>
      </c>
      <c r="E1321" s="2" t="str">
        <f>IFERROR(__xludf.DUMMYFUNCTION("""COMPUTED_VALUE"""),"หญิง")</f>
        <v>หญิง</v>
      </c>
      <c r="F1321" s="5" t="str">
        <f>IFERROR(__xludf.DUMMYFUNCTION("""COMPUTED_VALUE"""),"https://azizstan.net/student_image/25103.jpg")</f>
        <v>https://azizstan.net/student_image/25103.jpg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>
      <c r="A1322" s="3" t="str">
        <f>IFERROR(__xludf.DUMMYFUNCTION("""COMPUTED_VALUE"""),"25122")</f>
        <v>25122</v>
      </c>
      <c r="B1322" s="3" t="str">
        <f>IFERROR(__xludf.DUMMYFUNCTION("""COMPUTED_VALUE"""),"ด.ญ.นูรูลซูฮาฎา เจะเฮง")</f>
        <v>ด.ญ.นูรูลซูฮาฎา เจะเฮง</v>
      </c>
      <c r="C1322" s="3" t="str">
        <f>IFERROR(__xludf.DUMMYFUNCTION("""COMPUTED_VALUE"""),"ม.3/10")</f>
        <v>ม.3/10</v>
      </c>
      <c r="D1322" s="3" t="str">
        <f>IFERROR(__xludf.DUMMYFUNCTION("""COMPUTED_VALUE"""),"อก.3/12")</f>
        <v>อก.3/12</v>
      </c>
      <c r="E1322" s="2" t="str">
        <f>IFERROR(__xludf.DUMMYFUNCTION("""COMPUTED_VALUE"""),"หญิง")</f>
        <v>หญิง</v>
      </c>
      <c r="F1322" s="5" t="str">
        <f>IFERROR(__xludf.DUMMYFUNCTION("""COMPUTED_VALUE"""),"https://azizstan.net/student_image/25122.jpg")</f>
        <v>https://azizstan.net/student_image/25122.jpg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>
      <c r="A1323" s="3" t="str">
        <f>IFERROR(__xludf.DUMMYFUNCTION("""COMPUTED_VALUE"""),"25150")</f>
        <v>25150</v>
      </c>
      <c r="B1323" s="3" t="str">
        <f>IFERROR(__xludf.DUMMYFUNCTION("""COMPUTED_VALUE"""),"ด.ญ.ฟาเดีย แวมามะ")</f>
        <v>ด.ญ.ฟาเดีย แวมามะ</v>
      </c>
      <c r="C1323" s="3" t="str">
        <f>IFERROR(__xludf.DUMMYFUNCTION("""COMPUTED_VALUE"""),"ม.3/10")</f>
        <v>ม.3/10</v>
      </c>
      <c r="D1323" s="3" t="str">
        <f>IFERROR(__xludf.DUMMYFUNCTION("""COMPUTED_VALUE"""),"อก.3/12")</f>
        <v>อก.3/12</v>
      </c>
      <c r="E1323" s="2" t="str">
        <f>IFERROR(__xludf.DUMMYFUNCTION("""COMPUTED_VALUE"""),"หญิง")</f>
        <v>หญิง</v>
      </c>
      <c r="F1323" s="5" t="str">
        <f>IFERROR(__xludf.DUMMYFUNCTION("""COMPUTED_VALUE"""),"https://azizstan.net/student_image/25150.jpg")</f>
        <v>https://azizstan.net/student_image/25150.jpg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>
      <c r="A1324" s="3" t="str">
        <f>IFERROR(__xludf.DUMMYFUNCTION("""COMPUTED_VALUE"""),"25170")</f>
        <v>25170</v>
      </c>
      <c r="B1324" s="3" t="str">
        <f>IFERROR(__xludf.DUMMYFUNCTION("""COMPUTED_VALUE"""),"ด.ญ.สุวัยบะฮ์ ดือราเซะ")</f>
        <v>ด.ญ.สุวัยบะฮ์ ดือราเซะ</v>
      </c>
      <c r="C1324" s="3" t="str">
        <f>IFERROR(__xludf.DUMMYFUNCTION("""COMPUTED_VALUE"""),"ม.3/10")</f>
        <v>ม.3/10</v>
      </c>
      <c r="D1324" s="3" t="str">
        <f>IFERROR(__xludf.DUMMYFUNCTION("""COMPUTED_VALUE"""),"อก.3/12")</f>
        <v>อก.3/12</v>
      </c>
      <c r="E1324" s="2" t="str">
        <f>IFERROR(__xludf.DUMMYFUNCTION("""COMPUTED_VALUE"""),"หญิง")</f>
        <v>หญิง</v>
      </c>
      <c r="F1324" s="5" t="str">
        <f>IFERROR(__xludf.DUMMYFUNCTION("""COMPUTED_VALUE"""),"https://azizstan.net/student_image/25170.jpg")</f>
        <v>https://azizstan.net/student_image/25170.jpg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>
      <c r="A1325" s="3" t="str">
        <f>IFERROR(__xludf.DUMMYFUNCTION("""COMPUTED_VALUE"""),"25243")</f>
        <v>25243</v>
      </c>
      <c r="B1325" s="3" t="str">
        <f>IFERROR(__xludf.DUMMYFUNCTION("""COMPUTED_VALUE"""),"ด.ญ.ตัสณีม มูเร็ง")</f>
        <v>ด.ญ.ตัสณีม มูเร็ง</v>
      </c>
      <c r="C1325" s="3" t="str">
        <f>IFERROR(__xludf.DUMMYFUNCTION("""COMPUTED_VALUE"""),"ม.3/10")</f>
        <v>ม.3/10</v>
      </c>
      <c r="D1325" s="3" t="str">
        <f>IFERROR(__xludf.DUMMYFUNCTION("""COMPUTED_VALUE"""),"อก.3/12")</f>
        <v>อก.3/12</v>
      </c>
      <c r="E1325" s="2" t="str">
        <f>IFERROR(__xludf.DUMMYFUNCTION("""COMPUTED_VALUE"""),"หญิง")</f>
        <v>หญิง</v>
      </c>
      <c r="F1325" s="5" t="str">
        <f>IFERROR(__xludf.DUMMYFUNCTION("""COMPUTED_VALUE"""),"https://azizstan.net/student_image/25243.jpg")</f>
        <v>https://azizstan.net/student_image/25243.jpg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>
      <c r="A1326" s="3" t="str">
        <f>IFERROR(__xludf.DUMMYFUNCTION("""COMPUTED_VALUE"""),"24605")</f>
        <v>24605</v>
      </c>
      <c r="B1326" s="3" t="str">
        <f>IFERROR(__xludf.DUMMYFUNCTION("""COMPUTED_VALUE"""),"ด.ญ.อามีเร๊าะห์ โตะเหะ")</f>
        <v>ด.ญ.อามีเร๊าะห์ โตะเหะ</v>
      </c>
      <c r="C1326" s="3" t="str">
        <f>IFERROR(__xludf.DUMMYFUNCTION("""COMPUTED_VALUE"""),"ม.3/11")</f>
        <v>ม.3/11</v>
      </c>
      <c r="D1326" s="3" t="str">
        <f>IFERROR(__xludf.DUMMYFUNCTION("""COMPUTED_VALUE"""),"อก.3/11")</f>
        <v>อก.3/11</v>
      </c>
      <c r="E1326" s="2" t="str">
        <f>IFERROR(__xludf.DUMMYFUNCTION("""COMPUTED_VALUE"""),"หญิง")</f>
        <v>หญิง</v>
      </c>
      <c r="F1326" s="5" t="str">
        <f>IFERROR(__xludf.DUMMYFUNCTION("""COMPUTED_VALUE"""),"https://azizstan.net/student_image/24605.jpg")</f>
        <v>https://azizstan.net/student_image/24605.jpg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>
      <c r="A1327" s="3" t="str">
        <f>IFERROR(__xludf.DUMMYFUNCTION("""COMPUTED_VALUE"""),"24611")</f>
        <v>24611</v>
      </c>
      <c r="B1327" s="3" t="str">
        <f>IFERROR(__xludf.DUMMYFUNCTION("""COMPUTED_VALUE"""),"ด.ช.นัจญ์รอน เจะสารี")</f>
        <v>ด.ช.นัจญ์รอน เจะสารี</v>
      </c>
      <c r="C1327" s="3" t="str">
        <f>IFERROR(__xludf.DUMMYFUNCTION("""COMPUTED_VALUE"""),"ม.3/11")</f>
        <v>ม.3/11</v>
      </c>
      <c r="D1327" s="3" t="str">
        <f>IFERROR(__xludf.DUMMYFUNCTION("""COMPUTED_VALUE"""),"อก.3/11")</f>
        <v>อก.3/11</v>
      </c>
      <c r="E1327" s="2" t="str">
        <f>IFERROR(__xludf.DUMMYFUNCTION("""COMPUTED_VALUE"""),"ชาย")</f>
        <v>ชาย</v>
      </c>
      <c r="F1327" s="5" t="str">
        <f>IFERROR(__xludf.DUMMYFUNCTION("""COMPUTED_VALUE"""),"https://azizstan.net/student_image/24611.jpg")</f>
        <v>https://azizstan.net/student_image/24611.jpg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>
      <c r="A1328" s="3" t="str">
        <f>IFERROR(__xludf.DUMMYFUNCTION("""COMPUTED_VALUE"""),"24612")</f>
        <v>24612</v>
      </c>
      <c r="B1328" s="3" t="str">
        <f>IFERROR(__xludf.DUMMYFUNCTION("""COMPUTED_VALUE"""),"ด.ญ.นูรลัยลา มายาสัน")</f>
        <v>ด.ญ.นูรลัยลา มายาสัน</v>
      </c>
      <c r="C1328" s="3" t="str">
        <f>IFERROR(__xludf.DUMMYFUNCTION("""COMPUTED_VALUE"""),"ม.3/11")</f>
        <v>ม.3/11</v>
      </c>
      <c r="D1328" s="3" t="str">
        <f>IFERROR(__xludf.DUMMYFUNCTION("""COMPUTED_VALUE"""),"อก.3/11")</f>
        <v>อก.3/11</v>
      </c>
      <c r="E1328" s="2" t="str">
        <f>IFERROR(__xludf.DUMMYFUNCTION("""COMPUTED_VALUE"""),"หญิง")</f>
        <v>หญิง</v>
      </c>
      <c r="F1328" s="5" t="str">
        <f>IFERROR(__xludf.DUMMYFUNCTION("""COMPUTED_VALUE"""),"https://azizstan.net/student_image/24612.jpg")</f>
        <v>https://azizstan.net/student_image/24612.jpg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>
      <c r="A1329" s="3" t="str">
        <f>IFERROR(__xludf.DUMMYFUNCTION("""COMPUTED_VALUE"""),"24630")</f>
        <v>24630</v>
      </c>
      <c r="B1329" s="3" t="str">
        <f>IFERROR(__xludf.DUMMYFUNCTION("""COMPUTED_VALUE"""),"ด.ญ.ฮัซนา อิมำกะจิ")</f>
        <v>ด.ญ.ฮัซนา อิมำกะจิ</v>
      </c>
      <c r="C1329" s="3" t="str">
        <f>IFERROR(__xludf.DUMMYFUNCTION("""COMPUTED_VALUE"""),"ม.3/11")</f>
        <v>ม.3/11</v>
      </c>
      <c r="D1329" s="3" t="str">
        <f>IFERROR(__xludf.DUMMYFUNCTION("""COMPUTED_VALUE"""),"อก.3/11")</f>
        <v>อก.3/11</v>
      </c>
      <c r="E1329" s="2" t="str">
        <f>IFERROR(__xludf.DUMMYFUNCTION("""COMPUTED_VALUE"""),"หญิง")</f>
        <v>หญิง</v>
      </c>
      <c r="F1329" s="5" t="str">
        <f>IFERROR(__xludf.DUMMYFUNCTION("""COMPUTED_VALUE"""),"https://azizstan.net/student_image/24630.jpg")</f>
        <v>https://azizstan.net/student_image/24630.jpg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>
      <c r="A1330" s="3" t="str">
        <f>IFERROR(__xludf.DUMMYFUNCTION("""COMPUTED_VALUE"""),"24644")</f>
        <v>24644</v>
      </c>
      <c r="B1330" s="3" t="str">
        <f>IFERROR(__xludf.DUMMYFUNCTION("""COMPUTED_VALUE"""),"ด.ญ.ยาสมินนาดา แดหวา")</f>
        <v>ด.ญ.ยาสมินนาดา แดหวา</v>
      </c>
      <c r="C1330" s="3" t="str">
        <f>IFERROR(__xludf.DUMMYFUNCTION("""COMPUTED_VALUE"""),"ม.3/11")</f>
        <v>ม.3/11</v>
      </c>
      <c r="D1330" s="3" t="str">
        <f>IFERROR(__xludf.DUMMYFUNCTION("""COMPUTED_VALUE"""),"อก.3/11")</f>
        <v>อก.3/11</v>
      </c>
      <c r="E1330" s="2" t="str">
        <f>IFERROR(__xludf.DUMMYFUNCTION("""COMPUTED_VALUE"""),"หญิง")</f>
        <v>หญิง</v>
      </c>
      <c r="F1330" s="5" t="str">
        <f>IFERROR(__xludf.DUMMYFUNCTION("""COMPUTED_VALUE"""),"https://azizstan.net/student_image/24644.jpg")</f>
        <v>https://azizstan.net/student_image/24644.jpg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>
      <c r="A1331" s="3" t="str">
        <f>IFERROR(__xludf.DUMMYFUNCTION("""COMPUTED_VALUE"""),"24668")</f>
        <v>24668</v>
      </c>
      <c r="B1331" s="3" t="str">
        <f>IFERROR(__xludf.DUMMYFUNCTION("""COMPUTED_VALUE"""),"ด.ญ.ดีนา ใบหมัด")</f>
        <v>ด.ญ.ดีนา ใบหมัด</v>
      </c>
      <c r="C1331" s="3" t="str">
        <f>IFERROR(__xludf.DUMMYFUNCTION("""COMPUTED_VALUE"""),"ม.3/11")</f>
        <v>ม.3/11</v>
      </c>
      <c r="D1331" s="3" t="str">
        <f>IFERROR(__xludf.DUMMYFUNCTION("""COMPUTED_VALUE"""),"อก.3/11")</f>
        <v>อก.3/11</v>
      </c>
      <c r="E1331" s="2" t="str">
        <f>IFERROR(__xludf.DUMMYFUNCTION("""COMPUTED_VALUE"""),"หญิง")</f>
        <v>หญิง</v>
      </c>
      <c r="F1331" s="5" t="str">
        <f>IFERROR(__xludf.DUMMYFUNCTION("""COMPUTED_VALUE"""),"https://azizstan.net/student_image/24668.jpg")</f>
        <v>https://azizstan.net/student_image/24668.jpg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>
      <c r="A1332" s="3" t="str">
        <f>IFERROR(__xludf.DUMMYFUNCTION("""COMPUTED_VALUE"""),"24682")</f>
        <v>24682</v>
      </c>
      <c r="B1332" s="3" t="str">
        <f>IFERROR(__xludf.DUMMYFUNCTION("""COMPUTED_VALUE"""),"ด.ช.อีลีย๊ะ มูซอ")</f>
        <v>ด.ช.อีลีย๊ะ มูซอ</v>
      </c>
      <c r="C1332" s="3" t="str">
        <f>IFERROR(__xludf.DUMMYFUNCTION("""COMPUTED_VALUE"""),"ม.3/11")</f>
        <v>ม.3/11</v>
      </c>
      <c r="D1332" s="3" t="str">
        <f>IFERROR(__xludf.DUMMYFUNCTION("""COMPUTED_VALUE"""),"อก.3/11")</f>
        <v>อก.3/11</v>
      </c>
      <c r="E1332" s="2" t="str">
        <f>IFERROR(__xludf.DUMMYFUNCTION("""COMPUTED_VALUE"""),"ชาย")</f>
        <v>ชาย</v>
      </c>
      <c r="F1332" s="5" t="str">
        <f>IFERROR(__xludf.DUMMYFUNCTION("""COMPUTED_VALUE"""),"https://azizstan.net/student_image/24682.jpg")</f>
        <v>https://azizstan.net/student_image/24682.jpg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>
      <c r="A1333" s="3" t="str">
        <f>IFERROR(__xludf.DUMMYFUNCTION("""COMPUTED_VALUE"""),"24701")</f>
        <v>24701</v>
      </c>
      <c r="B1333" s="3" t="str">
        <f>IFERROR(__xludf.DUMMYFUNCTION("""COMPUTED_VALUE"""),"ด.ญ.ณัฐยูวาล ซิเดะ")</f>
        <v>ด.ญ.ณัฐยูวาล ซิเดะ</v>
      </c>
      <c r="C1333" s="3" t="str">
        <f>IFERROR(__xludf.DUMMYFUNCTION("""COMPUTED_VALUE"""),"ม.3/11")</f>
        <v>ม.3/11</v>
      </c>
      <c r="D1333" s="3" t="str">
        <f>IFERROR(__xludf.DUMMYFUNCTION("""COMPUTED_VALUE"""),"อก.3/11")</f>
        <v>อก.3/11</v>
      </c>
      <c r="E1333" s="2" t="str">
        <f>IFERROR(__xludf.DUMMYFUNCTION("""COMPUTED_VALUE"""),"หญิง")</f>
        <v>หญิง</v>
      </c>
      <c r="F1333" s="5" t="str">
        <f>IFERROR(__xludf.DUMMYFUNCTION("""COMPUTED_VALUE"""),"https://azizstan.net/student_image/24701.jpg")</f>
        <v>https://azizstan.net/student_image/24701.jpg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>
      <c r="A1334" s="3" t="str">
        <f>IFERROR(__xludf.DUMMYFUNCTION("""COMPUTED_VALUE"""),"24734")</f>
        <v>24734</v>
      </c>
      <c r="B1334" s="3" t="str">
        <f>IFERROR(__xludf.DUMMYFUNCTION("""COMPUTED_VALUE"""),"ด.ญ.นูรีฮัน ดือเร๊ะ")</f>
        <v>ด.ญ.นูรีฮัน ดือเร๊ะ</v>
      </c>
      <c r="C1334" s="3" t="str">
        <f>IFERROR(__xludf.DUMMYFUNCTION("""COMPUTED_VALUE"""),"ม.3/11")</f>
        <v>ม.3/11</v>
      </c>
      <c r="D1334" s="3" t="str">
        <f>IFERROR(__xludf.DUMMYFUNCTION("""COMPUTED_VALUE"""),"อก.3/11")</f>
        <v>อก.3/11</v>
      </c>
      <c r="E1334" s="2" t="str">
        <f>IFERROR(__xludf.DUMMYFUNCTION("""COMPUTED_VALUE"""),"หญิง")</f>
        <v>หญิง</v>
      </c>
      <c r="F1334" s="5" t="str">
        <f>IFERROR(__xludf.DUMMYFUNCTION("""COMPUTED_VALUE"""),"https://azizstan.net/student_image/24734.jpg")</f>
        <v>https://azizstan.net/student_image/24734.jpg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>
      <c r="A1335" s="3" t="str">
        <f>IFERROR(__xludf.DUMMYFUNCTION("""COMPUTED_VALUE"""),"24764")</f>
        <v>24764</v>
      </c>
      <c r="B1335" s="3" t="str">
        <f>IFERROR(__xludf.DUMMYFUNCTION("""COMPUTED_VALUE"""),"ด.ญ.ยัสมี หะยีมะแซ")</f>
        <v>ด.ญ.ยัสมี หะยีมะแซ</v>
      </c>
      <c r="C1335" s="3" t="str">
        <f>IFERROR(__xludf.DUMMYFUNCTION("""COMPUTED_VALUE"""),"ม.3/11")</f>
        <v>ม.3/11</v>
      </c>
      <c r="D1335" s="3" t="str">
        <f>IFERROR(__xludf.DUMMYFUNCTION("""COMPUTED_VALUE"""),"อก.3/11")</f>
        <v>อก.3/11</v>
      </c>
      <c r="E1335" s="2" t="str">
        <f>IFERROR(__xludf.DUMMYFUNCTION("""COMPUTED_VALUE"""),"หญิง")</f>
        <v>หญิง</v>
      </c>
      <c r="F1335" s="5" t="str">
        <f>IFERROR(__xludf.DUMMYFUNCTION("""COMPUTED_VALUE"""),"https://azizstan.net/student_image/24764.jpg")</f>
        <v>https://azizstan.net/student_image/24764.jpg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>
      <c r="A1336" s="3" t="str">
        <f>IFERROR(__xludf.DUMMYFUNCTION("""COMPUTED_VALUE"""),"24765")</f>
        <v>24765</v>
      </c>
      <c r="B1336" s="3" t="str">
        <f>IFERROR(__xludf.DUMMYFUNCTION("""COMPUTED_VALUE"""),"ด.ญ.ลีซา กาซอ")</f>
        <v>ด.ญ.ลีซา กาซอ</v>
      </c>
      <c r="C1336" s="3" t="str">
        <f>IFERROR(__xludf.DUMMYFUNCTION("""COMPUTED_VALUE"""),"ม.3/11")</f>
        <v>ม.3/11</v>
      </c>
      <c r="D1336" s="3" t="str">
        <f>IFERROR(__xludf.DUMMYFUNCTION("""COMPUTED_VALUE"""),"อก.3/11")</f>
        <v>อก.3/11</v>
      </c>
      <c r="E1336" s="2" t="str">
        <f>IFERROR(__xludf.DUMMYFUNCTION("""COMPUTED_VALUE"""),"หญิง")</f>
        <v>หญิง</v>
      </c>
      <c r="F1336" s="5" t="str">
        <f>IFERROR(__xludf.DUMMYFUNCTION("""COMPUTED_VALUE"""),"https://azizstan.net/student_image/24765.jpg")</f>
        <v>https://azizstan.net/student_image/24765.jpg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>
      <c r="A1337" s="3" t="str">
        <f>IFERROR(__xludf.DUMMYFUNCTION("""COMPUTED_VALUE"""),"24772")</f>
        <v>24772</v>
      </c>
      <c r="B1337" s="3" t="str">
        <f>IFERROR(__xludf.DUMMYFUNCTION("""COMPUTED_VALUE"""),"ด.ญ.นูรอัยนี สาหลำ")</f>
        <v>ด.ญ.นูรอัยนี สาหลำ</v>
      </c>
      <c r="C1337" s="3" t="str">
        <f>IFERROR(__xludf.DUMMYFUNCTION("""COMPUTED_VALUE"""),"ม.3/11")</f>
        <v>ม.3/11</v>
      </c>
      <c r="D1337" s="3" t="str">
        <f>IFERROR(__xludf.DUMMYFUNCTION("""COMPUTED_VALUE"""),"อก.3/11")</f>
        <v>อก.3/11</v>
      </c>
      <c r="E1337" s="2" t="str">
        <f>IFERROR(__xludf.DUMMYFUNCTION("""COMPUTED_VALUE"""),"หญิง")</f>
        <v>หญิง</v>
      </c>
      <c r="F1337" s="5" t="str">
        <f>IFERROR(__xludf.DUMMYFUNCTION("""COMPUTED_VALUE"""),"https://azizstan.net/student_image/24772.jpg")</f>
        <v>https://azizstan.net/student_image/24772.jpg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>
      <c r="A1338" s="3" t="str">
        <f>IFERROR(__xludf.DUMMYFUNCTION("""COMPUTED_VALUE"""),"24785")</f>
        <v>24785</v>
      </c>
      <c r="B1338" s="3" t="str">
        <f>IFERROR(__xludf.DUMMYFUNCTION("""COMPUTED_VALUE"""),"ด.ญ.ซุลฟาร์ จานิ")</f>
        <v>ด.ญ.ซุลฟาร์ จานิ</v>
      </c>
      <c r="C1338" s="3" t="str">
        <f>IFERROR(__xludf.DUMMYFUNCTION("""COMPUTED_VALUE"""),"ม.3/11")</f>
        <v>ม.3/11</v>
      </c>
      <c r="D1338" s="3" t="str">
        <f>IFERROR(__xludf.DUMMYFUNCTION("""COMPUTED_VALUE"""),"อก.3/11")</f>
        <v>อก.3/11</v>
      </c>
      <c r="E1338" s="2" t="str">
        <f>IFERROR(__xludf.DUMMYFUNCTION("""COMPUTED_VALUE"""),"หญิง")</f>
        <v>หญิง</v>
      </c>
      <c r="F1338" s="5" t="str">
        <f>IFERROR(__xludf.DUMMYFUNCTION("""COMPUTED_VALUE"""),"https://azizstan.net/student_image/24785.jpg")</f>
        <v>https://azizstan.net/student_image/24785.jpg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>
      <c r="A1339" s="3" t="str">
        <f>IFERROR(__xludf.DUMMYFUNCTION("""COMPUTED_VALUE"""),"24805")</f>
        <v>24805</v>
      </c>
      <c r="B1339" s="3" t="str">
        <f>IFERROR(__xludf.DUMMYFUNCTION("""COMPUTED_VALUE"""),"ด.ญ.บัยซูรา มิหีม")</f>
        <v>ด.ญ.บัยซูรา มิหีม</v>
      </c>
      <c r="C1339" s="3" t="str">
        <f>IFERROR(__xludf.DUMMYFUNCTION("""COMPUTED_VALUE"""),"ม.3/11")</f>
        <v>ม.3/11</v>
      </c>
      <c r="D1339" s="3" t="str">
        <f>IFERROR(__xludf.DUMMYFUNCTION("""COMPUTED_VALUE"""),"อก.3/11")</f>
        <v>อก.3/11</v>
      </c>
      <c r="E1339" s="2" t="str">
        <f>IFERROR(__xludf.DUMMYFUNCTION("""COMPUTED_VALUE"""),"หญิง")</f>
        <v>หญิง</v>
      </c>
      <c r="F1339" s="5" t="str">
        <f>IFERROR(__xludf.DUMMYFUNCTION("""COMPUTED_VALUE"""),"https://azizstan.net/student_image/24805.jpg")</f>
        <v>https://azizstan.net/student_image/24805.jpg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>
      <c r="A1340" s="3" t="str">
        <f>IFERROR(__xludf.DUMMYFUNCTION("""COMPUTED_VALUE"""),"24806")</f>
        <v>24806</v>
      </c>
      <c r="B1340" s="3" t="str">
        <f>IFERROR(__xludf.DUMMYFUNCTION("""COMPUTED_VALUE"""),"ด.ช.อาดิล หะยีตาเยะ")</f>
        <v>ด.ช.อาดิล หะยีตาเยะ</v>
      </c>
      <c r="C1340" s="3" t="str">
        <f>IFERROR(__xludf.DUMMYFUNCTION("""COMPUTED_VALUE"""),"ม.3/11")</f>
        <v>ม.3/11</v>
      </c>
      <c r="D1340" s="3" t="str">
        <f>IFERROR(__xludf.DUMMYFUNCTION("""COMPUTED_VALUE"""),"อก.3/11")</f>
        <v>อก.3/11</v>
      </c>
      <c r="E1340" s="2" t="str">
        <f>IFERROR(__xludf.DUMMYFUNCTION("""COMPUTED_VALUE"""),"ชาย")</f>
        <v>ชาย</v>
      </c>
      <c r="F1340" s="5" t="str">
        <f>IFERROR(__xludf.DUMMYFUNCTION("""COMPUTED_VALUE"""),"https://azizstan.net/student_image/24806.jpg")</f>
        <v>https://azizstan.net/student_image/24806.jpg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>
      <c r="A1341" s="3" t="str">
        <f>IFERROR(__xludf.DUMMYFUNCTION("""COMPUTED_VALUE"""),"24822")</f>
        <v>24822</v>
      </c>
      <c r="B1341" s="3" t="str">
        <f>IFERROR(__xludf.DUMMYFUNCTION("""COMPUTED_VALUE"""),"ด.ญ.อัฟนาน เจ๊ะบู")</f>
        <v>ด.ญ.อัฟนาน เจ๊ะบู</v>
      </c>
      <c r="C1341" s="3" t="str">
        <f>IFERROR(__xludf.DUMMYFUNCTION("""COMPUTED_VALUE"""),"ม.3/11")</f>
        <v>ม.3/11</v>
      </c>
      <c r="D1341" s="3" t="str">
        <f>IFERROR(__xludf.DUMMYFUNCTION("""COMPUTED_VALUE"""),"อก.3/11")</f>
        <v>อก.3/11</v>
      </c>
      <c r="E1341" s="2" t="str">
        <f>IFERROR(__xludf.DUMMYFUNCTION("""COMPUTED_VALUE"""),"หญิง")</f>
        <v>หญิง</v>
      </c>
      <c r="F1341" s="5" t="str">
        <f>IFERROR(__xludf.DUMMYFUNCTION("""COMPUTED_VALUE"""),"https://azizstan.net/student_image/24822.jpg")</f>
        <v>https://azizstan.net/student_image/24822.jpg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>
      <c r="A1342" s="3" t="str">
        <f>IFERROR(__xludf.DUMMYFUNCTION("""COMPUTED_VALUE"""),"24823")</f>
        <v>24823</v>
      </c>
      <c r="B1342" s="3" t="str">
        <f>IFERROR(__xludf.DUMMYFUNCTION("""COMPUTED_VALUE"""),"ด.ญ.อันนิส สิริเต๊ะ")</f>
        <v>ด.ญ.อันนิส สิริเต๊ะ</v>
      </c>
      <c r="C1342" s="3" t="str">
        <f>IFERROR(__xludf.DUMMYFUNCTION("""COMPUTED_VALUE"""),"ม.3/11")</f>
        <v>ม.3/11</v>
      </c>
      <c r="D1342" s="3" t="str">
        <f>IFERROR(__xludf.DUMMYFUNCTION("""COMPUTED_VALUE"""),"อก.3/11")</f>
        <v>อก.3/11</v>
      </c>
      <c r="E1342" s="2" t="str">
        <f>IFERROR(__xludf.DUMMYFUNCTION("""COMPUTED_VALUE"""),"หญิง")</f>
        <v>หญิง</v>
      </c>
      <c r="F1342" s="5" t="str">
        <f>IFERROR(__xludf.DUMMYFUNCTION("""COMPUTED_VALUE"""),"https://azizstan.net/student_image/24823.jpg")</f>
        <v>https://azizstan.net/student_image/24823.jpg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>
      <c r="A1343" s="3" t="str">
        <f>IFERROR(__xludf.DUMMYFUNCTION("""COMPUTED_VALUE"""),"24824")</f>
        <v>24824</v>
      </c>
      <c r="B1343" s="3" t="str">
        <f>IFERROR(__xludf.DUMMYFUNCTION("""COMPUTED_VALUE"""),"ด.ญ.ซามีมี อายิ")</f>
        <v>ด.ญ.ซามีมี อายิ</v>
      </c>
      <c r="C1343" s="3" t="str">
        <f>IFERROR(__xludf.DUMMYFUNCTION("""COMPUTED_VALUE"""),"ม.3/11")</f>
        <v>ม.3/11</v>
      </c>
      <c r="D1343" s="3" t="str">
        <f>IFERROR(__xludf.DUMMYFUNCTION("""COMPUTED_VALUE"""),"อก.3/11")</f>
        <v>อก.3/11</v>
      </c>
      <c r="E1343" s="2" t="str">
        <f>IFERROR(__xludf.DUMMYFUNCTION("""COMPUTED_VALUE"""),"หญิง")</f>
        <v>หญิง</v>
      </c>
      <c r="F1343" s="5" t="str">
        <f>IFERROR(__xludf.DUMMYFUNCTION("""COMPUTED_VALUE"""),"https://azizstan.net/student_image/24824.jpg")</f>
        <v>https://azizstan.net/student_image/24824.jpg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>
      <c r="A1344" s="3" t="str">
        <f>IFERROR(__xludf.DUMMYFUNCTION("""COMPUTED_VALUE"""),"24843")</f>
        <v>24843</v>
      </c>
      <c r="B1344" s="3" t="str">
        <f>IFERROR(__xludf.DUMMYFUNCTION("""COMPUTED_VALUE"""),"ด.ญ.นัสรีญา บากา")</f>
        <v>ด.ญ.นัสรีญา บากา</v>
      </c>
      <c r="C1344" s="3" t="str">
        <f>IFERROR(__xludf.DUMMYFUNCTION("""COMPUTED_VALUE"""),"ม.3/11")</f>
        <v>ม.3/11</v>
      </c>
      <c r="D1344" s="3" t="str">
        <f>IFERROR(__xludf.DUMMYFUNCTION("""COMPUTED_VALUE"""),"อก.3/11")</f>
        <v>อก.3/11</v>
      </c>
      <c r="E1344" s="2" t="str">
        <f>IFERROR(__xludf.DUMMYFUNCTION("""COMPUTED_VALUE"""),"หญิง")</f>
        <v>หญิง</v>
      </c>
      <c r="F1344" s="5" t="str">
        <f>IFERROR(__xludf.DUMMYFUNCTION("""COMPUTED_VALUE"""),"https://azizstan.net/student_image/24843.jpg")</f>
        <v>https://azizstan.net/student_image/24843.jpg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>
      <c r="A1345" s="3" t="str">
        <f>IFERROR(__xludf.DUMMYFUNCTION("""COMPUTED_VALUE"""),"24854")</f>
        <v>24854</v>
      </c>
      <c r="B1345" s="3" t="str">
        <f>IFERROR(__xludf.DUMMYFUNCTION("""COMPUTED_VALUE"""),"ด.ญ.ราฎียา ภูเวียง")</f>
        <v>ด.ญ.ราฎียา ภูเวียง</v>
      </c>
      <c r="C1345" s="3" t="str">
        <f>IFERROR(__xludf.DUMMYFUNCTION("""COMPUTED_VALUE"""),"ม.3/11")</f>
        <v>ม.3/11</v>
      </c>
      <c r="D1345" s="3" t="str">
        <f>IFERROR(__xludf.DUMMYFUNCTION("""COMPUTED_VALUE"""),"อก.3/11")</f>
        <v>อก.3/11</v>
      </c>
      <c r="E1345" s="2" t="str">
        <f>IFERROR(__xludf.DUMMYFUNCTION("""COMPUTED_VALUE"""),"หญิง")</f>
        <v>หญิง</v>
      </c>
      <c r="F1345" s="5" t="str">
        <f>IFERROR(__xludf.DUMMYFUNCTION("""COMPUTED_VALUE"""),"https://azizstan.net/student_image/24854.jpg")</f>
        <v>https://azizstan.net/student_image/24854.jpg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>
      <c r="A1346" s="3" t="str">
        <f>IFERROR(__xludf.DUMMYFUNCTION("""COMPUTED_VALUE"""),"24878")</f>
        <v>24878</v>
      </c>
      <c r="B1346" s="3" t="str">
        <f>IFERROR(__xludf.DUMMYFUNCTION("""COMPUTED_VALUE"""),"ด.ญ.อาวาติฟ เจะบือราเฮง")</f>
        <v>ด.ญ.อาวาติฟ เจะบือราเฮง</v>
      </c>
      <c r="C1346" s="3" t="str">
        <f>IFERROR(__xludf.DUMMYFUNCTION("""COMPUTED_VALUE"""),"ม.3/11")</f>
        <v>ม.3/11</v>
      </c>
      <c r="D1346" s="3" t="str">
        <f>IFERROR(__xludf.DUMMYFUNCTION("""COMPUTED_VALUE"""),"อก.3/11")</f>
        <v>อก.3/11</v>
      </c>
      <c r="E1346" s="2" t="str">
        <f>IFERROR(__xludf.DUMMYFUNCTION("""COMPUTED_VALUE"""),"หญิง")</f>
        <v>หญิง</v>
      </c>
      <c r="F1346" s="5" t="str">
        <f>IFERROR(__xludf.DUMMYFUNCTION("""COMPUTED_VALUE"""),"https://azizstan.net/student_image/24878.jpg")</f>
        <v>https://azizstan.net/student_image/24878.jpg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>
      <c r="A1347" s="3" t="str">
        <f>IFERROR(__xludf.DUMMYFUNCTION("""COMPUTED_VALUE"""),"24882")</f>
        <v>24882</v>
      </c>
      <c r="B1347" s="3" t="str">
        <f>IFERROR(__xludf.DUMMYFUNCTION("""COMPUTED_VALUE"""),"ด.ญ.รัยญาน แลแร")</f>
        <v>ด.ญ.รัยญาน แลแร</v>
      </c>
      <c r="C1347" s="3" t="str">
        <f>IFERROR(__xludf.DUMMYFUNCTION("""COMPUTED_VALUE"""),"ม.3/11")</f>
        <v>ม.3/11</v>
      </c>
      <c r="D1347" s="3" t="str">
        <f>IFERROR(__xludf.DUMMYFUNCTION("""COMPUTED_VALUE"""),"อก.3/11")</f>
        <v>อก.3/11</v>
      </c>
      <c r="E1347" s="2" t="str">
        <f>IFERROR(__xludf.DUMMYFUNCTION("""COMPUTED_VALUE"""),"หญิง")</f>
        <v>หญิง</v>
      </c>
      <c r="F1347" s="5" t="str">
        <f>IFERROR(__xludf.DUMMYFUNCTION("""COMPUTED_VALUE"""),"https://azizstan.net/student_image/24882.jpg")</f>
        <v>https://azizstan.net/student_image/24882.jpg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>
      <c r="A1348" s="3" t="str">
        <f>IFERROR(__xludf.DUMMYFUNCTION("""COMPUTED_VALUE"""),"24919")</f>
        <v>24919</v>
      </c>
      <c r="B1348" s="3" t="str">
        <f>IFERROR(__xludf.DUMMYFUNCTION("""COMPUTED_VALUE"""),"ด.ญ.วีร์สุดา จาเละ")</f>
        <v>ด.ญ.วีร์สุดา จาเละ</v>
      </c>
      <c r="C1348" s="3" t="str">
        <f>IFERROR(__xludf.DUMMYFUNCTION("""COMPUTED_VALUE"""),"ม.3/11")</f>
        <v>ม.3/11</v>
      </c>
      <c r="D1348" s="3" t="str">
        <f>IFERROR(__xludf.DUMMYFUNCTION("""COMPUTED_VALUE"""),"อก.3/11")</f>
        <v>อก.3/11</v>
      </c>
      <c r="E1348" s="2" t="str">
        <f>IFERROR(__xludf.DUMMYFUNCTION("""COMPUTED_VALUE"""),"หญิง")</f>
        <v>หญิง</v>
      </c>
      <c r="F1348" s="5" t="str">
        <f>IFERROR(__xludf.DUMMYFUNCTION("""COMPUTED_VALUE"""),"https://azizstan.net/student_image/24919.jpg")</f>
        <v>https://azizstan.net/student_image/24919.jpg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>
      <c r="A1349" s="3" t="str">
        <f>IFERROR(__xludf.DUMMYFUNCTION("""COMPUTED_VALUE"""),"24922")</f>
        <v>24922</v>
      </c>
      <c r="B1349" s="3" t="str">
        <f>IFERROR(__xludf.DUMMYFUNCTION("""COMPUTED_VALUE"""),"ด.ช.อามีน แวดีซา")</f>
        <v>ด.ช.อามีน แวดีซา</v>
      </c>
      <c r="C1349" s="3" t="str">
        <f>IFERROR(__xludf.DUMMYFUNCTION("""COMPUTED_VALUE"""),"ม.3/11")</f>
        <v>ม.3/11</v>
      </c>
      <c r="D1349" s="3" t="str">
        <f>IFERROR(__xludf.DUMMYFUNCTION("""COMPUTED_VALUE"""),"อก.3/11")</f>
        <v>อก.3/11</v>
      </c>
      <c r="E1349" s="2" t="str">
        <f>IFERROR(__xludf.DUMMYFUNCTION("""COMPUTED_VALUE"""),"ชาย")</f>
        <v>ชาย</v>
      </c>
      <c r="F1349" s="5" t="str">
        <f>IFERROR(__xludf.DUMMYFUNCTION("""COMPUTED_VALUE"""),"https://azizstan.net/student_image/24922.jpg")</f>
        <v>https://azizstan.net/student_image/24922.jpg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>
      <c r="A1350" s="3" t="str">
        <f>IFERROR(__xludf.DUMMYFUNCTION("""COMPUTED_VALUE"""),"24937")</f>
        <v>24937</v>
      </c>
      <c r="B1350" s="3" t="str">
        <f>IFERROR(__xludf.DUMMYFUNCTION("""COMPUTED_VALUE"""),"ด.ญ.วันนูรญาวารี ดอเลาะ")</f>
        <v>ด.ญ.วันนูรญาวารี ดอเลาะ</v>
      </c>
      <c r="C1350" s="3" t="str">
        <f>IFERROR(__xludf.DUMMYFUNCTION("""COMPUTED_VALUE"""),"ม.3/11")</f>
        <v>ม.3/11</v>
      </c>
      <c r="D1350" s="3" t="str">
        <f>IFERROR(__xludf.DUMMYFUNCTION("""COMPUTED_VALUE"""),"อก.3/11")</f>
        <v>อก.3/11</v>
      </c>
      <c r="E1350" s="2" t="str">
        <f>IFERROR(__xludf.DUMMYFUNCTION("""COMPUTED_VALUE"""),"หญิง")</f>
        <v>หญิง</v>
      </c>
      <c r="F1350" s="5" t="str">
        <f>IFERROR(__xludf.DUMMYFUNCTION("""COMPUTED_VALUE"""),"https://azizstan.net/student_image/24937.jpg")</f>
        <v>https://azizstan.net/student_image/24937.jpg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>
      <c r="A1351" s="3" t="str">
        <f>IFERROR(__xludf.DUMMYFUNCTION("""COMPUTED_VALUE"""),"24946")</f>
        <v>24946</v>
      </c>
      <c r="B1351" s="3" t="str">
        <f>IFERROR(__xludf.DUMMYFUNCTION("""COMPUTED_VALUE"""),"ด.ญ.อัสฟาซาณีย์ ลาแม็ง")</f>
        <v>ด.ญ.อัสฟาซาณีย์ ลาแม็ง</v>
      </c>
      <c r="C1351" s="3" t="str">
        <f>IFERROR(__xludf.DUMMYFUNCTION("""COMPUTED_VALUE"""),"ม.3/11")</f>
        <v>ม.3/11</v>
      </c>
      <c r="D1351" s="3" t="str">
        <f>IFERROR(__xludf.DUMMYFUNCTION("""COMPUTED_VALUE"""),"อก.3/11")</f>
        <v>อก.3/11</v>
      </c>
      <c r="E1351" s="2" t="str">
        <f>IFERROR(__xludf.DUMMYFUNCTION("""COMPUTED_VALUE"""),"หญิง")</f>
        <v>หญิง</v>
      </c>
      <c r="F1351" s="5" t="str">
        <f>IFERROR(__xludf.DUMMYFUNCTION("""COMPUTED_VALUE"""),"https://azizstan.net/student_image/24946.jpg")</f>
        <v>https://azizstan.net/student_image/24946.jpg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>
      <c r="A1352" s="3" t="str">
        <f>IFERROR(__xludf.DUMMYFUNCTION("""COMPUTED_VALUE"""),"24948")</f>
        <v>24948</v>
      </c>
      <c r="B1352" s="3" t="str">
        <f>IFERROR(__xludf.DUMMYFUNCTION("""COMPUTED_VALUE"""),"ด.ญ.ตัสนีม กาซอ")</f>
        <v>ด.ญ.ตัสนีม กาซอ</v>
      </c>
      <c r="C1352" s="3" t="str">
        <f>IFERROR(__xludf.DUMMYFUNCTION("""COMPUTED_VALUE"""),"ม.3/11")</f>
        <v>ม.3/11</v>
      </c>
      <c r="D1352" s="3" t="str">
        <f>IFERROR(__xludf.DUMMYFUNCTION("""COMPUTED_VALUE"""),"อก.3/11")</f>
        <v>อก.3/11</v>
      </c>
      <c r="E1352" s="2" t="str">
        <f>IFERROR(__xludf.DUMMYFUNCTION("""COMPUTED_VALUE"""),"หญิง")</f>
        <v>หญิง</v>
      </c>
      <c r="F1352" s="5" t="str">
        <f>IFERROR(__xludf.DUMMYFUNCTION("""COMPUTED_VALUE"""),"https://azizstan.net/student_image/24948.jpg")</f>
        <v>https://azizstan.net/student_image/24948.jpg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>
      <c r="A1353" s="3" t="str">
        <f>IFERROR(__xludf.DUMMYFUNCTION("""COMPUTED_VALUE"""),"24974")</f>
        <v>24974</v>
      </c>
      <c r="B1353" s="3" t="str">
        <f>IFERROR(__xludf.DUMMYFUNCTION("""COMPUTED_VALUE"""),"ด.ญ.นุรฟิรดาว หะยีมะ")</f>
        <v>ด.ญ.นุรฟิรดาว หะยีมะ</v>
      </c>
      <c r="C1353" s="3" t="str">
        <f>IFERROR(__xludf.DUMMYFUNCTION("""COMPUTED_VALUE"""),"ม.3/11")</f>
        <v>ม.3/11</v>
      </c>
      <c r="D1353" s="3" t="str">
        <f>IFERROR(__xludf.DUMMYFUNCTION("""COMPUTED_VALUE"""),"อก.3/11")</f>
        <v>อก.3/11</v>
      </c>
      <c r="E1353" s="2" t="str">
        <f>IFERROR(__xludf.DUMMYFUNCTION("""COMPUTED_VALUE"""),"หญิง")</f>
        <v>หญิง</v>
      </c>
      <c r="F1353" s="5" t="str">
        <f>IFERROR(__xludf.DUMMYFUNCTION("""COMPUTED_VALUE"""),"https://azizstan.net/student_image/24974.jpg")</f>
        <v>https://azizstan.net/student_image/24974.jpg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>
      <c r="A1354" s="3" t="str">
        <f>IFERROR(__xludf.DUMMYFUNCTION("""COMPUTED_VALUE"""),"25007")</f>
        <v>25007</v>
      </c>
      <c r="B1354" s="3" t="str">
        <f>IFERROR(__xludf.DUMMYFUNCTION("""COMPUTED_VALUE"""),"ด.ญ.ศิรภัสสร สั่นสท้าน")</f>
        <v>ด.ญ.ศิรภัสสร สั่นสท้าน</v>
      </c>
      <c r="C1354" s="3" t="str">
        <f>IFERROR(__xludf.DUMMYFUNCTION("""COMPUTED_VALUE"""),"ม.3/11")</f>
        <v>ม.3/11</v>
      </c>
      <c r="D1354" s="3" t="str">
        <f>IFERROR(__xludf.DUMMYFUNCTION("""COMPUTED_VALUE"""),"อก.3/11")</f>
        <v>อก.3/11</v>
      </c>
      <c r="E1354" s="2" t="str">
        <f>IFERROR(__xludf.DUMMYFUNCTION("""COMPUTED_VALUE"""),"หญิง")</f>
        <v>หญิง</v>
      </c>
      <c r="F1354" s="5" t="str">
        <f>IFERROR(__xludf.DUMMYFUNCTION("""COMPUTED_VALUE"""),"https://azizstan.net/student_image/25007.jpg")</f>
        <v>https://azizstan.net/student_image/25007.jpg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>
      <c r="A1355" s="3" t="str">
        <f>IFERROR(__xludf.DUMMYFUNCTION("""COMPUTED_VALUE"""),"25040")</f>
        <v>25040</v>
      </c>
      <c r="B1355" s="3" t="str">
        <f>IFERROR(__xludf.DUMMYFUNCTION("""COMPUTED_VALUE"""),"ด.ญ.ฮัซลีน เพ็งมูซอ")</f>
        <v>ด.ญ.ฮัซลีน เพ็งมูซอ</v>
      </c>
      <c r="C1355" s="3" t="str">
        <f>IFERROR(__xludf.DUMMYFUNCTION("""COMPUTED_VALUE"""),"ม.3/11")</f>
        <v>ม.3/11</v>
      </c>
      <c r="D1355" s="3" t="str">
        <f>IFERROR(__xludf.DUMMYFUNCTION("""COMPUTED_VALUE"""),"อก.3/11")</f>
        <v>อก.3/11</v>
      </c>
      <c r="E1355" s="2" t="str">
        <f>IFERROR(__xludf.DUMMYFUNCTION("""COMPUTED_VALUE"""),"หญิง")</f>
        <v>หญิง</v>
      </c>
      <c r="F1355" s="5" t="str">
        <f>IFERROR(__xludf.DUMMYFUNCTION("""COMPUTED_VALUE"""),"https://azizstan.net/student_image/25040.jpg")</f>
        <v>https://azizstan.net/student_image/25040.jpg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>
      <c r="A1356" s="3" t="str">
        <f>IFERROR(__xludf.DUMMYFUNCTION("""COMPUTED_VALUE"""),"25085")</f>
        <v>25085</v>
      </c>
      <c r="B1356" s="3" t="str">
        <f>IFERROR(__xludf.DUMMYFUNCTION("""COMPUTED_VALUE"""),"ด.ช.อลามี โตะยิ")</f>
        <v>ด.ช.อลามี โตะยิ</v>
      </c>
      <c r="C1356" s="3" t="str">
        <f>IFERROR(__xludf.DUMMYFUNCTION("""COMPUTED_VALUE"""),"ม.3/11")</f>
        <v>ม.3/11</v>
      </c>
      <c r="D1356" s="3" t="str">
        <f>IFERROR(__xludf.DUMMYFUNCTION("""COMPUTED_VALUE"""),"อก.3/11")</f>
        <v>อก.3/11</v>
      </c>
      <c r="E1356" s="2" t="str">
        <f>IFERROR(__xludf.DUMMYFUNCTION("""COMPUTED_VALUE"""),"ชาย")</f>
        <v>ชาย</v>
      </c>
      <c r="F1356" s="5" t="str">
        <f>IFERROR(__xludf.DUMMYFUNCTION("""COMPUTED_VALUE"""),"https://azizstan.net/student_image/25085.jpg")</f>
        <v>https://azizstan.net/student_image/25085.jpg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>
      <c r="A1357" s="3" t="str">
        <f>IFERROR(__xludf.DUMMYFUNCTION("""COMPUTED_VALUE"""),"25195")</f>
        <v>25195</v>
      </c>
      <c r="B1357" s="3" t="str">
        <f>IFERROR(__xludf.DUMMYFUNCTION("""COMPUTED_VALUE"""),"ด.ญ.พิชญาภา หัดเร๊ะ")</f>
        <v>ด.ญ.พิชญาภา หัดเร๊ะ</v>
      </c>
      <c r="C1357" s="3" t="str">
        <f>IFERROR(__xludf.DUMMYFUNCTION("""COMPUTED_VALUE"""),"ม.3/11")</f>
        <v>ม.3/11</v>
      </c>
      <c r="D1357" s="3" t="str">
        <f>IFERROR(__xludf.DUMMYFUNCTION("""COMPUTED_VALUE"""),"อก.3/11")</f>
        <v>อก.3/11</v>
      </c>
      <c r="E1357" s="2" t="str">
        <f>IFERROR(__xludf.DUMMYFUNCTION("""COMPUTED_VALUE"""),"หญิง")</f>
        <v>หญิง</v>
      </c>
      <c r="F1357" s="5" t="str">
        <f>IFERROR(__xludf.DUMMYFUNCTION("""COMPUTED_VALUE"""),"https://azizstan.net/student_image/25195.jpg")</f>
        <v>https://azizstan.net/student_image/25195.jpg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>
      <c r="A1358" s="3" t="str">
        <f>IFERROR(__xludf.DUMMYFUNCTION("""COMPUTED_VALUE"""),"25200")</f>
        <v>25200</v>
      </c>
      <c r="B1358" s="3" t="str">
        <f>IFERROR(__xludf.DUMMYFUNCTION("""COMPUTED_VALUE"""),"ด.ญ.นูรฟัรฮา มะลอทิม")</f>
        <v>ด.ญ.นูรฟัรฮา มะลอทิม</v>
      </c>
      <c r="C1358" s="3" t="str">
        <f>IFERROR(__xludf.DUMMYFUNCTION("""COMPUTED_VALUE"""),"ม.3/11")</f>
        <v>ม.3/11</v>
      </c>
      <c r="D1358" s="3" t="str">
        <f>IFERROR(__xludf.DUMMYFUNCTION("""COMPUTED_VALUE"""),"อก.3/11")</f>
        <v>อก.3/11</v>
      </c>
      <c r="E1358" s="2" t="str">
        <f>IFERROR(__xludf.DUMMYFUNCTION("""COMPUTED_VALUE"""),"หญิง")</f>
        <v>หญิง</v>
      </c>
      <c r="F1358" s="5" t="str">
        <f>IFERROR(__xludf.DUMMYFUNCTION("""COMPUTED_VALUE"""),"https://azizstan.net/student_image/25200.jpg")</f>
        <v>https://azizstan.net/student_image/25200.jpg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>
      <c r="A1359" s="3" t="str">
        <f>IFERROR(__xludf.DUMMYFUNCTION("""COMPUTED_VALUE"""),"25227")</f>
        <v>25227</v>
      </c>
      <c r="B1359" s="3" t="str">
        <f>IFERROR(__xludf.DUMMYFUNCTION("""COMPUTED_VALUE"""),"ด.ญ.ปุตรีอาเลียร์ เจะแม")</f>
        <v>ด.ญ.ปุตรีอาเลียร์ เจะแม</v>
      </c>
      <c r="C1359" s="3" t="str">
        <f>IFERROR(__xludf.DUMMYFUNCTION("""COMPUTED_VALUE"""),"ม.3/11")</f>
        <v>ม.3/11</v>
      </c>
      <c r="D1359" s="3" t="str">
        <f>IFERROR(__xludf.DUMMYFUNCTION("""COMPUTED_VALUE"""),"อก.3/11")</f>
        <v>อก.3/11</v>
      </c>
      <c r="E1359" s="2" t="str">
        <f>IFERROR(__xludf.DUMMYFUNCTION("""COMPUTED_VALUE"""),"หญิง")</f>
        <v>หญิง</v>
      </c>
      <c r="F1359" s="5" t="str">
        <f>IFERROR(__xludf.DUMMYFUNCTION("""COMPUTED_VALUE"""),"https://azizstan.net/student_image/25227.jpg")</f>
        <v>https://azizstan.net/student_image/25227.jpg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>
      <c r="A1360" s="3" t="str">
        <f>IFERROR(__xludf.DUMMYFUNCTION("""COMPUTED_VALUE"""),"25283")</f>
        <v>25283</v>
      </c>
      <c r="B1360" s="3" t="str">
        <f>IFERROR(__xludf.DUMMYFUNCTION("""COMPUTED_VALUE"""),"ด.ญ.นูรุลฮูดา โตะโยะ")</f>
        <v>ด.ญ.นูรุลฮูดา โตะโยะ</v>
      </c>
      <c r="C1360" s="3" t="str">
        <f>IFERROR(__xludf.DUMMYFUNCTION("""COMPUTED_VALUE"""),"ม.3/11")</f>
        <v>ม.3/11</v>
      </c>
      <c r="D1360" s="3" t="str">
        <f>IFERROR(__xludf.DUMMYFUNCTION("""COMPUTED_VALUE"""),"อก.3/11")</f>
        <v>อก.3/11</v>
      </c>
      <c r="E1360" s="2" t="str">
        <f>IFERROR(__xludf.DUMMYFUNCTION("""COMPUTED_VALUE"""),"หญิง")</f>
        <v>หญิง</v>
      </c>
      <c r="F1360" s="5" t="str">
        <f>IFERROR(__xludf.DUMMYFUNCTION("""COMPUTED_VALUE"""),"https://azizstan.net/student_image/25283.jpg")</f>
        <v>https://azizstan.net/student_image/25283.jpg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>
      <c r="A1361" s="3" t="str">
        <f>IFERROR(__xludf.DUMMYFUNCTION("""COMPUTED_VALUE"""),"25316")</f>
        <v>25316</v>
      </c>
      <c r="B1361" s="3" t="str">
        <f>IFERROR(__xludf.DUMMYFUNCTION("""COMPUTED_VALUE"""),"ด.ช.อัฟฟาดี ทุยเลาะ")</f>
        <v>ด.ช.อัฟฟาดี ทุยเลาะ</v>
      </c>
      <c r="C1361" s="3" t="str">
        <f>IFERROR(__xludf.DUMMYFUNCTION("""COMPUTED_VALUE"""),"ม.3/11")</f>
        <v>ม.3/11</v>
      </c>
      <c r="D1361" s="3" t="str">
        <f>IFERROR(__xludf.DUMMYFUNCTION("""COMPUTED_VALUE"""),"อก.3/11")</f>
        <v>อก.3/11</v>
      </c>
      <c r="E1361" s="2" t="str">
        <f>IFERROR(__xludf.DUMMYFUNCTION("""COMPUTED_VALUE"""),"ชาย")</f>
        <v>ชาย</v>
      </c>
      <c r="F1361" s="5" t="str">
        <f>IFERROR(__xludf.DUMMYFUNCTION("""COMPUTED_VALUE"""),"https://azizstan.net/student_image/25316.jpg")</f>
        <v>https://azizstan.net/student_image/25316.jpg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>
      <c r="A1362" s="3" t="str">
        <f>IFERROR(__xludf.DUMMYFUNCTION("""COMPUTED_VALUE"""),"24001")</f>
        <v>24001</v>
      </c>
      <c r="B1362" s="3" t="str">
        <f>IFERROR(__xludf.DUMMYFUNCTION("""COMPUTED_VALUE"""),"นายมูฮำมัดนาวาวี อะมิแซ")</f>
        <v>นายมูฮำมัดนาวาวี อะมิแซ</v>
      </c>
      <c r="C1362" s="3" t="str">
        <f>IFERROR(__xludf.DUMMYFUNCTION("""COMPUTED_VALUE"""),"ม.4/1")</f>
        <v>ม.4/1</v>
      </c>
      <c r="D1362" s="3" t="str">
        <f>IFERROR(__xludf.DUMMYFUNCTION("""COMPUTED_VALUE"""),"อป.1/1")</f>
        <v>อป.1/1</v>
      </c>
      <c r="E1362" s="2" t="str">
        <f>IFERROR(__xludf.DUMMYFUNCTION("""COMPUTED_VALUE"""),"ชาย")</f>
        <v>ชาย</v>
      </c>
      <c r="F1362" s="5" t="str">
        <f>IFERROR(__xludf.DUMMYFUNCTION("""COMPUTED_VALUE"""),"https://azizstan.net/student_image/24001.jpg")</f>
        <v>https://azizstan.net/student_image/24001.jpg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>
      <c r="A1363" s="3" t="str">
        <f>IFERROR(__xludf.DUMMYFUNCTION("""COMPUTED_VALUE"""),"24062")</f>
        <v>24062</v>
      </c>
      <c r="B1363" s="3" t="str">
        <f>IFERROR(__xludf.DUMMYFUNCTION("""COMPUTED_VALUE"""),"นายมะห์ดี เจ๊ะเลาะ")</f>
        <v>นายมะห์ดี เจ๊ะเลาะ</v>
      </c>
      <c r="C1363" s="3" t="str">
        <f>IFERROR(__xludf.DUMMYFUNCTION("""COMPUTED_VALUE"""),"ม.4/1")</f>
        <v>ม.4/1</v>
      </c>
      <c r="D1363" s="3" t="str">
        <f>IFERROR(__xludf.DUMMYFUNCTION("""COMPUTED_VALUE"""),"อป.1/1")</f>
        <v>อป.1/1</v>
      </c>
      <c r="E1363" s="2" t="str">
        <f>IFERROR(__xludf.DUMMYFUNCTION("""COMPUTED_VALUE"""),"ชาย")</f>
        <v>ชาย</v>
      </c>
      <c r="F1363" s="5" t="str">
        <f>IFERROR(__xludf.DUMMYFUNCTION("""COMPUTED_VALUE"""),"https://azizstan.net/student_image/24062.jpg")</f>
        <v>https://azizstan.net/student_image/24062.jpg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>
      <c r="A1364" s="3" t="str">
        <f>IFERROR(__xludf.DUMMYFUNCTION("""COMPUTED_VALUE"""),"24124")</f>
        <v>24124</v>
      </c>
      <c r="B1364" s="3" t="str">
        <f>IFERROR(__xludf.DUMMYFUNCTION("""COMPUTED_VALUE"""),"นายบาซิล บางัดสะโระ")</f>
        <v>นายบาซิล บางัดสะโระ</v>
      </c>
      <c r="C1364" s="3" t="str">
        <f>IFERROR(__xludf.DUMMYFUNCTION("""COMPUTED_VALUE"""),"ม.4/1")</f>
        <v>ม.4/1</v>
      </c>
      <c r="D1364" s="3" t="str">
        <f>IFERROR(__xludf.DUMMYFUNCTION("""COMPUTED_VALUE"""),"อก.3/1")</f>
        <v>อก.3/1</v>
      </c>
      <c r="E1364" s="2" t="str">
        <f>IFERROR(__xludf.DUMMYFUNCTION("""COMPUTED_VALUE"""),"ชาย")</f>
        <v>ชาย</v>
      </c>
      <c r="F1364" s="5" t="str">
        <f>IFERROR(__xludf.DUMMYFUNCTION("""COMPUTED_VALUE"""),"https://azizstan.net/student_image/24124.jpg")</f>
        <v>https://azizstan.net/student_image/24124.jpg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>
      <c r="A1365" s="3" t="str">
        <f>IFERROR(__xludf.DUMMYFUNCTION("""COMPUTED_VALUE"""),"24140")</f>
        <v>24140</v>
      </c>
      <c r="B1365" s="3" t="str">
        <f>IFERROR(__xludf.DUMMYFUNCTION("""COMPUTED_VALUE"""),"นายมูฮัมหมัดนาอีม มะแอ")</f>
        <v>นายมูฮัมหมัดนาอีม มะแอ</v>
      </c>
      <c r="C1365" s="3" t="str">
        <f>IFERROR(__xludf.DUMMYFUNCTION("""COMPUTED_VALUE"""),"ม.4/1")</f>
        <v>ม.4/1</v>
      </c>
      <c r="D1365" s="3" t="str">
        <f>IFERROR(__xludf.DUMMYFUNCTION("""COMPUTED_VALUE"""),"อป.1/1")</f>
        <v>อป.1/1</v>
      </c>
      <c r="E1365" s="2" t="str">
        <f>IFERROR(__xludf.DUMMYFUNCTION("""COMPUTED_VALUE"""),"ชาย")</f>
        <v>ชาย</v>
      </c>
      <c r="F1365" s="5" t="str">
        <f>IFERROR(__xludf.DUMMYFUNCTION("""COMPUTED_VALUE"""),"https://azizstan.net/student_image/24140.jpg")</f>
        <v>https://azizstan.net/student_image/24140.jpg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>
      <c r="A1366" s="3" t="str">
        <f>IFERROR(__xludf.DUMMYFUNCTION("""COMPUTED_VALUE"""),"24146")</f>
        <v>24146</v>
      </c>
      <c r="B1366" s="3" t="str">
        <f>IFERROR(__xludf.DUMMYFUNCTION("""COMPUTED_VALUE"""),"นายอัฟริน ลาเต๊ะ")</f>
        <v>นายอัฟริน ลาเต๊ะ</v>
      </c>
      <c r="C1366" s="3" t="str">
        <f>IFERROR(__xludf.DUMMYFUNCTION("""COMPUTED_VALUE"""),"ม.4/1")</f>
        <v>ม.4/1</v>
      </c>
      <c r="D1366" s="3" t="str">
        <f>IFERROR(__xludf.DUMMYFUNCTION("""COMPUTED_VALUE"""),"อก.3/1")</f>
        <v>อก.3/1</v>
      </c>
      <c r="E1366" s="2" t="str">
        <f>IFERROR(__xludf.DUMMYFUNCTION("""COMPUTED_VALUE"""),"ชาย")</f>
        <v>ชาย</v>
      </c>
      <c r="F1366" s="5" t="str">
        <f>IFERROR(__xludf.DUMMYFUNCTION("""COMPUTED_VALUE"""),"https://azizstan.net/student_image/24146.jpg")</f>
        <v>https://azizstan.net/student_image/24146.jpg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>
      <c r="A1367" s="3" t="str">
        <f>IFERROR(__xludf.DUMMYFUNCTION("""COMPUTED_VALUE"""),"24173")</f>
        <v>24173</v>
      </c>
      <c r="B1367" s="3" t="str">
        <f>IFERROR(__xludf.DUMMYFUNCTION("""COMPUTED_VALUE"""),"นายคัสราฟีย์ สามะ")</f>
        <v>นายคัสราฟีย์ สามะ</v>
      </c>
      <c r="C1367" s="3" t="str">
        <f>IFERROR(__xludf.DUMMYFUNCTION("""COMPUTED_VALUE"""),"ม.4/1")</f>
        <v>ม.4/1</v>
      </c>
      <c r="D1367" s="3" t="str">
        <f>IFERROR(__xludf.DUMMYFUNCTION("""COMPUTED_VALUE"""),"อก.3/1")</f>
        <v>อก.3/1</v>
      </c>
      <c r="E1367" s="2" t="str">
        <f>IFERROR(__xludf.DUMMYFUNCTION("""COMPUTED_VALUE"""),"ชาย")</f>
        <v>ชาย</v>
      </c>
      <c r="F1367" s="5" t="str">
        <f>IFERROR(__xludf.DUMMYFUNCTION("""COMPUTED_VALUE"""),"https://azizstan.net/student_image/24173.jpg")</f>
        <v>https://azizstan.net/student_image/24173.jpg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>
      <c r="A1368" s="3" t="str">
        <f>IFERROR(__xludf.DUMMYFUNCTION("""COMPUTED_VALUE"""),"24210")</f>
        <v>24210</v>
      </c>
      <c r="B1368" s="3" t="str">
        <f>IFERROR(__xludf.DUMMYFUNCTION("""COMPUTED_VALUE"""),"นายอาลาวีย์ สลำเหม")</f>
        <v>นายอาลาวีย์ สลำเหม</v>
      </c>
      <c r="C1368" s="3" t="str">
        <f>IFERROR(__xludf.DUMMYFUNCTION("""COMPUTED_VALUE"""),"ม.4/1")</f>
        <v>ม.4/1</v>
      </c>
      <c r="D1368" s="3" t="str">
        <f>IFERROR(__xludf.DUMMYFUNCTION("""COMPUTED_VALUE"""),"อก.3/1")</f>
        <v>อก.3/1</v>
      </c>
      <c r="E1368" s="2" t="str">
        <f>IFERROR(__xludf.DUMMYFUNCTION("""COMPUTED_VALUE"""),"ชาย")</f>
        <v>ชาย</v>
      </c>
      <c r="F1368" s="5" t="str">
        <f>IFERROR(__xludf.DUMMYFUNCTION("""COMPUTED_VALUE"""),"https://azizstan.net/student_image/24210.jpg")</f>
        <v>https://azizstan.net/student_image/24210.jpg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>
      <c r="A1369" s="3" t="str">
        <f>IFERROR(__xludf.DUMMYFUNCTION("""COMPUTED_VALUE"""),"24212")</f>
        <v>24212</v>
      </c>
      <c r="B1369" s="3" t="str">
        <f>IFERROR(__xludf.DUMMYFUNCTION("""COMPUTED_VALUE"""),"นายฮูเซ็น เจ๊ะสะตำ")</f>
        <v>นายฮูเซ็น เจ๊ะสะตำ</v>
      </c>
      <c r="C1369" s="3" t="str">
        <f>IFERROR(__xludf.DUMMYFUNCTION("""COMPUTED_VALUE"""),"ม.4/1")</f>
        <v>ม.4/1</v>
      </c>
      <c r="D1369" s="3" t="str">
        <f>IFERROR(__xludf.DUMMYFUNCTION("""COMPUTED_VALUE"""),"อก.3/1")</f>
        <v>อก.3/1</v>
      </c>
      <c r="E1369" s="2" t="str">
        <f>IFERROR(__xludf.DUMMYFUNCTION("""COMPUTED_VALUE"""),"ชาย")</f>
        <v>ชาย</v>
      </c>
      <c r="F1369" s="5" t="str">
        <f>IFERROR(__xludf.DUMMYFUNCTION("""COMPUTED_VALUE"""),"https://azizstan.net/student_image/24212.jpg")</f>
        <v>https://azizstan.net/student_image/24212.jpg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>
      <c r="A1370" s="3" t="str">
        <f>IFERROR(__xludf.DUMMYFUNCTION("""COMPUTED_VALUE"""),"24252")</f>
        <v>24252</v>
      </c>
      <c r="B1370" s="3" t="str">
        <f>IFERROR(__xludf.DUMMYFUNCTION("""COMPUTED_VALUE"""),"นายซารีฟ อาแว")</f>
        <v>นายซารีฟ อาแว</v>
      </c>
      <c r="C1370" s="3" t="str">
        <f>IFERROR(__xludf.DUMMYFUNCTION("""COMPUTED_VALUE"""),"ม.4/1")</f>
        <v>ม.4/1</v>
      </c>
      <c r="D1370" s="3" t="str">
        <f>IFERROR(__xludf.DUMMYFUNCTION("""COMPUTED_VALUE"""),"อป.1/1")</f>
        <v>อป.1/1</v>
      </c>
      <c r="E1370" s="2" t="str">
        <f>IFERROR(__xludf.DUMMYFUNCTION("""COMPUTED_VALUE"""),"ชาย")</f>
        <v>ชาย</v>
      </c>
      <c r="F1370" s="5" t="str">
        <f>IFERROR(__xludf.DUMMYFUNCTION("""COMPUTED_VALUE"""),"https://azizstan.net/student_image/24252.jpg")</f>
        <v>https://azizstan.net/student_image/24252.jpg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>
      <c r="A1371" s="3" t="str">
        <f>IFERROR(__xludf.DUMMYFUNCTION("""COMPUTED_VALUE"""),"24324")</f>
        <v>24324</v>
      </c>
      <c r="B1371" s="3" t="str">
        <f>IFERROR(__xludf.DUMMYFUNCTION("""COMPUTED_VALUE"""),"นายอาริฟ บินสือนิ")</f>
        <v>นายอาริฟ บินสือนิ</v>
      </c>
      <c r="C1371" s="3" t="str">
        <f>IFERROR(__xludf.DUMMYFUNCTION("""COMPUTED_VALUE"""),"ม.4/1")</f>
        <v>ม.4/1</v>
      </c>
      <c r="D1371" s="3" t="str">
        <f>IFERROR(__xludf.DUMMYFUNCTION("""COMPUTED_VALUE"""),"อป.1/1")</f>
        <v>อป.1/1</v>
      </c>
      <c r="E1371" s="2" t="str">
        <f>IFERROR(__xludf.DUMMYFUNCTION("""COMPUTED_VALUE"""),"ชาย")</f>
        <v>ชาย</v>
      </c>
      <c r="F1371" s="5" t="str">
        <f>IFERROR(__xludf.DUMMYFUNCTION("""COMPUTED_VALUE"""),"https://azizstan.net/student_image/24324.jpg")</f>
        <v>https://azizstan.net/student_image/24324.jpg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>
      <c r="A1372" s="3" t="str">
        <f>IFERROR(__xludf.DUMMYFUNCTION("""COMPUTED_VALUE"""),"24329")</f>
        <v>24329</v>
      </c>
      <c r="B1372" s="3" t="str">
        <f>IFERROR(__xludf.DUMMYFUNCTION("""COMPUTED_VALUE"""),"นายซาวีร สำเร")</f>
        <v>นายซาวีร สำเร</v>
      </c>
      <c r="C1372" s="3" t="str">
        <f>IFERROR(__xludf.DUMMYFUNCTION("""COMPUTED_VALUE"""),"ม.4/1")</f>
        <v>ม.4/1</v>
      </c>
      <c r="D1372" s="3" t="str">
        <f>IFERROR(__xludf.DUMMYFUNCTION("""COMPUTED_VALUE"""),"อป.1/1")</f>
        <v>อป.1/1</v>
      </c>
      <c r="E1372" s="2" t="str">
        <f>IFERROR(__xludf.DUMMYFUNCTION("""COMPUTED_VALUE"""),"ชาย")</f>
        <v>ชาย</v>
      </c>
      <c r="F1372" s="5" t="str">
        <f>IFERROR(__xludf.DUMMYFUNCTION("""COMPUTED_VALUE"""),"https://azizstan.net/student_image/24329.jpg")</f>
        <v>https://azizstan.net/student_image/24329.jpg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>
      <c r="A1373" s="3" t="str">
        <f>IFERROR(__xludf.DUMMYFUNCTION("""COMPUTED_VALUE"""),"24330")</f>
        <v>24330</v>
      </c>
      <c r="B1373" s="3" t="str">
        <f>IFERROR(__xludf.DUMMYFUNCTION("""COMPUTED_VALUE"""),"นายซูฟัร สำเร")</f>
        <v>นายซูฟัร สำเร</v>
      </c>
      <c r="C1373" s="3" t="str">
        <f>IFERROR(__xludf.DUMMYFUNCTION("""COMPUTED_VALUE"""),"ม.4/1")</f>
        <v>ม.4/1</v>
      </c>
      <c r="D1373" s="3" t="str">
        <f>IFERROR(__xludf.DUMMYFUNCTION("""COMPUTED_VALUE"""),"อป.1/1")</f>
        <v>อป.1/1</v>
      </c>
      <c r="E1373" s="2" t="str">
        <f>IFERROR(__xludf.DUMMYFUNCTION("""COMPUTED_VALUE"""),"ชาย")</f>
        <v>ชาย</v>
      </c>
      <c r="F1373" s="5" t="str">
        <f>IFERROR(__xludf.DUMMYFUNCTION("""COMPUTED_VALUE"""),"https://azizstan.net/student_image/24330.jpg")</f>
        <v>https://azizstan.net/student_image/24330.jpg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>
      <c r="A1374" s="3" t="str">
        <f>IFERROR(__xludf.DUMMYFUNCTION("""COMPUTED_VALUE"""),"24333")</f>
        <v>24333</v>
      </c>
      <c r="B1374" s="3" t="str">
        <f>IFERROR(__xludf.DUMMYFUNCTION("""COMPUTED_VALUE"""),"นายปรมัตถ์ ราศรีพฤกษ์")</f>
        <v>นายปรมัตถ์ ราศรีพฤกษ์</v>
      </c>
      <c r="C1374" s="3" t="str">
        <f>IFERROR(__xludf.DUMMYFUNCTION("""COMPUTED_VALUE"""),"ม.4/1")</f>
        <v>ม.4/1</v>
      </c>
      <c r="D1374" s="3" t="str">
        <f>IFERROR(__xludf.DUMMYFUNCTION("""COMPUTED_VALUE"""),"อก.3/1")</f>
        <v>อก.3/1</v>
      </c>
      <c r="E1374" s="2" t="str">
        <f>IFERROR(__xludf.DUMMYFUNCTION("""COMPUTED_VALUE"""),"ชาย")</f>
        <v>ชาย</v>
      </c>
      <c r="F1374" s="5" t="str">
        <f>IFERROR(__xludf.DUMMYFUNCTION("""COMPUTED_VALUE"""),"https://azizstan.net/student_image/24333.jpg")</f>
        <v>https://azizstan.net/student_image/24333.jpg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>
      <c r="A1375" s="3" t="str">
        <f>IFERROR(__xludf.DUMMYFUNCTION("""COMPUTED_VALUE"""),"24350")</f>
        <v>24350</v>
      </c>
      <c r="B1375" s="3" t="str">
        <f>IFERROR(__xludf.DUMMYFUNCTION("""COMPUTED_VALUE"""),"นายลุอัย นิตีเมาะ")</f>
        <v>นายลุอัย นิตีเมาะ</v>
      </c>
      <c r="C1375" s="3" t="str">
        <f>IFERROR(__xludf.DUMMYFUNCTION("""COMPUTED_VALUE"""),"ม.4/1")</f>
        <v>ม.4/1</v>
      </c>
      <c r="D1375" s="3" t="str">
        <f>IFERROR(__xludf.DUMMYFUNCTION("""COMPUTED_VALUE"""),"อป.1/1")</f>
        <v>อป.1/1</v>
      </c>
      <c r="E1375" s="2" t="str">
        <f>IFERROR(__xludf.DUMMYFUNCTION("""COMPUTED_VALUE"""),"ชาย")</f>
        <v>ชาย</v>
      </c>
      <c r="F1375" s="5" t="str">
        <f>IFERROR(__xludf.DUMMYFUNCTION("""COMPUTED_VALUE"""),"https://azizstan.net/student_image/24350.jpg")</f>
        <v>https://azizstan.net/student_image/24350.jpg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>
      <c r="A1376" s="3" t="str">
        <f>IFERROR(__xludf.DUMMYFUNCTION("""COMPUTED_VALUE"""),"24413")</f>
        <v>24413</v>
      </c>
      <c r="B1376" s="3" t="str">
        <f>IFERROR(__xludf.DUMMYFUNCTION("""COMPUTED_VALUE"""),"นายสอฟวัณ ภักดีรัตนางกูร")</f>
        <v>นายสอฟวัณ ภักดีรัตนางกูร</v>
      </c>
      <c r="C1376" s="3" t="str">
        <f>IFERROR(__xludf.DUMMYFUNCTION("""COMPUTED_VALUE"""),"ม.4/1")</f>
        <v>ม.4/1</v>
      </c>
      <c r="D1376" s="3" t="str">
        <f>IFERROR(__xludf.DUMMYFUNCTION("""COMPUTED_VALUE"""),"อก.3/1")</f>
        <v>อก.3/1</v>
      </c>
      <c r="E1376" s="2" t="str">
        <f>IFERROR(__xludf.DUMMYFUNCTION("""COMPUTED_VALUE"""),"ชาย")</f>
        <v>ชาย</v>
      </c>
      <c r="F1376" s="5" t="str">
        <f>IFERROR(__xludf.DUMMYFUNCTION("""COMPUTED_VALUE"""),"https://azizstan.net/student_image/24413.jpg")</f>
        <v>https://azizstan.net/student_image/24413.jpg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>
      <c r="A1377" s="3" t="str">
        <f>IFERROR(__xludf.DUMMYFUNCTION("""COMPUTED_VALUE"""),"24486")</f>
        <v>24486</v>
      </c>
      <c r="B1377" s="3" t="str">
        <f>IFERROR(__xludf.DUMMYFUNCTION("""COMPUTED_VALUE"""),"นายมุสลิม ยุโสะ")</f>
        <v>นายมุสลิม ยุโสะ</v>
      </c>
      <c r="C1377" s="3" t="str">
        <f>IFERROR(__xludf.DUMMYFUNCTION("""COMPUTED_VALUE"""),"ม.4/1")</f>
        <v>ม.4/1</v>
      </c>
      <c r="D1377" s="3" t="str">
        <f>IFERROR(__xludf.DUMMYFUNCTION("""COMPUTED_VALUE"""),"อก.3/1")</f>
        <v>อก.3/1</v>
      </c>
      <c r="E1377" s="2" t="str">
        <f>IFERROR(__xludf.DUMMYFUNCTION("""COMPUTED_VALUE"""),"ชาย")</f>
        <v>ชาย</v>
      </c>
      <c r="F1377" s="5" t="str">
        <f>IFERROR(__xludf.DUMMYFUNCTION("""COMPUTED_VALUE"""),"https://azizstan.net/student_image/24486.jpg")</f>
        <v>https://azizstan.net/student_image/24486.jpg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>
      <c r="A1378" s="3" t="str">
        <f>IFERROR(__xludf.DUMMYFUNCTION("""COMPUTED_VALUE"""),"24541")</f>
        <v>24541</v>
      </c>
      <c r="B1378" s="3" t="str">
        <f>IFERROR(__xludf.DUMMYFUNCTION("""COMPUTED_VALUE"""),"นายรุซดาน สาแล๊ะหมิน")</f>
        <v>นายรุซดาน สาแล๊ะหมิน</v>
      </c>
      <c r="C1378" s="3" t="str">
        <f>IFERROR(__xludf.DUMMYFUNCTION("""COMPUTED_VALUE"""),"ม.4/1")</f>
        <v>ม.4/1</v>
      </c>
      <c r="D1378" s="3" t="str">
        <f>IFERROR(__xludf.DUMMYFUNCTION("""COMPUTED_VALUE"""),"อป.1/1")</f>
        <v>อป.1/1</v>
      </c>
      <c r="E1378" s="2" t="str">
        <f>IFERROR(__xludf.DUMMYFUNCTION("""COMPUTED_VALUE"""),"ชาย")</f>
        <v>ชาย</v>
      </c>
      <c r="F1378" s="5" t="str">
        <f>IFERROR(__xludf.DUMMYFUNCTION("""COMPUTED_VALUE"""),"https://azizstan.net/student_image/24541.jpg")</f>
        <v>https://azizstan.net/student_image/24541.jpg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>
      <c r="A1379" s="3" t="str">
        <f>IFERROR(__xludf.DUMMYFUNCTION("""COMPUTED_VALUE"""),"24556")</f>
        <v>24556</v>
      </c>
      <c r="B1379" s="3" t="str">
        <f>IFERROR(__xludf.DUMMYFUNCTION("""COMPUTED_VALUE"""),"นายมูฮัมหมัดอำรีน มะเซ็ง")</f>
        <v>นายมูฮัมหมัดอำรีน มะเซ็ง</v>
      </c>
      <c r="C1379" s="3" t="str">
        <f>IFERROR(__xludf.DUMMYFUNCTION("""COMPUTED_VALUE"""),"ม.4/1")</f>
        <v>ม.4/1</v>
      </c>
      <c r="D1379" s="3" t="str">
        <f>IFERROR(__xludf.DUMMYFUNCTION("""COMPUTED_VALUE"""),"อป.1/1")</f>
        <v>อป.1/1</v>
      </c>
      <c r="E1379" s="2" t="str">
        <f>IFERROR(__xludf.DUMMYFUNCTION("""COMPUTED_VALUE"""),"ชาย")</f>
        <v>ชาย</v>
      </c>
      <c r="F1379" s="5" t="str">
        <f>IFERROR(__xludf.DUMMYFUNCTION("""COMPUTED_VALUE"""),"https://azizstan.net/student_image/24556.jpg")</f>
        <v>https://azizstan.net/student_image/24556.jpg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>
      <c r="A1380" s="3" t="str">
        <f>IFERROR(__xludf.DUMMYFUNCTION("""COMPUTED_VALUE"""),"24563")</f>
        <v>24563</v>
      </c>
      <c r="B1380" s="3" t="str">
        <f>IFERROR(__xludf.DUMMYFUNCTION("""COMPUTED_VALUE"""),"นายอารีฟีน เจะแม")</f>
        <v>นายอารีฟีน เจะแม</v>
      </c>
      <c r="C1380" s="3" t="str">
        <f>IFERROR(__xludf.DUMMYFUNCTION("""COMPUTED_VALUE"""),"ม.4/1")</f>
        <v>ม.4/1</v>
      </c>
      <c r="D1380" s="3" t="str">
        <f>IFERROR(__xludf.DUMMYFUNCTION("""COMPUTED_VALUE"""),"อป.1/1")</f>
        <v>อป.1/1</v>
      </c>
      <c r="E1380" s="2" t="str">
        <f>IFERROR(__xludf.DUMMYFUNCTION("""COMPUTED_VALUE"""),"ชาย")</f>
        <v>ชาย</v>
      </c>
      <c r="F1380" s="5" t="str">
        <f>IFERROR(__xludf.DUMMYFUNCTION("""COMPUTED_VALUE"""),"https://azizstan.net/student_image/24563.jpg")</f>
        <v>https://azizstan.net/student_image/24563.jpg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>
      <c r="A1381" s="3" t="str">
        <f>IFERROR(__xludf.DUMMYFUNCTION("""COMPUTED_VALUE"""),"24578")</f>
        <v>24578</v>
      </c>
      <c r="B1381" s="3" t="str">
        <f>IFERROR(__xludf.DUMMYFUNCTION("""COMPUTED_VALUE"""),"นายบัฎรี มะ")</f>
        <v>นายบัฎรี มะ</v>
      </c>
      <c r="C1381" s="3" t="str">
        <f>IFERROR(__xludf.DUMMYFUNCTION("""COMPUTED_VALUE"""),"ม.4/1")</f>
        <v>ม.4/1</v>
      </c>
      <c r="D1381" s="3" t="str">
        <f>IFERROR(__xludf.DUMMYFUNCTION("""COMPUTED_VALUE"""),"อก.3/1")</f>
        <v>อก.3/1</v>
      </c>
      <c r="E1381" s="2" t="str">
        <f>IFERROR(__xludf.DUMMYFUNCTION("""COMPUTED_VALUE"""),"ชาย")</f>
        <v>ชาย</v>
      </c>
      <c r="F1381" s="5" t="str">
        <f>IFERROR(__xludf.DUMMYFUNCTION("""COMPUTED_VALUE"""),"https://azizstan.net/student_image/24578.jpg")</f>
        <v>https://azizstan.net/student_image/24578.jpg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>
      <c r="A1382" s="3" t="str">
        <f>IFERROR(__xludf.DUMMYFUNCTION("""COMPUTED_VALUE"""),"26147")</f>
        <v>26147</v>
      </c>
      <c r="B1382" s="3" t="str">
        <f>IFERROR(__xludf.DUMMYFUNCTION("""COMPUTED_VALUE"""),"นายฟิตดุลยา เจ๊ะหะ")</f>
        <v>นายฟิตดุลยา เจ๊ะหะ</v>
      </c>
      <c r="C1382" s="3" t="str">
        <f>IFERROR(__xludf.DUMMYFUNCTION("""COMPUTED_VALUE"""),"ม.4/1")</f>
        <v>ม.4/1</v>
      </c>
      <c r="D1382" s="3" t="str">
        <f>IFERROR(__xludf.DUMMYFUNCTION("""COMPUTED_VALUE"""),"อก.1/1")</f>
        <v>อก.1/1</v>
      </c>
      <c r="E1382" s="2" t="str">
        <f>IFERROR(__xludf.DUMMYFUNCTION("""COMPUTED_VALUE"""),"ชาย")</f>
        <v>ชาย</v>
      </c>
      <c r="F1382" s="5" t="str">
        <f>IFERROR(__xludf.DUMMYFUNCTION("""COMPUTED_VALUE"""),"https://azizstan.net/student_image/26147.jpg")</f>
        <v>https://azizstan.net/student_image/26147.jpg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>
      <c r="A1383" s="3" t="str">
        <f>IFERROR(__xludf.DUMMYFUNCTION("""COMPUTED_VALUE"""),"26188")</f>
        <v>26188</v>
      </c>
      <c r="B1383" s="3" t="str">
        <f>IFERROR(__xludf.DUMMYFUNCTION("""COMPUTED_VALUE"""),"นายทฤษฎี เวาะเซ็ง")</f>
        <v>นายทฤษฎี เวาะเซ็ง</v>
      </c>
      <c r="C1383" s="3" t="str">
        <f>IFERROR(__xludf.DUMMYFUNCTION("""COMPUTED_VALUE"""),"ม.4/1")</f>
        <v>ม.4/1</v>
      </c>
      <c r="D1383" s="3" t="str">
        <f>IFERROR(__xludf.DUMMYFUNCTION("""COMPUTED_VALUE"""),"อป.1/1")</f>
        <v>อป.1/1</v>
      </c>
      <c r="E1383" s="2" t="str">
        <f>IFERROR(__xludf.DUMMYFUNCTION("""COMPUTED_VALUE"""),"ชาย")</f>
        <v>ชาย</v>
      </c>
      <c r="F1383" s="5" t="str">
        <f>IFERROR(__xludf.DUMMYFUNCTION("""COMPUTED_VALUE"""),"https://azizstan.net/student_image/26188.jpg")</f>
        <v>https://azizstan.net/student_image/26188.jpg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>
      <c r="A1384" s="3" t="str">
        <f>IFERROR(__xludf.DUMMYFUNCTION("""COMPUTED_VALUE"""),"26231")</f>
        <v>26231</v>
      </c>
      <c r="B1384" s="3" t="str">
        <f>IFERROR(__xludf.DUMMYFUNCTION("""COMPUTED_VALUE"""),"นายมูฮัมหมัดอิมรอน คาเดร์")</f>
        <v>นายมูฮัมหมัดอิมรอน คาเดร์</v>
      </c>
      <c r="C1384" s="3" t="str">
        <f>IFERROR(__xludf.DUMMYFUNCTION("""COMPUTED_VALUE"""),"ม.4/1")</f>
        <v>ม.4/1</v>
      </c>
      <c r="D1384" s="3" t="str">
        <f>IFERROR(__xludf.DUMMYFUNCTION("""COMPUTED_VALUE"""),"อป.1/1")</f>
        <v>อป.1/1</v>
      </c>
      <c r="E1384" s="2" t="str">
        <f>IFERROR(__xludf.DUMMYFUNCTION("""COMPUTED_VALUE"""),"ชาย")</f>
        <v>ชาย</v>
      </c>
      <c r="F1384" s="5" t="str">
        <f>IFERROR(__xludf.DUMMYFUNCTION("""COMPUTED_VALUE"""),"https://azizstan.net/student_image/26231.jpg")</f>
        <v>https://azizstan.net/student_image/26231.jpg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>
      <c r="A1385" s="3" t="str">
        <f>IFERROR(__xludf.DUMMYFUNCTION("""COMPUTED_VALUE"""),"26441")</f>
        <v>26441</v>
      </c>
      <c r="B1385" s="3" t="str">
        <f>IFERROR(__xludf.DUMMYFUNCTION("""COMPUTED_VALUE"""),"นายอะฟันดี อะปิเซ็ง")</f>
        <v>นายอะฟันดี อะปิเซ็ง</v>
      </c>
      <c r="C1385" s="3" t="str">
        <f>IFERROR(__xludf.DUMMYFUNCTION("""COMPUTED_VALUE"""),"ม.4/1")</f>
        <v>ม.4/1</v>
      </c>
      <c r="D1385" s="3" t="str">
        <f>IFERROR(__xludf.DUMMYFUNCTION("""COMPUTED_VALUE"""),"อป.1/1")</f>
        <v>อป.1/1</v>
      </c>
      <c r="E1385" s="2" t="str">
        <f>IFERROR(__xludf.DUMMYFUNCTION("""COMPUTED_VALUE"""),"ชาย")</f>
        <v>ชาย</v>
      </c>
      <c r="F1385" s="5" t="str">
        <f>IFERROR(__xludf.DUMMYFUNCTION("""COMPUTED_VALUE"""),"https://azizstan.net/student_image/26441.jpg")</f>
        <v>https://azizstan.net/student_image/26441.jpg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>
      <c r="A1386" s="3" t="str">
        <f>IFERROR(__xludf.DUMMYFUNCTION("""COMPUTED_VALUE"""),"26683")</f>
        <v>26683</v>
      </c>
      <c r="B1386" s="3" t="str">
        <f>IFERROR(__xludf.DUMMYFUNCTION("""COMPUTED_VALUE"""),"นายสิทธิพร พิมพกุล")</f>
        <v>นายสิทธิพร พิมพกุล</v>
      </c>
      <c r="C1386" s="3" t="str">
        <f>IFERROR(__xludf.DUMMYFUNCTION("""COMPUTED_VALUE"""),"ม.4/1")</f>
        <v>ม.4/1</v>
      </c>
      <c r="D1386" s="3" t="str">
        <f>IFERROR(__xludf.DUMMYFUNCTION("""COMPUTED_VALUE"""),"อก.1/1")</f>
        <v>อก.1/1</v>
      </c>
      <c r="E1386" s="2" t="str">
        <f>IFERROR(__xludf.DUMMYFUNCTION("""COMPUTED_VALUE"""),"ชาย")</f>
        <v>ชาย</v>
      </c>
      <c r="F1386" s="5" t="str">
        <f>IFERROR(__xludf.DUMMYFUNCTION("""COMPUTED_VALUE"""),"https://azizstan.net/student_image/26683.jpg")</f>
        <v>https://azizstan.net/student_image/26683.jpg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>
      <c r="A1387" s="3" t="str">
        <f>IFERROR(__xludf.DUMMYFUNCTION("""COMPUTED_VALUE"""),"26782")</f>
        <v>26782</v>
      </c>
      <c r="B1387" s="3" t="str">
        <f>IFERROR(__xludf.DUMMYFUNCTION("""COMPUTED_VALUE"""),"นายอนัส เจะหมาด")</f>
        <v>นายอนัส เจะหมาด</v>
      </c>
      <c r="C1387" s="3" t="str">
        <f>IFERROR(__xludf.DUMMYFUNCTION("""COMPUTED_VALUE"""),"ม.4/1")</f>
        <v>ม.4/1</v>
      </c>
      <c r="D1387" s="3" t="str">
        <f>IFERROR(__xludf.DUMMYFUNCTION("""COMPUTED_VALUE"""),"อป.1/1")</f>
        <v>อป.1/1</v>
      </c>
      <c r="E1387" s="2" t="str">
        <f>IFERROR(__xludf.DUMMYFUNCTION("""COMPUTED_VALUE"""),"ชาย")</f>
        <v>ชาย</v>
      </c>
      <c r="F1387" s="5" t="str">
        <f>IFERROR(__xludf.DUMMYFUNCTION("""COMPUTED_VALUE"""),"https://azizstan.net/student_image/26782.jpg")</f>
        <v>https://azizstan.net/student_image/26782.jpg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>
      <c r="A1388" s="3" t="str">
        <f>IFERROR(__xludf.DUMMYFUNCTION("""COMPUTED_VALUE"""),"24145")</f>
        <v>24145</v>
      </c>
      <c r="B1388" s="3" t="str">
        <f>IFERROR(__xludf.DUMMYFUNCTION("""COMPUTED_VALUE"""),"นายฟุรกอน ปูซู")</f>
        <v>นายฟุรกอน ปูซู</v>
      </c>
      <c r="C1388" s="3" t="str">
        <f>IFERROR(__xludf.DUMMYFUNCTION("""COMPUTED_VALUE"""),"ม.4/2")</f>
        <v>ม.4/2</v>
      </c>
      <c r="D1388" s="3" t="str">
        <f>IFERROR(__xludf.DUMMYFUNCTION("""COMPUTED_VALUE"""),"อก.3/4")</f>
        <v>อก.3/4</v>
      </c>
      <c r="E1388" s="2" t="str">
        <f>IFERROR(__xludf.DUMMYFUNCTION("""COMPUTED_VALUE"""),"ชาย")</f>
        <v>ชาย</v>
      </c>
      <c r="F1388" s="5" t="str">
        <f>IFERROR(__xludf.DUMMYFUNCTION("""COMPUTED_VALUE"""),"https://azizstan.net/student_image/24145.jpg")</f>
        <v>https://azizstan.net/student_image/24145.jpg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>
      <c r="A1389" s="3" t="str">
        <f>IFERROR(__xludf.DUMMYFUNCTION("""COMPUTED_VALUE"""),"24149")</f>
        <v>24149</v>
      </c>
      <c r="B1389" s="3" t="str">
        <f>IFERROR(__xludf.DUMMYFUNCTION("""COMPUTED_VALUE"""),"นายฟัรฮาน ดอเลาะ")</f>
        <v>นายฟัรฮาน ดอเลาะ</v>
      </c>
      <c r="C1389" s="3" t="str">
        <f>IFERROR(__xludf.DUMMYFUNCTION("""COMPUTED_VALUE"""),"ม.4/2")</f>
        <v>ม.4/2</v>
      </c>
      <c r="D1389" s="3" t="str">
        <f>IFERROR(__xludf.DUMMYFUNCTION("""COMPUTED_VALUE"""),"อก.3/4")</f>
        <v>อก.3/4</v>
      </c>
      <c r="E1389" s="2" t="str">
        <f>IFERROR(__xludf.DUMMYFUNCTION("""COMPUTED_VALUE"""),"ชาย")</f>
        <v>ชาย</v>
      </c>
      <c r="F1389" s="5" t="str">
        <f>IFERROR(__xludf.DUMMYFUNCTION("""COMPUTED_VALUE"""),"https://azizstan.net/student_image/24149.jpg")</f>
        <v>https://azizstan.net/student_image/24149.jpg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>
      <c r="A1390" s="3" t="str">
        <f>IFERROR(__xludf.DUMMYFUNCTION("""COMPUTED_VALUE"""),"24166")</f>
        <v>24166</v>
      </c>
      <c r="B1390" s="3" t="str">
        <f>IFERROR(__xludf.DUMMYFUNCTION("""COMPUTED_VALUE"""),"นายฮัมรีย์ แวเตะ")</f>
        <v>นายฮัมรีย์ แวเตะ</v>
      </c>
      <c r="C1390" s="3" t="str">
        <f>IFERROR(__xludf.DUMMYFUNCTION("""COMPUTED_VALUE"""),"ม.4/2")</f>
        <v>ม.4/2</v>
      </c>
      <c r="D1390" s="3" t="str">
        <f>IFERROR(__xludf.DUMMYFUNCTION("""COMPUTED_VALUE"""),"อก.3/4")</f>
        <v>อก.3/4</v>
      </c>
      <c r="E1390" s="2" t="str">
        <f>IFERROR(__xludf.DUMMYFUNCTION("""COMPUTED_VALUE"""),"ชาย")</f>
        <v>ชาย</v>
      </c>
      <c r="F1390" s="5" t="str">
        <f>IFERROR(__xludf.DUMMYFUNCTION("""COMPUTED_VALUE"""),"https://azizstan.net/student_image/24166.jpg")</f>
        <v>https://azizstan.net/student_image/24166.jpg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>
      <c r="A1391" s="3" t="str">
        <f>IFERROR(__xludf.DUMMYFUNCTION("""COMPUTED_VALUE"""),"24227")</f>
        <v>24227</v>
      </c>
      <c r="B1391" s="3" t="str">
        <f>IFERROR(__xludf.DUMMYFUNCTION("""COMPUTED_VALUE"""),"นายอีรฟาน เลาะสมาน")</f>
        <v>นายอีรฟาน เลาะสมาน</v>
      </c>
      <c r="C1391" s="3" t="str">
        <f>IFERROR(__xludf.DUMMYFUNCTION("""COMPUTED_VALUE"""),"ม.4/2")</f>
        <v>ม.4/2</v>
      </c>
      <c r="D1391" s="3" t="str">
        <f>IFERROR(__xludf.DUMMYFUNCTION("""COMPUTED_VALUE"""),"อก.3/4")</f>
        <v>อก.3/4</v>
      </c>
      <c r="E1391" s="2" t="str">
        <f>IFERROR(__xludf.DUMMYFUNCTION("""COMPUTED_VALUE"""),"ชาย")</f>
        <v>ชาย</v>
      </c>
      <c r="F1391" s="5" t="str">
        <f>IFERROR(__xludf.DUMMYFUNCTION("""COMPUTED_VALUE"""),"https://azizstan.net/student_image/24227.jpg")</f>
        <v>https://azizstan.net/student_image/24227.jpg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>
      <c r="A1392" s="3" t="str">
        <f>IFERROR(__xludf.DUMMYFUNCTION("""COMPUTED_VALUE"""),"24289")</f>
        <v>24289</v>
      </c>
      <c r="B1392" s="3" t="str">
        <f>IFERROR(__xludf.DUMMYFUNCTION("""COMPUTED_VALUE"""),"นายมูฮัมหมัดนีซัมมุดดีน อามะ")</f>
        <v>นายมูฮัมหมัดนีซัมมุดดีน อามะ</v>
      </c>
      <c r="C1392" s="3" t="str">
        <f>IFERROR(__xludf.DUMMYFUNCTION("""COMPUTED_VALUE"""),"ม.4/2")</f>
        <v>ม.4/2</v>
      </c>
      <c r="D1392" s="3" t="str">
        <f>IFERROR(__xludf.DUMMYFUNCTION("""COMPUTED_VALUE"""),"อก.3/4")</f>
        <v>อก.3/4</v>
      </c>
      <c r="E1392" s="2" t="str">
        <f>IFERROR(__xludf.DUMMYFUNCTION("""COMPUTED_VALUE"""),"ชาย")</f>
        <v>ชาย</v>
      </c>
      <c r="F1392" s="5" t="str">
        <f>IFERROR(__xludf.DUMMYFUNCTION("""COMPUTED_VALUE"""),"https://azizstan.net/student_image/24289.jpg")</f>
        <v>https://azizstan.net/student_image/24289.jpg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>
      <c r="A1393" s="3" t="str">
        <f>IFERROR(__xludf.DUMMYFUNCTION("""COMPUTED_VALUE"""),"24323")</f>
        <v>24323</v>
      </c>
      <c r="B1393" s="3" t="str">
        <f>IFERROR(__xludf.DUMMYFUNCTION("""COMPUTED_VALUE"""),"นายมูฮัมหมัดอาฟิ ดอเลาะ")</f>
        <v>นายมูฮัมหมัดอาฟิ ดอเลาะ</v>
      </c>
      <c r="C1393" s="3" t="str">
        <f>IFERROR(__xludf.DUMMYFUNCTION("""COMPUTED_VALUE"""),"ม.4/2")</f>
        <v>ม.4/2</v>
      </c>
      <c r="D1393" s="3" t="str">
        <f>IFERROR(__xludf.DUMMYFUNCTION("""COMPUTED_VALUE"""),"อก.3/4")</f>
        <v>อก.3/4</v>
      </c>
      <c r="E1393" s="2" t="str">
        <f>IFERROR(__xludf.DUMMYFUNCTION("""COMPUTED_VALUE"""),"ชาย")</f>
        <v>ชาย</v>
      </c>
      <c r="F1393" s="5" t="str">
        <f>IFERROR(__xludf.DUMMYFUNCTION("""COMPUTED_VALUE"""),"https://azizstan.net/student_image/24323.jpg")</f>
        <v>https://azizstan.net/student_image/24323.jpg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>
      <c r="A1394" s="3" t="str">
        <f>IFERROR(__xludf.DUMMYFUNCTION("""COMPUTED_VALUE"""),"24341")</f>
        <v>24341</v>
      </c>
      <c r="B1394" s="3" t="str">
        <f>IFERROR(__xludf.DUMMYFUNCTION("""COMPUTED_VALUE"""),"นายอุสมาน แวสาและ")</f>
        <v>นายอุสมาน แวสาและ</v>
      </c>
      <c r="C1394" s="3" t="str">
        <f>IFERROR(__xludf.DUMMYFUNCTION("""COMPUTED_VALUE"""),"ม.4/2")</f>
        <v>ม.4/2</v>
      </c>
      <c r="D1394" s="3" t="str">
        <f>IFERROR(__xludf.DUMMYFUNCTION("""COMPUTED_VALUE"""),"อป.1/2")</f>
        <v>อป.1/2</v>
      </c>
      <c r="E1394" s="2" t="str">
        <f>IFERROR(__xludf.DUMMYFUNCTION("""COMPUTED_VALUE"""),"ชาย")</f>
        <v>ชาย</v>
      </c>
      <c r="F1394" s="5" t="str">
        <f>IFERROR(__xludf.DUMMYFUNCTION("""COMPUTED_VALUE"""),"https://azizstan.net/student_image/24341.jpg")</f>
        <v>https://azizstan.net/student_image/24341.jpg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>
      <c r="A1395" s="3" t="str">
        <f>IFERROR(__xludf.DUMMYFUNCTION("""COMPUTED_VALUE"""),"24349")</f>
        <v>24349</v>
      </c>
      <c r="B1395" s="3" t="str">
        <f>IFERROR(__xludf.DUMMYFUNCTION("""COMPUTED_VALUE"""),"นายนุรดีน บาเหม")</f>
        <v>นายนุรดีน บาเหม</v>
      </c>
      <c r="C1395" s="3" t="str">
        <f>IFERROR(__xludf.DUMMYFUNCTION("""COMPUTED_VALUE"""),"ม.4/2")</f>
        <v>ม.4/2</v>
      </c>
      <c r="D1395" s="3" t="str">
        <f>IFERROR(__xludf.DUMMYFUNCTION("""COMPUTED_VALUE"""),"อก.3/4")</f>
        <v>อก.3/4</v>
      </c>
      <c r="E1395" s="2" t="str">
        <f>IFERROR(__xludf.DUMMYFUNCTION("""COMPUTED_VALUE"""),"ชาย")</f>
        <v>ชาย</v>
      </c>
      <c r="F1395" s="5" t="str">
        <f>IFERROR(__xludf.DUMMYFUNCTION("""COMPUTED_VALUE"""),"https://azizstan.net/student_image/24349.jpg")</f>
        <v>https://azizstan.net/student_image/24349.jpg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>
      <c r="A1396" s="3" t="str">
        <f>IFERROR(__xludf.DUMMYFUNCTION("""COMPUTED_VALUE"""),"24372")</f>
        <v>24372</v>
      </c>
      <c r="B1396" s="3" t="str">
        <f>IFERROR(__xludf.DUMMYFUNCTION("""COMPUTED_VALUE"""),"นายฟุรกอล สาอิ")</f>
        <v>นายฟุรกอล สาอิ</v>
      </c>
      <c r="C1396" s="3" t="str">
        <f>IFERROR(__xludf.DUMMYFUNCTION("""COMPUTED_VALUE"""),"ม.4/2")</f>
        <v>ม.4/2</v>
      </c>
      <c r="D1396" s="3" t="str">
        <f>IFERROR(__xludf.DUMMYFUNCTION("""COMPUTED_VALUE"""),"อป.1/2")</f>
        <v>อป.1/2</v>
      </c>
      <c r="E1396" s="2" t="str">
        <f>IFERROR(__xludf.DUMMYFUNCTION("""COMPUTED_VALUE"""),"ชาย")</f>
        <v>ชาย</v>
      </c>
      <c r="F1396" s="5" t="str">
        <f>IFERROR(__xludf.DUMMYFUNCTION("""COMPUTED_VALUE"""),"https://azizstan.net/student_image/24372.jpg")</f>
        <v>https://azizstan.net/student_image/24372.jpg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>
      <c r="A1397" s="3" t="str">
        <f>IFERROR(__xludf.DUMMYFUNCTION("""COMPUTED_VALUE"""),"24390")</f>
        <v>24390</v>
      </c>
      <c r="B1397" s="3" t="str">
        <f>IFERROR(__xludf.DUMMYFUNCTION("""COMPUTED_VALUE"""),"นายลุกมาน ดอเล๊าะ")</f>
        <v>นายลุกมาน ดอเล๊าะ</v>
      </c>
      <c r="C1397" s="3" t="str">
        <f>IFERROR(__xludf.DUMMYFUNCTION("""COMPUTED_VALUE"""),"ม.4/2")</f>
        <v>ม.4/2</v>
      </c>
      <c r="D1397" s="3" t="str">
        <f>IFERROR(__xludf.DUMMYFUNCTION("""COMPUTED_VALUE"""),"อก.3/4")</f>
        <v>อก.3/4</v>
      </c>
      <c r="E1397" s="2" t="str">
        <f>IFERROR(__xludf.DUMMYFUNCTION("""COMPUTED_VALUE"""),"ชาย")</f>
        <v>ชาย</v>
      </c>
      <c r="F1397" s="5" t="str">
        <f>IFERROR(__xludf.DUMMYFUNCTION("""COMPUTED_VALUE"""),"https://azizstan.net/student_image/24390.jpg")</f>
        <v>https://azizstan.net/student_image/24390.jpg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>
      <c r="A1398" s="3" t="str">
        <f>IFERROR(__xludf.DUMMYFUNCTION("""COMPUTED_VALUE"""),"24398")</f>
        <v>24398</v>
      </c>
      <c r="B1398" s="3" t="str">
        <f>IFERROR(__xludf.DUMMYFUNCTION("""COMPUTED_VALUE"""),"นายอาสมี อาแว")</f>
        <v>นายอาสมี อาแว</v>
      </c>
      <c r="C1398" s="3" t="str">
        <f>IFERROR(__xludf.DUMMYFUNCTION("""COMPUTED_VALUE"""),"ม.4/2")</f>
        <v>ม.4/2</v>
      </c>
      <c r="D1398" s="3" t="str">
        <f>IFERROR(__xludf.DUMMYFUNCTION("""COMPUTED_VALUE"""),"อก.3/4")</f>
        <v>อก.3/4</v>
      </c>
      <c r="E1398" s="2" t="str">
        <f>IFERROR(__xludf.DUMMYFUNCTION("""COMPUTED_VALUE"""),"ชาย")</f>
        <v>ชาย</v>
      </c>
      <c r="F1398" s="5" t="str">
        <f>IFERROR(__xludf.DUMMYFUNCTION("""COMPUTED_VALUE"""),"https://azizstan.net/student_image/24398.jpg")</f>
        <v>https://azizstan.net/student_image/24398.jpg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>
      <c r="A1399" s="3" t="str">
        <f>IFERROR(__xludf.DUMMYFUNCTION("""COMPUTED_VALUE"""),"24414")</f>
        <v>24414</v>
      </c>
      <c r="B1399" s="3" t="str">
        <f>IFERROR(__xludf.DUMMYFUNCTION("""COMPUTED_VALUE"""),"นายอิมรอน สาเลง")</f>
        <v>นายอิมรอน สาเลง</v>
      </c>
      <c r="C1399" s="3" t="str">
        <f>IFERROR(__xludf.DUMMYFUNCTION("""COMPUTED_VALUE"""),"ม.4/2")</f>
        <v>ม.4/2</v>
      </c>
      <c r="D1399" s="3" t="str">
        <f>IFERROR(__xludf.DUMMYFUNCTION("""COMPUTED_VALUE"""),"อก.3/4")</f>
        <v>อก.3/4</v>
      </c>
      <c r="E1399" s="2" t="str">
        <f>IFERROR(__xludf.DUMMYFUNCTION("""COMPUTED_VALUE"""),"ชาย")</f>
        <v>ชาย</v>
      </c>
      <c r="F1399" s="5" t="str">
        <f>IFERROR(__xludf.DUMMYFUNCTION("""COMPUTED_VALUE"""),"https://azizstan.net/student_image/24414.jpg")</f>
        <v>https://azizstan.net/student_image/24414.jpg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>
      <c r="A1400" s="3" t="str">
        <f>IFERROR(__xludf.DUMMYFUNCTION("""COMPUTED_VALUE"""),"24427")</f>
        <v>24427</v>
      </c>
      <c r="B1400" s="3" t="str">
        <f>IFERROR(__xludf.DUMMYFUNCTION("""COMPUTED_VALUE"""),"นายอาดิล เส็นสะนา")</f>
        <v>นายอาดิล เส็นสะนา</v>
      </c>
      <c r="C1400" s="3" t="str">
        <f>IFERROR(__xludf.DUMMYFUNCTION("""COMPUTED_VALUE"""),"ม.4/2")</f>
        <v>ม.4/2</v>
      </c>
      <c r="D1400" s="3" t="str">
        <f>IFERROR(__xludf.DUMMYFUNCTION("""COMPUTED_VALUE"""),"อก.3/2")</f>
        <v>อก.3/2</v>
      </c>
      <c r="E1400" s="2" t="str">
        <f>IFERROR(__xludf.DUMMYFUNCTION("""COMPUTED_VALUE"""),"ชาย")</f>
        <v>ชาย</v>
      </c>
      <c r="F1400" s="5" t="str">
        <f>IFERROR(__xludf.DUMMYFUNCTION("""COMPUTED_VALUE"""),"https://azizstan.net/student_image/24427.jpg")</f>
        <v>https://azizstan.net/student_image/24427.jpg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>
      <c r="A1401" s="3" t="str">
        <f>IFERROR(__xludf.DUMMYFUNCTION("""COMPUTED_VALUE"""),"24519")</f>
        <v>24519</v>
      </c>
      <c r="B1401" s="3" t="str">
        <f>IFERROR(__xludf.DUMMYFUNCTION("""COMPUTED_VALUE"""),"นายสุฮัยมี มะสะ")</f>
        <v>นายสุฮัยมี มะสะ</v>
      </c>
      <c r="C1401" s="3" t="str">
        <f>IFERROR(__xludf.DUMMYFUNCTION("""COMPUTED_VALUE"""),"ม.4/2")</f>
        <v>ม.4/2</v>
      </c>
      <c r="D1401" s="3" t="str">
        <f>IFERROR(__xludf.DUMMYFUNCTION("""COMPUTED_VALUE"""),"อก.3/2")</f>
        <v>อก.3/2</v>
      </c>
      <c r="E1401" s="2" t="str">
        <f>IFERROR(__xludf.DUMMYFUNCTION("""COMPUTED_VALUE"""),"ชาย")</f>
        <v>ชาย</v>
      </c>
      <c r="F1401" s="5" t="str">
        <f>IFERROR(__xludf.DUMMYFUNCTION("""COMPUTED_VALUE"""),"https://azizstan.net/student_image/24519.jpg")</f>
        <v>https://azizstan.net/student_image/24519.jpg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>
      <c r="A1402" s="3" t="str">
        <f>IFERROR(__xludf.DUMMYFUNCTION("""COMPUTED_VALUE"""),"24540")</f>
        <v>24540</v>
      </c>
      <c r="B1402" s="3" t="str">
        <f>IFERROR(__xludf.DUMMYFUNCTION("""COMPUTED_VALUE"""),"นายซาวิตรี เจ๊ะสารี")</f>
        <v>นายซาวิตรี เจ๊ะสารี</v>
      </c>
      <c r="C1402" s="3" t="str">
        <f>IFERROR(__xludf.DUMMYFUNCTION("""COMPUTED_VALUE"""),"ม.4/2")</f>
        <v>ม.4/2</v>
      </c>
      <c r="D1402" s="3" t="str">
        <f>IFERROR(__xludf.DUMMYFUNCTION("""COMPUTED_VALUE"""),"อก.3/2")</f>
        <v>อก.3/2</v>
      </c>
      <c r="E1402" s="2" t="str">
        <f>IFERROR(__xludf.DUMMYFUNCTION("""COMPUTED_VALUE"""),"ชาย")</f>
        <v>ชาย</v>
      </c>
      <c r="F1402" s="5" t="str">
        <f>IFERROR(__xludf.DUMMYFUNCTION("""COMPUTED_VALUE"""),"https://azizstan.net/student_image/24540.jpg")</f>
        <v>https://azizstan.net/student_image/24540.jpg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>
      <c r="A1403" s="3" t="str">
        <f>IFERROR(__xludf.DUMMYFUNCTION("""COMPUTED_VALUE"""),"24546")</f>
        <v>24546</v>
      </c>
      <c r="B1403" s="3" t="str">
        <f>IFERROR(__xludf.DUMMYFUNCTION("""COMPUTED_VALUE"""),"นายนินารีฟ สะหลำหมะ")</f>
        <v>นายนินารีฟ สะหลำหมะ</v>
      </c>
      <c r="C1403" s="3" t="str">
        <f>IFERROR(__xludf.DUMMYFUNCTION("""COMPUTED_VALUE"""),"ม.4/2")</f>
        <v>ม.4/2</v>
      </c>
      <c r="D1403" s="3" t="str">
        <f>IFERROR(__xludf.DUMMYFUNCTION("""COMPUTED_VALUE"""),"อก.3/2")</f>
        <v>อก.3/2</v>
      </c>
      <c r="E1403" s="2" t="str">
        <f>IFERROR(__xludf.DUMMYFUNCTION("""COMPUTED_VALUE"""),"ชาย")</f>
        <v>ชาย</v>
      </c>
      <c r="F1403" s="5" t="str">
        <f>IFERROR(__xludf.DUMMYFUNCTION("""COMPUTED_VALUE"""),"https://azizstan.net/student_image/24546.jpg")</f>
        <v>https://azizstan.net/student_image/24546.jpg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>
      <c r="A1404" s="3" t="str">
        <f>IFERROR(__xludf.DUMMYFUNCTION("""COMPUTED_VALUE"""),"24550")</f>
        <v>24550</v>
      </c>
      <c r="B1404" s="3" t="str">
        <f>IFERROR(__xludf.DUMMYFUNCTION("""COMPUTED_VALUE"""),"นายนิมูฮัมมัดอาลาวี ยะเอะ")</f>
        <v>นายนิมูฮัมมัดอาลาวี ยะเอะ</v>
      </c>
      <c r="C1404" s="3" t="str">
        <f>IFERROR(__xludf.DUMMYFUNCTION("""COMPUTED_VALUE"""),"ม.4/2")</f>
        <v>ม.4/2</v>
      </c>
      <c r="D1404" s="3" t="str">
        <f>IFERROR(__xludf.DUMMYFUNCTION("""COMPUTED_VALUE"""),"อก.3/2")</f>
        <v>อก.3/2</v>
      </c>
      <c r="E1404" s="2" t="str">
        <f>IFERROR(__xludf.DUMMYFUNCTION("""COMPUTED_VALUE"""),"ชาย")</f>
        <v>ชาย</v>
      </c>
      <c r="F1404" s="5" t="str">
        <f>IFERROR(__xludf.DUMMYFUNCTION("""COMPUTED_VALUE"""),"https://azizstan.net/student_image/24550.jpg")</f>
        <v>https://azizstan.net/student_image/24550.jpg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>
      <c r="A1405" s="3" t="str">
        <f>IFERROR(__xludf.DUMMYFUNCTION("""COMPUTED_VALUE"""),"24571")</f>
        <v>24571</v>
      </c>
      <c r="B1405" s="3" t="str">
        <f>IFERROR(__xludf.DUMMYFUNCTION("""COMPUTED_VALUE"""),"นายอารอฟัด ดามัน")</f>
        <v>นายอารอฟัด ดามัน</v>
      </c>
      <c r="C1405" s="3" t="str">
        <f>IFERROR(__xludf.DUMMYFUNCTION("""COMPUTED_VALUE"""),"ม.4/2")</f>
        <v>ม.4/2</v>
      </c>
      <c r="D1405" s="3" t="str">
        <f>IFERROR(__xludf.DUMMYFUNCTION("""COMPUTED_VALUE"""),"อป.1/2")</f>
        <v>อป.1/2</v>
      </c>
      <c r="E1405" s="2" t="str">
        <f>IFERROR(__xludf.DUMMYFUNCTION("""COMPUTED_VALUE"""),"ชาย")</f>
        <v>ชาย</v>
      </c>
      <c r="F1405" s="5" t="str">
        <f>IFERROR(__xludf.DUMMYFUNCTION("""COMPUTED_VALUE"""),"https://azizstan.net/student_image/24571.jpg")</f>
        <v>https://azizstan.net/student_image/24571.jpg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>
      <c r="A1406" s="3" t="str">
        <f>IFERROR(__xludf.DUMMYFUNCTION("""COMPUTED_VALUE"""),"25263")</f>
        <v>25263</v>
      </c>
      <c r="B1406" s="3" t="str">
        <f>IFERROR(__xludf.DUMMYFUNCTION("""COMPUTED_VALUE"""),"นายอาดิลัน อาหวัง")</f>
        <v>นายอาดิลัน อาหวัง</v>
      </c>
      <c r="C1406" s="3" t="str">
        <f>IFERROR(__xludf.DUMMYFUNCTION("""COMPUTED_VALUE"""),"ม.4/2")</f>
        <v>ม.4/2</v>
      </c>
      <c r="D1406" s="3" t="str">
        <f>IFERROR(__xludf.DUMMYFUNCTION("""COMPUTED_VALUE"""),"อก.3/2")</f>
        <v>อก.3/2</v>
      </c>
      <c r="E1406" s="2" t="str">
        <f>IFERROR(__xludf.DUMMYFUNCTION("""COMPUTED_VALUE"""),"ชาย")</f>
        <v>ชาย</v>
      </c>
      <c r="F1406" s="5" t="str">
        <f>IFERROR(__xludf.DUMMYFUNCTION("""COMPUTED_VALUE"""),"https://azizstan.net/student_image/25263.jpg")</f>
        <v>https://azizstan.net/student_image/25263.jpg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>
      <c r="A1407" s="3" t="str">
        <f>IFERROR(__xludf.DUMMYFUNCTION("""COMPUTED_VALUE"""),"25924")</f>
        <v>25924</v>
      </c>
      <c r="B1407" s="3" t="str">
        <f>IFERROR(__xludf.DUMMYFUNCTION("""COMPUTED_VALUE"""),"นายมูฮำหมัดรอมฎอน เจ๊ะเหม")</f>
        <v>นายมูฮำหมัดรอมฎอน เจ๊ะเหม</v>
      </c>
      <c r="C1407" s="3" t="str">
        <f>IFERROR(__xludf.DUMMYFUNCTION("""COMPUTED_VALUE"""),"ม.4/2")</f>
        <v>ม.4/2</v>
      </c>
      <c r="D1407" s="3" t="str">
        <f>IFERROR(__xludf.DUMMYFUNCTION("""COMPUTED_VALUE"""),"อก.1/14")</f>
        <v>อก.1/14</v>
      </c>
      <c r="E1407" s="2" t="str">
        <f>IFERROR(__xludf.DUMMYFUNCTION("""COMPUTED_VALUE"""),"ชาย")</f>
        <v>ชาย</v>
      </c>
      <c r="F1407" s="5" t="str">
        <f>IFERROR(__xludf.DUMMYFUNCTION("""COMPUTED_VALUE"""),"https://azizstan.net/student_image/25924.jpg")</f>
        <v>https://azizstan.net/student_image/25924.jpg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>
      <c r="A1408" s="3" t="str">
        <f>IFERROR(__xludf.DUMMYFUNCTION("""COMPUTED_VALUE"""),"25974")</f>
        <v>25974</v>
      </c>
      <c r="B1408" s="3" t="str">
        <f>IFERROR(__xludf.DUMMYFUNCTION("""COMPUTED_VALUE"""),"นายมูฮัมหมัดฟิกรี ยามาดี")</f>
        <v>นายมูฮัมหมัดฟิกรี ยามาดี</v>
      </c>
      <c r="C1408" s="3" t="str">
        <f>IFERROR(__xludf.DUMMYFUNCTION("""COMPUTED_VALUE"""),"ม.4/2")</f>
        <v>ม.4/2</v>
      </c>
      <c r="D1408" s="3" t="str">
        <f>IFERROR(__xludf.DUMMYFUNCTION("""COMPUTED_VALUE"""),"อก.3/2")</f>
        <v>อก.3/2</v>
      </c>
      <c r="E1408" s="2" t="str">
        <f>IFERROR(__xludf.DUMMYFUNCTION("""COMPUTED_VALUE"""),"ชาย")</f>
        <v>ชาย</v>
      </c>
      <c r="F1408" s="5" t="str">
        <f>IFERROR(__xludf.DUMMYFUNCTION("""COMPUTED_VALUE"""),"https://azizstan.net/student_image/25974.jpg")</f>
        <v>https://azizstan.net/student_image/25974.jpg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>
      <c r="A1409" s="3" t="str">
        <f>IFERROR(__xludf.DUMMYFUNCTION("""COMPUTED_VALUE"""),"26061")</f>
        <v>26061</v>
      </c>
      <c r="B1409" s="3" t="str">
        <f>IFERROR(__xludf.DUMMYFUNCTION("""COMPUTED_VALUE"""),"นายรัชชานนท์ เชาว์ช่าง")</f>
        <v>นายรัชชานนท์ เชาว์ช่าง</v>
      </c>
      <c r="C1409" s="3" t="str">
        <f>IFERROR(__xludf.DUMMYFUNCTION("""COMPUTED_VALUE"""),"ม.4/2")</f>
        <v>ม.4/2</v>
      </c>
      <c r="D1409" s="3" t="str">
        <f>IFERROR(__xludf.DUMMYFUNCTION("""COMPUTED_VALUE"""),"อป.1/2")</f>
        <v>อป.1/2</v>
      </c>
      <c r="E1409" s="2" t="str">
        <f>IFERROR(__xludf.DUMMYFUNCTION("""COMPUTED_VALUE"""),"ชาย")</f>
        <v>ชาย</v>
      </c>
      <c r="F1409" s="5" t="str">
        <f>IFERROR(__xludf.DUMMYFUNCTION("""COMPUTED_VALUE"""),"https://azizstan.net/student_image/26061.jpg")</f>
        <v>https://azizstan.net/student_image/26061.jpg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>
      <c r="A1410" s="3" t="str">
        <f>IFERROR(__xludf.DUMMYFUNCTION("""COMPUTED_VALUE"""),"26264")</f>
        <v>26264</v>
      </c>
      <c r="B1410" s="3" t="str">
        <f>IFERROR(__xludf.DUMMYFUNCTION("""COMPUTED_VALUE"""),"นายอิกรอม ดอเล๊าะ")</f>
        <v>นายอิกรอม ดอเล๊าะ</v>
      </c>
      <c r="C1410" s="3" t="str">
        <f>IFERROR(__xludf.DUMMYFUNCTION("""COMPUTED_VALUE"""),"ม.4/2")</f>
        <v>ม.4/2</v>
      </c>
      <c r="D1410" s="3" t="str">
        <f>IFERROR(__xludf.DUMMYFUNCTION("""COMPUTED_VALUE"""),"อก.1/14")</f>
        <v>อก.1/14</v>
      </c>
      <c r="E1410" s="2" t="str">
        <f>IFERROR(__xludf.DUMMYFUNCTION("""COMPUTED_VALUE"""),"ชาย")</f>
        <v>ชาย</v>
      </c>
      <c r="F1410" s="5" t="str">
        <f>IFERROR(__xludf.DUMMYFUNCTION("""COMPUTED_VALUE"""),"https://azizstan.net/student_image/26264.jpg")</f>
        <v>https://azizstan.net/student_image/26264.jpg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>
      <c r="A1411" s="3" t="str">
        <f>IFERROR(__xludf.DUMMYFUNCTION("""COMPUTED_VALUE"""),"26354")</f>
        <v>26354</v>
      </c>
      <c r="B1411" s="3" t="str">
        <f>IFERROR(__xludf.DUMMYFUNCTION("""COMPUTED_VALUE"""),"นายรอมฎอน แวนาแว")</f>
        <v>นายรอมฎอน แวนาแว</v>
      </c>
      <c r="C1411" s="3" t="str">
        <f>IFERROR(__xludf.DUMMYFUNCTION("""COMPUTED_VALUE"""),"ม.4/2")</f>
        <v>ม.4/2</v>
      </c>
      <c r="D1411" s="3" t="str">
        <f>IFERROR(__xludf.DUMMYFUNCTION("""COMPUTED_VALUE"""),"อป.1/2")</f>
        <v>อป.1/2</v>
      </c>
      <c r="E1411" s="2" t="str">
        <f>IFERROR(__xludf.DUMMYFUNCTION("""COMPUTED_VALUE"""),"ชาย")</f>
        <v>ชาย</v>
      </c>
      <c r="F1411" s="5" t="str">
        <f>IFERROR(__xludf.DUMMYFUNCTION("""COMPUTED_VALUE"""),"https://azizstan.net/student_image/26354.jpg")</f>
        <v>https://azizstan.net/student_image/26354.jpg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>
      <c r="A1412" s="3" t="str">
        <f>IFERROR(__xludf.DUMMYFUNCTION("""COMPUTED_VALUE"""),"26511")</f>
        <v>26511</v>
      </c>
      <c r="B1412" s="3" t="str">
        <f>IFERROR(__xludf.DUMMYFUNCTION("""COMPUTED_VALUE"""),"นายอัลยูฟรีย์ มุสตากีม")</f>
        <v>นายอัลยูฟรีย์ มุสตากีม</v>
      </c>
      <c r="C1412" s="3" t="str">
        <f>IFERROR(__xludf.DUMMYFUNCTION("""COMPUTED_VALUE"""),"ม.4/2")</f>
        <v>ม.4/2</v>
      </c>
      <c r="D1412" s="3" t="str">
        <f>IFERROR(__xludf.DUMMYFUNCTION("""COMPUTED_VALUE"""),"อป.1/2")</f>
        <v>อป.1/2</v>
      </c>
      <c r="E1412" s="2" t="str">
        <f>IFERROR(__xludf.DUMMYFUNCTION("""COMPUTED_VALUE"""),"ชาย")</f>
        <v>ชาย</v>
      </c>
      <c r="F1412" s="5" t="str">
        <f>IFERROR(__xludf.DUMMYFUNCTION("""COMPUTED_VALUE"""),"https://azizstan.net/student_image/26511.jpg")</f>
        <v>https://azizstan.net/student_image/26511.jpg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>
      <c r="A1413" s="3" t="str">
        <f>IFERROR(__xludf.DUMMYFUNCTION("""COMPUTED_VALUE"""),"26577")</f>
        <v>26577</v>
      </c>
      <c r="B1413" s="3" t="str">
        <f>IFERROR(__xludf.DUMMYFUNCTION("""COMPUTED_VALUE"""),"นายอัรฟาน มะเด็ง")</f>
        <v>นายอัรฟาน มะเด็ง</v>
      </c>
      <c r="C1413" s="3" t="str">
        <f>IFERROR(__xludf.DUMMYFUNCTION("""COMPUTED_VALUE"""),"ม.4/2")</f>
        <v>ม.4/2</v>
      </c>
      <c r="D1413" s="3" t="str">
        <f>IFERROR(__xludf.DUMMYFUNCTION("""COMPUTED_VALUE"""),"อก.1/14")</f>
        <v>อก.1/14</v>
      </c>
      <c r="E1413" s="2" t="str">
        <f>IFERROR(__xludf.DUMMYFUNCTION("""COMPUTED_VALUE"""),"ชาย")</f>
        <v>ชาย</v>
      </c>
      <c r="F1413" s="5" t="str">
        <f>IFERROR(__xludf.DUMMYFUNCTION("""COMPUTED_VALUE"""),"https://azizstan.net/student_image/26577.jpg")</f>
        <v>https://azizstan.net/student_image/26577.jpg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>
      <c r="A1414" s="3" t="str">
        <f>IFERROR(__xludf.DUMMYFUNCTION("""COMPUTED_VALUE"""),"26635")</f>
        <v>26635</v>
      </c>
      <c r="B1414" s="3" t="str">
        <f>IFERROR(__xludf.DUMMYFUNCTION("""COMPUTED_VALUE"""),"นายเศรษฐิกุล อุเซ็ง")</f>
        <v>นายเศรษฐิกุล อุเซ็ง</v>
      </c>
      <c r="C1414" s="3" t="str">
        <f>IFERROR(__xludf.DUMMYFUNCTION("""COMPUTED_VALUE"""),"ม.4/2")</f>
        <v>ม.4/2</v>
      </c>
      <c r="D1414" s="3" t="str">
        <f>IFERROR(__xludf.DUMMYFUNCTION("""COMPUTED_VALUE"""),"อก.1/14")</f>
        <v>อก.1/14</v>
      </c>
      <c r="E1414" s="2" t="str">
        <f>IFERROR(__xludf.DUMMYFUNCTION("""COMPUTED_VALUE"""),"ชาย")</f>
        <v>ชาย</v>
      </c>
      <c r="F1414" s="5" t="str">
        <f>IFERROR(__xludf.DUMMYFUNCTION("""COMPUTED_VALUE"""),"https://azizstan.net/student_image/26635.jpg")</f>
        <v>https://azizstan.net/student_image/26635.jpg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>
      <c r="A1415" s="3" t="str">
        <f>IFERROR(__xludf.DUMMYFUNCTION("""COMPUTED_VALUE"""),"26636")</f>
        <v>26636</v>
      </c>
      <c r="B1415" s="3" t="str">
        <f>IFERROR(__xludf.DUMMYFUNCTION("""COMPUTED_VALUE"""),"นายฮัษวาน เจะอุบง")</f>
        <v>นายฮัษวาน เจะอุบง</v>
      </c>
      <c r="C1415" s="3" t="str">
        <f>IFERROR(__xludf.DUMMYFUNCTION("""COMPUTED_VALUE"""),"ม.4/2")</f>
        <v>ม.4/2</v>
      </c>
      <c r="D1415" s="3" t="str">
        <f>IFERROR(__xludf.DUMMYFUNCTION("""COMPUTED_VALUE"""),"อก.1/14")</f>
        <v>อก.1/14</v>
      </c>
      <c r="E1415" s="2" t="str">
        <f>IFERROR(__xludf.DUMMYFUNCTION("""COMPUTED_VALUE"""),"ชาย")</f>
        <v>ชาย</v>
      </c>
      <c r="F1415" s="5" t="str">
        <f>IFERROR(__xludf.DUMMYFUNCTION("""COMPUTED_VALUE"""),"https://azizstan.net/student_image/26636.jpg")</f>
        <v>https://azizstan.net/student_image/26636.jpg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>
      <c r="A1416" s="3" t="str">
        <f>IFERROR(__xludf.DUMMYFUNCTION("""COMPUTED_VALUE"""),"26637")</f>
        <v>26637</v>
      </c>
      <c r="B1416" s="3" t="str">
        <f>IFERROR(__xludf.DUMMYFUNCTION("""COMPUTED_VALUE"""),"นายอัมรัน เจ๊ะมาโซ")</f>
        <v>นายอัมรัน เจ๊ะมาโซ</v>
      </c>
      <c r="C1416" s="3" t="str">
        <f>IFERROR(__xludf.DUMMYFUNCTION("""COMPUTED_VALUE"""),"ม.4/2")</f>
        <v>ม.4/2</v>
      </c>
      <c r="D1416" s="3" t="str">
        <f>IFERROR(__xludf.DUMMYFUNCTION("""COMPUTED_VALUE"""),"อก.1/14")</f>
        <v>อก.1/14</v>
      </c>
      <c r="E1416" s="2" t="str">
        <f>IFERROR(__xludf.DUMMYFUNCTION("""COMPUTED_VALUE"""),"ชาย")</f>
        <v>ชาย</v>
      </c>
      <c r="F1416" s="5" t="str">
        <f>IFERROR(__xludf.DUMMYFUNCTION("""COMPUTED_VALUE"""),"https://azizstan.net/student_image/26637.jpg")</f>
        <v>https://azizstan.net/student_image/26637.jpg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>
      <c r="A1417" s="3" t="str">
        <f>IFERROR(__xludf.DUMMYFUNCTION("""COMPUTED_VALUE"""),"26666")</f>
        <v>26666</v>
      </c>
      <c r="B1417" s="3" t="str">
        <f>IFERROR(__xludf.DUMMYFUNCTION("""COMPUTED_VALUE"""),"นายซูไฮมีน ดออะ")</f>
        <v>นายซูไฮมีน ดออะ</v>
      </c>
      <c r="C1417" s="3" t="str">
        <f>IFERROR(__xludf.DUMMYFUNCTION("""COMPUTED_VALUE"""),"ม.4/2")</f>
        <v>ม.4/2</v>
      </c>
      <c r="D1417" s="3" t="str">
        <f>IFERROR(__xludf.DUMMYFUNCTION("""COMPUTED_VALUE"""),"อป.1/2")</f>
        <v>อป.1/2</v>
      </c>
      <c r="E1417" s="2" t="str">
        <f>IFERROR(__xludf.DUMMYFUNCTION("""COMPUTED_VALUE"""),"ชาย")</f>
        <v>ชาย</v>
      </c>
      <c r="F1417" s="5" t="str">
        <f>IFERROR(__xludf.DUMMYFUNCTION("""COMPUTED_VALUE"""),"https://azizstan.net/student_image/26666.jpg")</f>
        <v>https://azizstan.net/student_image/26666.jpg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>
      <c r="A1418" s="3" t="str">
        <f>IFERROR(__xludf.DUMMYFUNCTION("""COMPUTED_VALUE"""),"26675")</f>
        <v>26675</v>
      </c>
      <c r="B1418" s="3" t="str">
        <f>IFERROR(__xludf.DUMMYFUNCTION("""COMPUTED_VALUE"""),"นายอานัส หะยีคาเดร์")</f>
        <v>นายอานัส หะยีคาเดร์</v>
      </c>
      <c r="C1418" s="3" t="str">
        <f>IFERROR(__xludf.DUMMYFUNCTION("""COMPUTED_VALUE"""),"ม.4/2")</f>
        <v>ม.4/2</v>
      </c>
      <c r="D1418" s="3" t="str">
        <f>IFERROR(__xludf.DUMMYFUNCTION("""COMPUTED_VALUE"""),"อก.3/2")</f>
        <v>อก.3/2</v>
      </c>
      <c r="E1418" s="2" t="str">
        <f>IFERROR(__xludf.DUMMYFUNCTION("""COMPUTED_VALUE"""),"ชาย")</f>
        <v>ชาย</v>
      </c>
      <c r="F1418" s="5" t="str">
        <f>IFERROR(__xludf.DUMMYFUNCTION("""COMPUTED_VALUE"""),"https://azizstan.net/student_image/26675.jpg")</f>
        <v>https://azizstan.net/student_image/26675.jpg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>
      <c r="A1419" s="3" t="str">
        <f>IFERROR(__xludf.DUMMYFUNCTION("""COMPUTED_VALUE"""),"26710")</f>
        <v>26710</v>
      </c>
      <c r="B1419" s="3" t="str">
        <f>IFERROR(__xludf.DUMMYFUNCTION("""COMPUTED_VALUE"""),"นายชัยนูดีน สาเมาะ")</f>
        <v>นายชัยนูดีน สาเมาะ</v>
      </c>
      <c r="C1419" s="3" t="str">
        <f>IFERROR(__xludf.DUMMYFUNCTION("""COMPUTED_VALUE"""),"ม.4/2")</f>
        <v>ม.4/2</v>
      </c>
      <c r="D1419" s="3" t="str">
        <f>IFERROR(__xludf.DUMMYFUNCTION("""COMPUTED_VALUE"""),"อป.1/2")</f>
        <v>อป.1/2</v>
      </c>
      <c r="E1419" s="2" t="str">
        <f>IFERROR(__xludf.DUMMYFUNCTION("""COMPUTED_VALUE"""),"ชาย")</f>
        <v>ชาย</v>
      </c>
      <c r="F1419" s="5" t="str">
        <f>IFERROR(__xludf.DUMMYFUNCTION("""COMPUTED_VALUE"""),"https://azizstan.net/student_image/26710.jpg")</f>
        <v>https://azizstan.net/student_image/26710.jpg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>
      <c r="A1420" s="3" t="str">
        <f>IFERROR(__xludf.DUMMYFUNCTION("""COMPUTED_VALUE"""),"26771")</f>
        <v>26771</v>
      </c>
      <c r="B1420" s="3" t="str">
        <f>IFERROR(__xludf.DUMMYFUNCTION("""COMPUTED_VALUE"""),"นายชารีฟ แซมาลี")</f>
        <v>นายชารีฟ แซมาลี</v>
      </c>
      <c r="C1420" s="3" t="str">
        <f>IFERROR(__xludf.DUMMYFUNCTION("""COMPUTED_VALUE"""),"ม.4/2")</f>
        <v>ม.4/2</v>
      </c>
      <c r="D1420" s="3" t="str">
        <f>IFERROR(__xludf.DUMMYFUNCTION("""COMPUTED_VALUE"""),"อป.1/2")</f>
        <v>อป.1/2</v>
      </c>
      <c r="E1420" s="2" t="str">
        <f>IFERROR(__xludf.DUMMYFUNCTION("""COMPUTED_VALUE"""),"ชาย")</f>
        <v>ชาย</v>
      </c>
      <c r="F1420" s="5" t="str">
        <f>IFERROR(__xludf.DUMMYFUNCTION("""COMPUTED_VALUE"""),"https://azizstan.net/student_image/26771.jpg")</f>
        <v>https://azizstan.net/student_image/26771.jpg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>
      <c r="A1421" s="3" t="str">
        <f>IFERROR(__xludf.DUMMYFUNCTION("""COMPUTED_VALUE"""),"26784")</f>
        <v>26784</v>
      </c>
      <c r="B1421" s="3" t="str">
        <f>IFERROR(__xludf.DUMMYFUNCTION("""COMPUTED_VALUE"""),"นายมุสลิม หามะ")</f>
        <v>นายมุสลิม หามะ</v>
      </c>
      <c r="C1421" s="3" t="str">
        <f>IFERROR(__xludf.DUMMYFUNCTION("""COMPUTED_VALUE"""),"ม.4/2")</f>
        <v>ม.4/2</v>
      </c>
      <c r="D1421" s="3" t="str">
        <f>IFERROR(__xludf.DUMMYFUNCTION("""COMPUTED_VALUE"""),"อก.3/2")</f>
        <v>อก.3/2</v>
      </c>
      <c r="E1421" s="2" t="str">
        <f>IFERROR(__xludf.DUMMYFUNCTION("""COMPUTED_VALUE"""),"ชาย")</f>
        <v>ชาย</v>
      </c>
      <c r="F1421" s="5" t="str">
        <f>IFERROR(__xludf.DUMMYFUNCTION("""COMPUTED_VALUE"""),"https://azizstan.net/student_image/26784.jpg")</f>
        <v>https://azizstan.net/student_image/26784.jpg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>
      <c r="A1422" s="3" t="str">
        <f>IFERROR(__xludf.DUMMYFUNCTION("""COMPUTED_VALUE"""),"26804")</f>
        <v>26804</v>
      </c>
      <c r="B1422" s="3" t="str">
        <f>IFERROR(__xludf.DUMMYFUNCTION("""COMPUTED_VALUE"""),"นายมิฟฏอล มะยูโซ๊ะ")</f>
        <v>นายมิฟฏอล มะยูโซ๊ะ</v>
      </c>
      <c r="C1422" s="3" t="str">
        <f>IFERROR(__xludf.DUMMYFUNCTION("""COMPUTED_VALUE"""),"ม.4/2")</f>
        <v>ม.4/2</v>
      </c>
      <c r="D1422" s="3" t="str">
        <f>IFERROR(__xludf.DUMMYFUNCTION("""COMPUTED_VALUE"""),"อก.1/14")</f>
        <v>อก.1/14</v>
      </c>
      <c r="E1422" s="2" t="str">
        <f>IFERROR(__xludf.DUMMYFUNCTION("""COMPUTED_VALUE"""),"ชาย")</f>
        <v>ชาย</v>
      </c>
      <c r="F1422" s="5" t="str">
        <f>IFERROR(__xludf.DUMMYFUNCTION("""COMPUTED_VALUE"""),"https://azizstan.net/student_image/26804.jpg")</f>
        <v>https://azizstan.net/student_image/26804.jpg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>
      <c r="A1423" s="3" t="str">
        <f>IFERROR(__xludf.DUMMYFUNCTION("""COMPUTED_VALUE"""),"23998")</f>
        <v>23998</v>
      </c>
      <c r="B1423" s="3" t="str">
        <f>IFERROR(__xludf.DUMMYFUNCTION("""COMPUTED_VALUE"""),"น.ส.นัจญ์มีย์ เจะแต")</f>
        <v>น.ส.นัจญ์มีย์ เจะแต</v>
      </c>
      <c r="C1423" s="3" t="str">
        <f>IFERROR(__xludf.DUMMYFUNCTION("""COMPUTED_VALUE"""),"ม.4/3")</f>
        <v>ม.4/3</v>
      </c>
      <c r="D1423" s="3" t="str">
        <f>IFERROR(__xludf.DUMMYFUNCTION("""COMPUTED_VALUE"""),"อก.3/15")</f>
        <v>อก.3/15</v>
      </c>
      <c r="E1423" s="2" t="str">
        <f>IFERROR(__xludf.DUMMYFUNCTION("""COMPUTED_VALUE"""),"หญิง")</f>
        <v>หญิง</v>
      </c>
      <c r="F1423" s="5" t="str">
        <f>IFERROR(__xludf.DUMMYFUNCTION("""COMPUTED_VALUE"""),"https://azizstan.net/student_image/23998.jpg")</f>
        <v>https://azizstan.net/student_image/23998.jpg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>
      <c r="A1424" s="3" t="str">
        <f>IFERROR(__xludf.DUMMYFUNCTION("""COMPUTED_VALUE"""),"24006")</f>
        <v>24006</v>
      </c>
      <c r="B1424" s="3" t="str">
        <f>IFERROR(__xludf.DUMMYFUNCTION("""COMPUTED_VALUE"""),"น.ส.โศรายา จินตารา")</f>
        <v>น.ส.โศรายา จินตารา</v>
      </c>
      <c r="C1424" s="3" t="str">
        <f>IFERROR(__xludf.DUMMYFUNCTION("""COMPUTED_VALUE"""),"ม.4/3")</f>
        <v>ม.4/3</v>
      </c>
      <c r="D1424" s="3" t="str">
        <f>IFERROR(__xludf.DUMMYFUNCTION("""COMPUTED_VALUE"""),"อก.3/15")</f>
        <v>อก.3/15</v>
      </c>
      <c r="E1424" s="2" t="str">
        <f>IFERROR(__xludf.DUMMYFUNCTION("""COMPUTED_VALUE"""),"หญิง")</f>
        <v>หญิง</v>
      </c>
      <c r="F1424" s="5" t="str">
        <f>IFERROR(__xludf.DUMMYFUNCTION("""COMPUTED_VALUE"""),"https://azizstan.net/student_image/24006.jpg")</f>
        <v>https://azizstan.net/student_image/24006.jpg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>
      <c r="A1425" s="3" t="str">
        <f>IFERROR(__xludf.DUMMYFUNCTION("""COMPUTED_VALUE"""),"24010")</f>
        <v>24010</v>
      </c>
      <c r="B1425" s="3" t="str">
        <f>IFERROR(__xludf.DUMMYFUNCTION("""COMPUTED_VALUE"""),"น.ส.อาณีฟซัลวา เหมอุดม")</f>
        <v>น.ส.อาณีฟซัลวา เหมอุดม</v>
      </c>
      <c r="C1425" s="3" t="str">
        <f>IFERROR(__xludf.DUMMYFUNCTION("""COMPUTED_VALUE"""),"ม.4/3")</f>
        <v>ม.4/3</v>
      </c>
      <c r="D1425" s="3" t="str">
        <f>IFERROR(__xludf.DUMMYFUNCTION("""COMPUTED_VALUE"""),"อก.3/15")</f>
        <v>อก.3/15</v>
      </c>
      <c r="E1425" s="2" t="str">
        <f>IFERROR(__xludf.DUMMYFUNCTION("""COMPUTED_VALUE"""),"หญิง")</f>
        <v>หญิง</v>
      </c>
      <c r="F1425" s="5" t="str">
        <f>IFERROR(__xludf.DUMMYFUNCTION("""COMPUTED_VALUE"""),"https://azizstan.net/student_image/24010.jpg")</f>
        <v>https://azizstan.net/student_image/24010.jpg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>
      <c r="A1426" s="3" t="str">
        <f>IFERROR(__xludf.DUMMYFUNCTION("""COMPUTED_VALUE"""),"24013")</f>
        <v>24013</v>
      </c>
      <c r="B1426" s="3" t="str">
        <f>IFERROR(__xludf.DUMMYFUNCTION("""COMPUTED_VALUE"""),"น.ส.ปุญญิศา ศรีน้อย")</f>
        <v>น.ส.ปุญญิศา ศรีน้อย</v>
      </c>
      <c r="C1426" s="3" t="str">
        <f>IFERROR(__xludf.DUMMYFUNCTION("""COMPUTED_VALUE"""),"ม.4/3")</f>
        <v>ม.4/3</v>
      </c>
      <c r="D1426" s="3" t="str">
        <f>IFERROR(__xludf.DUMMYFUNCTION("""COMPUTED_VALUE"""),"อก.3/15")</f>
        <v>อก.3/15</v>
      </c>
      <c r="E1426" s="2" t="str">
        <f>IFERROR(__xludf.DUMMYFUNCTION("""COMPUTED_VALUE"""),"หญิง")</f>
        <v>หญิง</v>
      </c>
      <c r="F1426" s="5" t="str">
        <f>IFERROR(__xludf.DUMMYFUNCTION("""COMPUTED_VALUE"""),"https://azizstan.net/student_image/24013.jpg")</f>
        <v>https://azizstan.net/student_image/24013.jpg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>
      <c r="A1427" s="3" t="str">
        <f>IFERROR(__xludf.DUMMYFUNCTION("""COMPUTED_VALUE"""),"24022")</f>
        <v>24022</v>
      </c>
      <c r="B1427" s="3" t="str">
        <f>IFERROR(__xludf.DUMMYFUNCTION("""COMPUTED_VALUE"""),"น.ส.ซูรัยดา บากาประเสริฐ")</f>
        <v>น.ส.ซูรัยดา บากาประเสริฐ</v>
      </c>
      <c r="C1427" s="3" t="str">
        <f>IFERROR(__xludf.DUMMYFUNCTION("""COMPUTED_VALUE"""),"ม.4/3")</f>
        <v>ม.4/3</v>
      </c>
      <c r="D1427" s="3" t="str">
        <f>IFERROR(__xludf.DUMMYFUNCTION("""COMPUTED_VALUE"""),"อก.3/9")</f>
        <v>อก.3/9</v>
      </c>
      <c r="E1427" s="2" t="str">
        <f>IFERROR(__xludf.DUMMYFUNCTION("""COMPUTED_VALUE"""),"หญิง")</f>
        <v>หญิง</v>
      </c>
      <c r="F1427" s="5" t="str">
        <f>IFERROR(__xludf.DUMMYFUNCTION("""COMPUTED_VALUE"""),"https://azizstan.net/student_image/24022.jpg")</f>
        <v>https://azizstan.net/student_image/24022.jpg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>
      <c r="A1428" s="3" t="str">
        <f>IFERROR(__xludf.DUMMYFUNCTION("""COMPUTED_VALUE"""),"24023")</f>
        <v>24023</v>
      </c>
      <c r="B1428" s="3" t="str">
        <f>IFERROR(__xludf.DUMMYFUNCTION("""COMPUTED_VALUE"""),"น.ส.นูรุลฮูดา เจะบือเฮง")</f>
        <v>น.ส.นูรุลฮูดา เจะบือเฮง</v>
      </c>
      <c r="C1428" s="3" t="str">
        <f>IFERROR(__xludf.DUMMYFUNCTION("""COMPUTED_VALUE"""),"ม.4/3")</f>
        <v>ม.4/3</v>
      </c>
      <c r="D1428" s="3" t="str">
        <f>IFERROR(__xludf.DUMMYFUNCTION("""COMPUTED_VALUE"""),"อก.3/15")</f>
        <v>อก.3/15</v>
      </c>
      <c r="E1428" s="2" t="str">
        <f>IFERROR(__xludf.DUMMYFUNCTION("""COMPUTED_VALUE"""),"หญิง")</f>
        <v>หญิง</v>
      </c>
      <c r="F1428" s="5" t="str">
        <f>IFERROR(__xludf.DUMMYFUNCTION("""COMPUTED_VALUE"""),"https://azizstan.net/student_image/24023.jpg")</f>
        <v>https://azizstan.net/student_image/24023.jpg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>
      <c r="A1429" s="3" t="str">
        <f>IFERROR(__xludf.DUMMYFUNCTION("""COMPUTED_VALUE"""),"24025")</f>
        <v>24025</v>
      </c>
      <c r="B1429" s="3" t="str">
        <f>IFERROR(__xludf.DUMMYFUNCTION("""COMPUTED_VALUE"""),"น.ส.มุสลีมะฮ์ สมาน")</f>
        <v>น.ส.มุสลีมะฮ์ สมาน</v>
      </c>
      <c r="C1429" s="3" t="str">
        <f>IFERROR(__xludf.DUMMYFUNCTION("""COMPUTED_VALUE"""),"ม.4/3")</f>
        <v>ม.4/3</v>
      </c>
      <c r="D1429" s="3" t="str">
        <f>IFERROR(__xludf.DUMMYFUNCTION("""COMPUTED_VALUE"""),"อก.3/15")</f>
        <v>อก.3/15</v>
      </c>
      <c r="E1429" s="2" t="str">
        <f>IFERROR(__xludf.DUMMYFUNCTION("""COMPUTED_VALUE"""),"หญิง")</f>
        <v>หญิง</v>
      </c>
      <c r="F1429" s="5" t="str">
        <f>IFERROR(__xludf.DUMMYFUNCTION("""COMPUTED_VALUE"""),"https://azizstan.net/student_image/24025.jpg")</f>
        <v>https://azizstan.net/student_image/24025.jpg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>
      <c r="A1430" s="3" t="str">
        <f>IFERROR(__xludf.DUMMYFUNCTION("""COMPUTED_VALUE"""),"24038")</f>
        <v>24038</v>
      </c>
      <c r="B1430" s="3" t="str">
        <f>IFERROR(__xludf.DUMMYFUNCTION("""COMPUTED_VALUE"""),"น.ส.นัสมี สอและ")</f>
        <v>น.ส.นัสมี สอและ</v>
      </c>
      <c r="C1430" s="3" t="str">
        <f>IFERROR(__xludf.DUMMYFUNCTION("""COMPUTED_VALUE"""),"ม.4/3")</f>
        <v>ม.4/3</v>
      </c>
      <c r="D1430" s="3" t="str">
        <f>IFERROR(__xludf.DUMMYFUNCTION("""COMPUTED_VALUE"""),"อก.3/15")</f>
        <v>อก.3/15</v>
      </c>
      <c r="E1430" s="2" t="str">
        <f>IFERROR(__xludf.DUMMYFUNCTION("""COMPUTED_VALUE"""),"หญิง")</f>
        <v>หญิง</v>
      </c>
      <c r="F1430" s="5" t="str">
        <f>IFERROR(__xludf.DUMMYFUNCTION("""COMPUTED_VALUE"""),"https://azizstan.net/student_image/24038.jpg")</f>
        <v>https://azizstan.net/student_image/24038.jpg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>
      <c r="A1431" s="3" t="str">
        <f>IFERROR(__xludf.DUMMYFUNCTION("""COMPUTED_VALUE"""),"24046")</f>
        <v>24046</v>
      </c>
      <c r="B1431" s="3" t="str">
        <f>IFERROR(__xludf.DUMMYFUNCTION("""COMPUTED_VALUE"""),"น.ส.นูรซัมซียะห์ เจะเกาะบะ")</f>
        <v>น.ส.นูรซัมซียะห์ เจะเกาะบะ</v>
      </c>
      <c r="C1431" s="3" t="str">
        <f>IFERROR(__xludf.DUMMYFUNCTION("""COMPUTED_VALUE"""),"ม.4/3")</f>
        <v>ม.4/3</v>
      </c>
      <c r="D1431" s="3" t="str">
        <f>IFERROR(__xludf.DUMMYFUNCTION("""COMPUTED_VALUE"""),"อก.3/15")</f>
        <v>อก.3/15</v>
      </c>
      <c r="E1431" s="2" t="str">
        <f>IFERROR(__xludf.DUMMYFUNCTION("""COMPUTED_VALUE"""),"หญิง")</f>
        <v>หญิง</v>
      </c>
      <c r="F1431" s="5" t="str">
        <f>IFERROR(__xludf.DUMMYFUNCTION("""COMPUTED_VALUE"""),"https://azizstan.net/student_image/24046.jpg")</f>
        <v>https://azizstan.net/student_image/24046.jpg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>
      <c r="A1432" s="3" t="str">
        <f>IFERROR(__xludf.DUMMYFUNCTION("""COMPUTED_VALUE"""),"24050")</f>
        <v>24050</v>
      </c>
      <c r="B1432" s="3" t="str">
        <f>IFERROR(__xludf.DUMMYFUNCTION("""COMPUTED_VALUE"""),"น.ส.นารีตา สาแมแน็ง")</f>
        <v>น.ส.นารีตา สาแมแน็ง</v>
      </c>
      <c r="C1432" s="3" t="str">
        <f>IFERROR(__xludf.DUMMYFUNCTION("""COMPUTED_VALUE"""),"ม.4/3")</f>
        <v>ม.4/3</v>
      </c>
      <c r="D1432" s="3" t="str">
        <f>IFERROR(__xludf.DUMMYFUNCTION("""COMPUTED_VALUE"""),"อก.3/15")</f>
        <v>อก.3/15</v>
      </c>
      <c r="E1432" s="2" t="str">
        <f>IFERROR(__xludf.DUMMYFUNCTION("""COMPUTED_VALUE"""),"หญิง")</f>
        <v>หญิง</v>
      </c>
      <c r="F1432" s="5" t="str">
        <f>IFERROR(__xludf.DUMMYFUNCTION("""COMPUTED_VALUE"""),"https://azizstan.net/student_image/24050.jpg")</f>
        <v>https://azizstan.net/student_image/24050.jpg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>
      <c r="A1433" s="3" t="str">
        <f>IFERROR(__xludf.DUMMYFUNCTION("""COMPUTED_VALUE"""),"24053")</f>
        <v>24053</v>
      </c>
      <c r="B1433" s="3" t="str">
        <f>IFERROR(__xludf.DUMMYFUNCTION("""COMPUTED_VALUE"""),"น.ส.สารินี สะมะ")</f>
        <v>น.ส.สารินี สะมะ</v>
      </c>
      <c r="C1433" s="3" t="str">
        <f>IFERROR(__xludf.DUMMYFUNCTION("""COMPUTED_VALUE"""),"ม.4/3")</f>
        <v>ม.4/3</v>
      </c>
      <c r="D1433" s="3" t="str">
        <f>IFERROR(__xludf.DUMMYFUNCTION("""COMPUTED_VALUE"""),"อก.3/9")</f>
        <v>อก.3/9</v>
      </c>
      <c r="E1433" s="2" t="str">
        <f>IFERROR(__xludf.DUMMYFUNCTION("""COMPUTED_VALUE"""),"หญิง")</f>
        <v>หญิง</v>
      </c>
      <c r="F1433" s="5" t="str">
        <f>IFERROR(__xludf.DUMMYFUNCTION("""COMPUTED_VALUE"""),"https://azizstan.net/student_image/24053.jpg")</f>
        <v>https://azizstan.net/student_image/24053.jpg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>
      <c r="A1434" s="3" t="str">
        <f>IFERROR(__xludf.DUMMYFUNCTION("""COMPUTED_VALUE"""),"24067")</f>
        <v>24067</v>
      </c>
      <c r="B1434" s="3" t="str">
        <f>IFERROR(__xludf.DUMMYFUNCTION("""COMPUTED_VALUE"""),"น.ส.นูรุลนิสา เจ๊ะเหาะ")</f>
        <v>น.ส.นูรุลนิสา เจ๊ะเหาะ</v>
      </c>
      <c r="C1434" s="3" t="str">
        <f>IFERROR(__xludf.DUMMYFUNCTION("""COMPUTED_VALUE"""),"ม.4/3")</f>
        <v>ม.4/3</v>
      </c>
      <c r="D1434" s="3" t="str">
        <f>IFERROR(__xludf.DUMMYFUNCTION("""COMPUTED_VALUE"""),"อก.3/15")</f>
        <v>อก.3/15</v>
      </c>
      <c r="E1434" s="2" t="str">
        <f>IFERROR(__xludf.DUMMYFUNCTION("""COMPUTED_VALUE"""),"หญิง")</f>
        <v>หญิง</v>
      </c>
      <c r="F1434" s="5" t="str">
        <f>IFERROR(__xludf.DUMMYFUNCTION("""COMPUTED_VALUE"""),"https://azizstan.net/student_image/24067.jpg")</f>
        <v>https://azizstan.net/student_image/24067.jpg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>
      <c r="A1435" s="3" t="str">
        <f>IFERROR(__xludf.DUMMYFUNCTION("""COMPUTED_VALUE"""),"24070")</f>
        <v>24070</v>
      </c>
      <c r="B1435" s="3" t="str">
        <f>IFERROR(__xludf.DUMMYFUNCTION("""COMPUTED_VALUE"""),"น.ส.วาสินี สันบากอ")</f>
        <v>น.ส.วาสินี สันบากอ</v>
      </c>
      <c r="C1435" s="3" t="str">
        <f>IFERROR(__xludf.DUMMYFUNCTION("""COMPUTED_VALUE"""),"ม.4/3")</f>
        <v>ม.4/3</v>
      </c>
      <c r="D1435" s="3" t="str">
        <f>IFERROR(__xludf.DUMMYFUNCTION("""COMPUTED_VALUE"""),"อก.3/9")</f>
        <v>อก.3/9</v>
      </c>
      <c r="E1435" s="2" t="str">
        <f>IFERROR(__xludf.DUMMYFUNCTION("""COMPUTED_VALUE"""),"หญิง")</f>
        <v>หญิง</v>
      </c>
      <c r="F1435" s="5" t="str">
        <f>IFERROR(__xludf.DUMMYFUNCTION("""COMPUTED_VALUE"""),"https://azizstan.net/student_image/24070.jpg")</f>
        <v>https://azizstan.net/student_image/24070.jpg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>
      <c r="A1436" s="3" t="str">
        <f>IFERROR(__xludf.DUMMYFUNCTION("""COMPUTED_VALUE"""),"24071")</f>
        <v>24071</v>
      </c>
      <c r="B1436" s="3" t="str">
        <f>IFERROR(__xludf.DUMMYFUNCTION("""COMPUTED_VALUE"""),"น.ส.โซเฟียนี หมะเด็น")</f>
        <v>น.ส.โซเฟียนี หมะเด็น</v>
      </c>
      <c r="C1436" s="3" t="str">
        <f>IFERROR(__xludf.DUMMYFUNCTION("""COMPUTED_VALUE"""),"ม.4/3")</f>
        <v>ม.4/3</v>
      </c>
      <c r="D1436" s="3" t="str">
        <f>IFERROR(__xludf.DUMMYFUNCTION("""COMPUTED_VALUE"""),"อก.3/15")</f>
        <v>อก.3/15</v>
      </c>
      <c r="E1436" s="2" t="str">
        <f>IFERROR(__xludf.DUMMYFUNCTION("""COMPUTED_VALUE"""),"หญิง")</f>
        <v>หญิง</v>
      </c>
      <c r="F1436" s="5" t="str">
        <f>IFERROR(__xludf.DUMMYFUNCTION("""COMPUTED_VALUE"""),"https://azizstan.net/student_image/24071.jpg")</f>
        <v>https://azizstan.net/student_image/24071.jpg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>
      <c r="A1437" s="3" t="str">
        <f>IFERROR(__xludf.DUMMYFUNCTION("""COMPUTED_VALUE"""),"24081")</f>
        <v>24081</v>
      </c>
      <c r="B1437" s="3" t="str">
        <f>IFERROR(__xludf.DUMMYFUNCTION("""COMPUTED_VALUE"""),"น.ส.ฮุสไนลา สมานสุหลง")</f>
        <v>น.ส.ฮุสไนลา สมานสุหลง</v>
      </c>
      <c r="C1437" s="3" t="str">
        <f>IFERROR(__xludf.DUMMYFUNCTION("""COMPUTED_VALUE"""),"ม.4/3")</f>
        <v>ม.4/3</v>
      </c>
      <c r="D1437" s="3" t="str">
        <f>IFERROR(__xludf.DUMMYFUNCTION("""COMPUTED_VALUE"""),"อก.3/9")</f>
        <v>อก.3/9</v>
      </c>
      <c r="E1437" s="2" t="str">
        <f>IFERROR(__xludf.DUMMYFUNCTION("""COMPUTED_VALUE"""),"หญิง")</f>
        <v>หญิง</v>
      </c>
      <c r="F1437" s="5" t="str">
        <f>IFERROR(__xludf.DUMMYFUNCTION("""COMPUTED_VALUE"""),"https://azizstan.net/student_image/24081.jpg")</f>
        <v>https://azizstan.net/student_image/24081.jpg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>
      <c r="A1438" s="3" t="str">
        <f>IFERROR(__xludf.DUMMYFUNCTION("""COMPUTED_VALUE"""),"24087")</f>
        <v>24087</v>
      </c>
      <c r="B1438" s="3" t="str">
        <f>IFERROR(__xludf.DUMMYFUNCTION("""COMPUTED_VALUE"""),"น.ส.ฟาร่า สุหลง")</f>
        <v>น.ส.ฟาร่า สุหลง</v>
      </c>
      <c r="C1438" s="3" t="str">
        <f>IFERROR(__xludf.DUMMYFUNCTION("""COMPUTED_VALUE"""),"ม.4/3")</f>
        <v>ม.4/3</v>
      </c>
      <c r="D1438" s="3" t="str">
        <f>IFERROR(__xludf.DUMMYFUNCTION("""COMPUTED_VALUE"""),"อก.3/15")</f>
        <v>อก.3/15</v>
      </c>
      <c r="E1438" s="2" t="str">
        <f>IFERROR(__xludf.DUMMYFUNCTION("""COMPUTED_VALUE"""),"หญิง")</f>
        <v>หญิง</v>
      </c>
      <c r="F1438" s="5" t="str">
        <f>IFERROR(__xludf.DUMMYFUNCTION("""COMPUTED_VALUE"""),"https://azizstan.net/student_image/24087.jpg")</f>
        <v>https://azizstan.net/student_image/24087.jpg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>
      <c r="A1439" s="3" t="str">
        <f>IFERROR(__xludf.DUMMYFUNCTION("""COMPUTED_VALUE"""),"24096")</f>
        <v>24096</v>
      </c>
      <c r="B1439" s="3" t="str">
        <f>IFERROR(__xludf.DUMMYFUNCTION("""COMPUTED_VALUE"""),"น.ส.กอนีตะห์ กาเร็ง")</f>
        <v>น.ส.กอนีตะห์ กาเร็ง</v>
      </c>
      <c r="C1439" s="3" t="str">
        <f>IFERROR(__xludf.DUMMYFUNCTION("""COMPUTED_VALUE"""),"ม.4/3")</f>
        <v>ม.4/3</v>
      </c>
      <c r="D1439" s="3" t="str">
        <f>IFERROR(__xludf.DUMMYFUNCTION("""COMPUTED_VALUE"""),"อก.3/15")</f>
        <v>อก.3/15</v>
      </c>
      <c r="E1439" s="2" t="str">
        <f>IFERROR(__xludf.DUMMYFUNCTION("""COMPUTED_VALUE"""),"หญิง")</f>
        <v>หญิง</v>
      </c>
      <c r="F1439" s="5" t="str">
        <f>IFERROR(__xludf.DUMMYFUNCTION("""COMPUTED_VALUE"""),"https://azizstan.net/student_image/24096.jpg")</f>
        <v>https://azizstan.net/student_image/24096.jpg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>
      <c r="A1440" s="3" t="str">
        <f>IFERROR(__xludf.DUMMYFUNCTION("""COMPUTED_VALUE"""),"24099")</f>
        <v>24099</v>
      </c>
      <c r="B1440" s="3" t="str">
        <f>IFERROR(__xludf.DUMMYFUNCTION("""COMPUTED_VALUE"""),"น.ส.บารออะฮ์ หวัง")</f>
        <v>น.ส.บารออะฮ์ หวัง</v>
      </c>
      <c r="C1440" s="3" t="str">
        <f>IFERROR(__xludf.DUMMYFUNCTION("""COMPUTED_VALUE"""),"ม.4/3")</f>
        <v>ม.4/3</v>
      </c>
      <c r="D1440" s="3" t="str">
        <f>IFERROR(__xludf.DUMMYFUNCTION("""COMPUTED_VALUE"""),"อก.3/15")</f>
        <v>อก.3/15</v>
      </c>
      <c r="E1440" s="2" t="str">
        <f>IFERROR(__xludf.DUMMYFUNCTION("""COMPUTED_VALUE"""),"หญิง")</f>
        <v>หญิง</v>
      </c>
      <c r="F1440" s="5" t="str">
        <f>IFERROR(__xludf.DUMMYFUNCTION("""COMPUTED_VALUE"""),"https://azizstan.net/student_image/24099.jpg")</f>
        <v>https://azizstan.net/student_image/24099.jpg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>
      <c r="A1441" s="3" t="str">
        <f>IFERROR(__xludf.DUMMYFUNCTION("""COMPUTED_VALUE"""),"24105")</f>
        <v>24105</v>
      </c>
      <c r="B1441" s="3" t="str">
        <f>IFERROR(__xludf.DUMMYFUNCTION("""COMPUTED_VALUE"""),"น.ส.อิฟตีซาน สานิ")</f>
        <v>น.ส.อิฟตีซาน สานิ</v>
      </c>
      <c r="C1441" s="3" t="str">
        <f>IFERROR(__xludf.DUMMYFUNCTION("""COMPUTED_VALUE"""),"ม.4/3")</f>
        <v>ม.4/3</v>
      </c>
      <c r="D1441" s="3" t="str">
        <f>IFERROR(__xludf.DUMMYFUNCTION("""COMPUTED_VALUE"""),"อป.1/3")</f>
        <v>อป.1/3</v>
      </c>
      <c r="E1441" s="2" t="str">
        <f>IFERROR(__xludf.DUMMYFUNCTION("""COMPUTED_VALUE"""),"หญิง")</f>
        <v>หญิง</v>
      </c>
      <c r="F1441" s="5" t="str">
        <f>IFERROR(__xludf.DUMMYFUNCTION("""COMPUTED_VALUE"""),"https://azizstan.net/student_image/24105.jpg")</f>
        <v>https://azizstan.net/student_image/24105.jpg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>
      <c r="A1442" s="3" t="str">
        <f>IFERROR(__xludf.DUMMYFUNCTION("""COMPUTED_VALUE"""),"24109")</f>
        <v>24109</v>
      </c>
      <c r="B1442" s="3" t="str">
        <f>IFERROR(__xludf.DUMMYFUNCTION("""COMPUTED_VALUE"""),"น.ส.ฮานีฟาร์ รือแม")</f>
        <v>น.ส.ฮานีฟาร์ รือแม</v>
      </c>
      <c r="C1442" s="3" t="str">
        <f>IFERROR(__xludf.DUMMYFUNCTION("""COMPUTED_VALUE"""),"ม.4/3")</f>
        <v>ม.4/3</v>
      </c>
      <c r="D1442" s="3" t="str">
        <f>IFERROR(__xludf.DUMMYFUNCTION("""COMPUTED_VALUE"""),"อก.3/9")</f>
        <v>อก.3/9</v>
      </c>
      <c r="E1442" s="2" t="str">
        <f>IFERROR(__xludf.DUMMYFUNCTION("""COMPUTED_VALUE"""),"หญิง")</f>
        <v>หญิง</v>
      </c>
      <c r="F1442" s="5" t="str">
        <f>IFERROR(__xludf.DUMMYFUNCTION("""COMPUTED_VALUE"""),"https://azizstan.net/student_image/24109.jpg")</f>
        <v>https://azizstan.net/student_image/24109.jpg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>
      <c r="A1443" s="3" t="str">
        <f>IFERROR(__xludf.DUMMYFUNCTION("""COMPUTED_VALUE"""),"24113")</f>
        <v>24113</v>
      </c>
      <c r="B1443" s="3" t="str">
        <f>IFERROR(__xludf.DUMMYFUNCTION("""COMPUTED_VALUE"""),"น.ส.เจ๊ะนูฟาตีหะฮ์ สะแลแม")</f>
        <v>น.ส.เจ๊ะนูฟาตีหะฮ์ สะแลแม</v>
      </c>
      <c r="C1443" s="3" t="str">
        <f>IFERROR(__xludf.DUMMYFUNCTION("""COMPUTED_VALUE"""),"ม.4/3")</f>
        <v>ม.4/3</v>
      </c>
      <c r="D1443" s="3" t="str">
        <f>IFERROR(__xludf.DUMMYFUNCTION("""COMPUTED_VALUE"""),"อก.3/15")</f>
        <v>อก.3/15</v>
      </c>
      <c r="E1443" s="2" t="str">
        <f>IFERROR(__xludf.DUMMYFUNCTION("""COMPUTED_VALUE"""),"หญิง")</f>
        <v>หญิง</v>
      </c>
      <c r="F1443" s="5" t="str">
        <f>IFERROR(__xludf.DUMMYFUNCTION("""COMPUTED_VALUE"""),"https://azizstan.net/student_image/24113.jpg")</f>
        <v>https://azizstan.net/student_image/24113.jpg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>
      <c r="A1444" s="3" t="str">
        <f>IFERROR(__xludf.DUMMYFUNCTION("""COMPUTED_VALUE"""),"24118")</f>
        <v>24118</v>
      </c>
      <c r="B1444" s="3" t="str">
        <f>IFERROR(__xludf.DUMMYFUNCTION("""COMPUTED_VALUE"""),"น.ส.รุสณี แมแร")</f>
        <v>น.ส.รุสณี แมแร</v>
      </c>
      <c r="C1444" s="3" t="str">
        <f>IFERROR(__xludf.DUMMYFUNCTION("""COMPUTED_VALUE"""),"ม.4/3")</f>
        <v>ม.4/3</v>
      </c>
      <c r="D1444" s="3" t="str">
        <f>IFERROR(__xludf.DUMMYFUNCTION("""COMPUTED_VALUE"""),"อก.3/15")</f>
        <v>อก.3/15</v>
      </c>
      <c r="E1444" s="2" t="str">
        <f>IFERROR(__xludf.DUMMYFUNCTION("""COMPUTED_VALUE"""),"หญิง")</f>
        <v>หญิง</v>
      </c>
      <c r="F1444" s="5" t="str">
        <f>IFERROR(__xludf.DUMMYFUNCTION("""COMPUTED_VALUE"""),"https://azizstan.net/student_image/24118.jpg")</f>
        <v>https://azizstan.net/student_image/24118.jpg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>
      <c r="A1445" s="3" t="str">
        <f>IFERROR(__xludf.DUMMYFUNCTION("""COMPUTED_VALUE"""),"24128")</f>
        <v>24128</v>
      </c>
      <c r="B1445" s="3" t="str">
        <f>IFERROR(__xludf.DUMMYFUNCTION("""COMPUTED_VALUE"""),"น.ส.ณัฐกานต์ โมงหนิหมะ")</f>
        <v>น.ส.ณัฐกานต์ โมงหนิหมะ</v>
      </c>
      <c r="C1445" s="3" t="str">
        <f>IFERROR(__xludf.DUMMYFUNCTION("""COMPUTED_VALUE"""),"ม.4/3")</f>
        <v>ม.4/3</v>
      </c>
      <c r="D1445" s="3" t="str">
        <f>IFERROR(__xludf.DUMMYFUNCTION("""COMPUTED_VALUE"""),"อก.3/9")</f>
        <v>อก.3/9</v>
      </c>
      <c r="E1445" s="2" t="str">
        <f>IFERROR(__xludf.DUMMYFUNCTION("""COMPUTED_VALUE"""),"หญิง")</f>
        <v>หญิง</v>
      </c>
      <c r="F1445" s="5" t="str">
        <f>IFERROR(__xludf.DUMMYFUNCTION("""COMPUTED_VALUE"""),"https://azizstan.net/student_image/24128.jpg")</f>
        <v>https://azizstan.net/student_image/24128.jpg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>
      <c r="A1446" s="3" t="str">
        <f>IFERROR(__xludf.DUMMYFUNCTION("""COMPUTED_VALUE"""),"24137")</f>
        <v>24137</v>
      </c>
      <c r="B1446" s="3" t="str">
        <f>IFERROR(__xludf.DUMMYFUNCTION("""COMPUTED_VALUE"""),"น.ส.นูรวีย์อาม แวสามะ")</f>
        <v>น.ส.นูรวีย์อาม แวสามะ</v>
      </c>
      <c r="C1446" s="3" t="str">
        <f>IFERROR(__xludf.DUMMYFUNCTION("""COMPUTED_VALUE"""),"ม.4/3")</f>
        <v>ม.4/3</v>
      </c>
      <c r="D1446" s="3" t="str">
        <f>IFERROR(__xludf.DUMMYFUNCTION("""COMPUTED_VALUE"""),"อก.3/9")</f>
        <v>อก.3/9</v>
      </c>
      <c r="E1446" s="2" t="str">
        <f>IFERROR(__xludf.DUMMYFUNCTION("""COMPUTED_VALUE"""),"หญิง")</f>
        <v>หญิง</v>
      </c>
      <c r="F1446" s="5" t="str">
        <f>IFERROR(__xludf.DUMMYFUNCTION("""COMPUTED_VALUE"""),"https://azizstan.net/student_image/24137.jpg")</f>
        <v>https://azizstan.net/student_image/24137.jpg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>
      <c r="A1447" s="3" t="str">
        <f>IFERROR(__xludf.DUMMYFUNCTION("""COMPUTED_VALUE"""),"24188")</f>
        <v>24188</v>
      </c>
      <c r="B1447" s="3" t="str">
        <f>IFERROR(__xludf.DUMMYFUNCTION("""COMPUTED_VALUE"""),"น.ส.อัสมะ สะอะ")</f>
        <v>น.ส.อัสมะ สะอะ</v>
      </c>
      <c r="C1447" s="3" t="str">
        <f>IFERROR(__xludf.DUMMYFUNCTION("""COMPUTED_VALUE"""),"ม.4/3")</f>
        <v>ม.4/3</v>
      </c>
      <c r="D1447" s="3" t="str">
        <f>IFERROR(__xludf.DUMMYFUNCTION("""COMPUTED_VALUE"""),"อป.1/3")</f>
        <v>อป.1/3</v>
      </c>
      <c r="E1447" s="2" t="str">
        <f>IFERROR(__xludf.DUMMYFUNCTION("""COMPUTED_VALUE"""),"หญิง")</f>
        <v>หญิง</v>
      </c>
      <c r="F1447" s="5" t="str">
        <f>IFERROR(__xludf.DUMMYFUNCTION("""COMPUTED_VALUE"""),"https://azizstan.net/student_image/24188.jpg")</f>
        <v>https://azizstan.net/student_image/24188.jpg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>
      <c r="A1448" s="3" t="str">
        <f>IFERROR(__xludf.DUMMYFUNCTION("""COMPUTED_VALUE"""),"24190")</f>
        <v>24190</v>
      </c>
      <c r="B1448" s="3" t="str">
        <f>IFERROR(__xludf.DUMMYFUNCTION("""COMPUTED_VALUE"""),"น.ส.นัสริน มามะ")</f>
        <v>น.ส.นัสริน มามะ</v>
      </c>
      <c r="C1448" s="3" t="str">
        <f>IFERROR(__xludf.DUMMYFUNCTION("""COMPUTED_VALUE"""),"ม.4/3")</f>
        <v>ม.4/3</v>
      </c>
      <c r="D1448" s="3" t="str">
        <f>IFERROR(__xludf.DUMMYFUNCTION("""COMPUTED_VALUE"""),"อก.3/9")</f>
        <v>อก.3/9</v>
      </c>
      <c r="E1448" s="2" t="str">
        <f>IFERROR(__xludf.DUMMYFUNCTION("""COMPUTED_VALUE"""),"หญิง")</f>
        <v>หญิง</v>
      </c>
      <c r="F1448" s="5" t="str">
        <f>IFERROR(__xludf.DUMMYFUNCTION("""COMPUTED_VALUE"""),"https://azizstan.net/student_image/24190.jpg")</f>
        <v>https://azizstan.net/student_image/24190.jpg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>
      <c r="A1449" s="3" t="str">
        <f>IFERROR(__xludf.DUMMYFUNCTION("""COMPUTED_VALUE"""),"24239")</f>
        <v>24239</v>
      </c>
      <c r="B1449" s="3" t="str">
        <f>IFERROR(__xludf.DUMMYFUNCTION("""COMPUTED_VALUE"""),"น.ส.ฟารีดา หะยีมามะ")</f>
        <v>น.ส.ฟารีดา หะยีมามะ</v>
      </c>
      <c r="C1449" s="3" t="str">
        <f>IFERROR(__xludf.DUMMYFUNCTION("""COMPUTED_VALUE"""),"ม.4/3")</f>
        <v>ม.4/3</v>
      </c>
      <c r="D1449" s="3" t="str">
        <f>IFERROR(__xludf.DUMMYFUNCTION("""COMPUTED_VALUE"""),"อก.3/15")</f>
        <v>อก.3/15</v>
      </c>
      <c r="E1449" s="2" t="str">
        <f>IFERROR(__xludf.DUMMYFUNCTION("""COMPUTED_VALUE"""),"หญิง")</f>
        <v>หญิง</v>
      </c>
      <c r="F1449" s="5" t="str">
        <f>IFERROR(__xludf.DUMMYFUNCTION("""COMPUTED_VALUE"""),"https://azizstan.net/student_image/24239.jpg")</f>
        <v>https://azizstan.net/student_image/24239.jpg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>
      <c r="A1450" s="3" t="str">
        <f>IFERROR(__xludf.DUMMYFUNCTION("""COMPUTED_VALUE"""),"24264")</f>
        <v>24264</v>
      </c>
      <c r="B1450" s="3" t="str">
        <f>IFERROR(__xludf.DUMMYFUNCTION("""COMPUTED_VALUE"""),"น.ส.นูร์วูลเลีย สิเดะ")</f>
        <v>น.ส.นูร์วูลเลีย สิเดะ</v>
      </c>
      <c r="C1450" s="3" t="str">
        <f>IFERROR(__xludf.DUMMYFUNCTION("""COMPUTED_VALUE"""),"ม.4/3")</f>
        <v>ม.4/3</v>
      </c>
      <c r="D1450" s="3" t="str">
        <f>IFERROR(__xludf.DUMMYFUNCTION("""COMPUTED_VALUE"""),"อก.3/15")</f>
        <v>อก.3/15</v>
      </c>
      <c r="E1450" s="2" t="str">
        <f>IFERROR(__xludf.DUMMYFUNCTION("""COMPUTED_VALUE"""),"หญิง")</f>
        <v>หญิง</v>
      </c>
      <c r="F1450" s="5" t="str">
        <f>IFERROR(__xludf.DUMMYFUNCTION("""COMPUTED_VALUE"""),"https://azizstan.net/student_image/24264.jpg")</f>
        <v>https://azizstan.net/student_image/24264.jpg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>
      <c r="A1451" s="3" t="str">
        <f>IFERROR(__xludf.DUMMYFUNCTION("""COMPUTED_VALUE"""),"24293")</f>
        <v>24293</v>
      </c>
      <c r="B1451" s="3" t="str">
        <f>IFERROR(__xludf.DUMMYFUNCTION("""COMPUTED_VALUE"""),"น.ส.ซูรีนา มะโร๊ะ")</f>
        <v>น.ส.ซูรีนา มะโร๊ะ</v>
      </c>
      <c r="C1451" s="3" t="str">
        <f>IFERROR(__xludf.DUMMYFUNCTION("""COMPUTED_VALUE"""),"ม.4/3")</f>
        <v>ม.4/3</v>
      </c>
      <c r="D1451" s="3" t="str">
        <f>IFERROR(__xludf.DUMMYFUNCTION("""COMPUTED_VALUE"""),"อก.3/15")</f>
        <v>อก.3/15</v>
      </c>
      <c r="E1451" s="2" t="str">
        <f>IFERROR(__xludf.DUMMYFUNCTION("""COMPUTED_VALUE"""),"หญิง")</f>
        <v>หญิง</v>
      </c>
      <c r="F1451" s="5" t="str">
        <f>IFERROR(__xludf.DUMMYFUNCTION("""COMPUTED_VALUE"""),"https://azizstan.net/student_image/24293.jpg")</f>
        <v>https://azizstan.net/student_image/24293.jpg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>
      <c r="A1452" s="3" t="str">
        <f>IFERROR(__xludf.DUMMYFUNCTION("""COMPUTED_VALUE"""),"24331")</f>
        <v>24331</v>
      </c>
      <c r="B1452" s="3" t="str">
        <f>IFERROR(__xludf.DUMMYFUNCTION("""COMPUTED_VALUE"""),"น.ส.นิฟาติน ดาโอ๊ะ")</f>
        <v>น.ส.นิฟาติน ดาโอ๊ะ</v>
      </c>
      <c r="C1452" s="3" t="str">
        <f>IFERROR(__xludf.DUMMYFUNCTION("""COMPUTED_VALUE"""),"ม.4/3")</f>
        <v>ม.4/3</v>
      </c>
      <c r="D1452" s="3" t="str">
        <f>IFERROR(__xludf.DUMMYFUNCTION("""COMPUTED_VALUE"""),"อก.3/15")</f>
        <v>อก.3/15</v>
      </c>
      <c r="E1452" s="2" t="str">
        <f>IFERROR(__xludf.DUMMYFUNCTION("""COMPUTED_VALUE"""),"หญิง")</f>
        <v>หญิง</v>
      </c>
      <c r="F1452" s="5" t="str">
        <f>IFERROR(__xludf.DUMMYFUNCTION("""COMPUTED_VALUE"""),"https://azizstan.net/student_image/24331.jpg")</f>
        <v>https://azizstan.net/student_image/24331.jpg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>
      <c r="A1453" s="3" t="str">
        <f>IFERROR(__xludf.DUMMYFUNCTION("""COMPUTED_VALUE"""),"24345")</f>
        <v>24345</v>
      </c>
      <c r="B1453" s="3" t="str">
        <f>IFERROR(__xludf.DUMMYFUNCTION("""COMPUTED_VALUE"""),"น.ส.นูรซาร์ฮีรา มะและ")</f>
        <v>น.ส.นูรซาร์ฮีรา มะและ</v>
      </c>
      <c r="C1453" s="3" t="str">
        <f>IFERROR(__xludf.DUMMYFUNCTION("""COMPUTED_VALUE"""),"ม.4/3")</f>
        <v>ม.4/3</v>
      </c>
      <c r="D1453" s="3" t="str">
        <f>IFERROR(__xludf.DUMMYFUNCTION("""COMPUTED_VALUE"""),"อก.3/15")</f>
        <v>อก.3/15</v>
      </c>
      <c r="E1453" s="2" t="str">
        <f>IFERROR(__xludf.DUMMYFUNCTION("""COMPUTED_VALUE"""),"หญิง")</f>
        <v>หญิง</v>
      </c>
      <c r="F1453" s="5" t="str">
        <f>IFERROR(__xludf.DUMMYFUNCTION("""COMPUTED_VALUE"""),"https://azizstan.net/student_image/24345.jpg")</f>
        <v>https://azizstan.net/student_image/24345.jpg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>
      <c r="A1454" s="3" t="str">
        <f>IFERROR(__xludf.DUMMYFUNCTION("""COMPUTED_VALUE"""),"24357")</f>
        <v>24357</v>
      </c>
      <c r="B1454" s="3" t="str">
        <f>IFERROR(__xludf.DUMMYFUNCTION("""COMPUTED_VALUE"""),"น.ส.ฟิรดาว ยาลอ")</f>
        <v>น.ส.ฟิรดาว ยาลอ</v>
      </c>
      <c r="C1454" s="3" t="str">
        <f>IFERROR(__xludf.DUMMYFUNCTION("""COMPUTED_VALUE"""),"ม.4/3")</f>
        <v>ม.4/3</v>
      </c>
      <c r="D1454" s="3" t="str">
        <f>IFERROR(__xludf.DUMMYFUNCTION("""COMPUTED_VALUE"""),"อป.1/3")</f>
        <v>อป.1/3</v>
      </c>
      <c r="E1454" s="2" t="str">
        <f>IFERROR(__xludf.DUMMYFUNCTION("""COMPUTED_VALUE"""),"หญิง")</f>
        <v>หญิง</v>
      </c>
      <c r="F1454" s="5" t="str">
        <f>IFERROR(__xludf.DUMMYFUNCTION("""COMPUTED_VALUE"""),"https://azizstan.net/student_image/24357.jpg")</f>
        <v>https://azizstan.net/student_image/24357.jpg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>
      <c r="A1455" s="3" t="str">
        <f>IFERROR(__xludf.DUMMYFUNCTION("""COMPUTED_VALUE"""),"24373")</f>
        <v>24373</v>
      </c>
      <c r="B1455" s="3" t="str">
        <f>IFERROR(__xludf.DUMMYFUNCTION("""COMPUTED_VALUE"""),"น.ส.โซเฟีย เจ๊ะเละ")</f>
        <v>น.ส.โซเฟีย เจ๊ะเละ</v>
      </c>
      <c r="C1455" s="3" t="str">
        <f>IFERROR(__xludf.DUMMYFUNCTION("""COMPUTED_VALUE"""),"ม.4/3")</f>
        <v>ม.4/3</v>
      </c>
      <c r="D1455" s="3" t="str">
        <f>IFERROR(__xludf.DUMMYFUNCTION("""COMPUTED_VALUE"""),"อก.3/15")</f>
        <v>อก.3/15</v>
      </c>
      <c r="E1455" s="2" t="str">
        <f>IFERROR(__xludf.DUMMYFUNCTION("""COMPUTED_VALUE"""),"หญิง")</f>
        <v>หญิง</v>
      </c>
      <c r="F1455" s="5" t="str">
        <f>IFERROR(__xludf.DUMMYFUNCTION("""COMPUTED_VALUE"""),"https://azizstan.net/student_image/24373.jpg")</f>
        <v>https://azizstan.net/student_image/24373.jpg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>
      <c r="A1456" s="3" t="str">
        <f>IFERROR(__xludf.DUMMYFUNCTION("""COMPUTED_VALUE"""),"24374")</f>
        <v>24374</v>
      </c>
      <c r="B1456" s="3" t="str">
        <f>IFERROR(__xludf.DUMMYFUNCTION("""COMPUTED_VALUE"""),"น.ส.บุสริน ลาเต๊ะ")</f>
        <v>น.ส.บุสริน ลาเต๊ะ</v>
      </c>
      <c r="C1456" s="3" t="str">
        <f>IFERROR(__xludf.DUMMYFUNCTION("""COMPUTED_VALUE"""),"ม.4/3")</f>
        <v>ม.4/3</v>
      </c>
      <c r="D1456" s="3" t="str">
        <f>IFERROR(__xludf.DUMMYFUNCTION("""COMPUTED_VALUE"""),"อก.3/15")</f>
        <v>อก.3/15</v>
      </c>
      <c r="E1456" s="2" t="str">
        <f>IFERROR(__xludf.DUMMYFUNCTION("""COMPUTED_VALUE"""),"หญิง")</f>
        <v>หญิง</v>
      </c>
      <c r="F1456" s="5" t="str">
        <f>IFERROR(__xludf.DUMMYFUNCTION("""COMPUTED_VALUE"""),"https://azizstan.net/student_image/24374.jpg")</f>
        <v>https://azizstan.net/student_image/24374.jpg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>
      <c r="A1457" s="3" t="str">
        <f>IFERROR(__xludf.DUMMYFUNCTION("""COMPUTED_VALUE"""),"24375")</f>
        <v>24375</v>
      </c>
      <c r="B1457" s="3" t="str">
        <f>IFERROR(__xludf.DUMMYFUNCTION("""COMPUTED_VALUE"""),"น.ส.อัซมี สาเล็ง")</f>
        <v>น.ส.อัซมี สาเล็ง</v>
      </c>
      <c r="C1457" s="3" t="str">
        <f>IFERROR(__xludf.DUMMYFUNCTION("""COMPUTED_VALUE"""),"ม.4/3")</f>
        <v>ม.4/3</v>
      </c>
      <c r="D1457" s="3" t="str">
        <f>IFERROR(__xludf.DUMMYFUNCTION("""COMPUTED_VALUE"""),"อก.3/9")</f>
        <v>อก.3/9</v>
      </c>
      <c r="E1457" s="2" t="str">
        <f>IFERROR(__xludf.DUMMYFUNCTION("""COMPUTED_VALUE"""),"หญิง")</f>
        <v>หญิง</v>
      </c>
      <c r="F1457" s="5" t="str">
        <f>IFERROR(__xludf.DUMMYFUNCTION("""COMPUTED_VALUE"""),"https://azizstan.net/student_image/24375.jpg")</f>
        <v>https://azizstan.net/student_image/24375.jpg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>
      <c r="A1458" s="3" t="str">
        <f>IFERROR(__xludf.DUMMYFUNCTION("""COMPUTED_VALUE"""),"24385")</f>
        <v>24385</v>
      </c>
      <c r="B1458" s="3" t="str">
        <f>IFERROR(__xludf.DUMMYFUNCTION("""COMPUTED_VALUE"""),"น.ส.อัสมาอ์ สาและ")</f>
        <v>น.ส.อัสมาอ์ สาและ</v>
      </c>
      <c r="C1458" s="3" t="str">
        <f>IFERROR(__xludf.DUMMYFUNCTION("""COMPUTED_VALUE"""),"ม.4/3")</f>
        <v>ม.4/3</v>
      </c>
      <c r="D1458" s="3" t="str">
        <f>IFERROR(__xludf.DUMMYFUNCTION("""COMPUTED_VALUE"""),"อก.3/15")</f>
        <v>อก.3/15</v>
      </c>
      <c r="E1458" s="2" t="str">
        <f>IFERROR(__xludf.DUMMYFUNCTION("""COMPUTED_VALUE"""),"หญิง")</f>
        <v>หญิง</v>
      </c>
      <c r="F1458" s="5" t="str">
        <f>IFERROR(__xludf.DUMMYFUNCTION("""COMPUTED_VALUE"""),"https://azizstan.net/student_image/24385.jpg")</f>
        <v>https://azizstan.net/student_image/24385.jpg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>
      <c r="A1459" s="3" t="str">
        <f>IFERROR(__xludf.DUMMYFUNCTION("""COMPUTED_VALUE"""),"24437")</f>
        <v>24437</v>
      </c>
      <c r="B1459" s="3" t="str">
        <f>IFERROR(__xludf.DUMMYFUNCTION("""COMPUTED_VALUE"""),"น.ส.ฟาดีละห์ สะอิ")</f>
        <v>น.ส.ฟาดีละห์ สะอิ</v>
      </c>
      <c r="C1459" s="3" t="str">
        <f>IFERROR(__xludf.DUMMYFUNCTION("""COMPUTED_VALUE"""),"ม.4/3")</f>
        <v>ม.4/3</v>
      </c>
      <c r="D1459" s="3" t="str">
        <f>IFERROR(__xludf.DUMMYFUNCTION("""COMPUTED_VALUE"""),"อก.3/9")</f>
        <v>อก.3/9</v>
      </c>
      <c r="E1459" s="2" t="str">
        <f>IFERROR(__xludf.DUMMYFUNCTION("""COMPUTED_VALUE"""),"หญิง")</f>
        <v>หญิง</v>
      </c>
      <c r="F1459" s="5" t="str">
        <f>IFERROR(__xludf.DUMMYFUNCTION("""COMPUTED_VALUE"""),"https://azizstan.net/student_image/24437.jpg")</f>
        <v>https://azizstan.net/student_image/24437.jpg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>
      <c r="A1460" s="3" t="str">
        <f>IFERROR(__xludf.DUMMYFUNCTION("""COMPUTED_VALUE"""),"24447")</f>
        <v>24447</v>
      </c>
      <c r="B1460" s="3" t="str">
        <f>IFERROR(__xludf.DUMMYFUNCTION("""COMPUTED_VALUE"""),"น.ส.มุสลีมะ เนียมนำ")</f>
        <v>น.ส.มุสลีมะ เนียมนำ</v>
      </c>
      <c r="C1460" s="3" t="str">
        <f>IFERROR(__xludf.DUMMYFUNCTION("""COMPUTED_VALUE"""),"ม.4/3")</f>
        <v>ม.4/3</v>
      </c>
      <c r="D1460" s="3" t="str">
        <f>IFERROR(__xludf.DUMMYFUNCTION("""COMPUTED_VALUE"""),"อก.3/15")</f>
        <v>อก.3/15</v>
      </c>
      <c r="E1460" s="2" t="str">
        <f>IFERROR(__xludf.DUMMYFUNCTION("""COMPUTED_VALUE"""),"หญิง")</f>
        <v>หญิง</v>
      </c>
      <c r="F1460" s="5" t="str">
        <f>IFERROR(__xludf.DUMMYFUNCTION("""COMPUTED_VALUE"""),"https://azizstan.net/student_image/24447.jpg")</f>
        <v>https://azizstan.net/student_image/24447.jpg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>
      <c r="A1461" s="3" t="str">
        <f>IFERROR(__xludf.DUMMYFUNCTION("""COMPUTED_VALUE"""),"24449")</f>
        <v>24449</v>
      </c>
      <c r="B1461" s="3" t="str">
        <f>IFERROR(__xludf.DUMMYFUNCTION("""COMPUTED_VALUE"""),"น.ส.ซัลวานี มะลี")</f>
        <v>น.ส.ซัลวานี มะลี</v>
      </c>
      <c r="C1461" s="3" t="str">
        <f>IFERROR(__xludf.DUMMYFUNCTION("""COMPUTED_VALUE"""),"ม.4/3")</f>
        <v>ม.4/3</v>
      </c>
      <c r="D1461" s="3" t="str">
        <f>IFERROR(__xludf.DUMMYFUNCTION("""COMPUTED_VALUE"""),"อก.3/15")</f>
        <v>อก.3/15</v>
      </c>
      <c r="E1461" s="2" t="str">
        <f>IFERROR(__xludf.DUMMYFUNCTION("""COMPUTED_VALUE"""),"หญิง")</f>
        <v>หญิง</v>
      </c>
      <c r="F1461" s="5" t="str">
        <f>IFERROR(__xludf.DUMMYFUNCTION("""COMPUTED_VALUE"""),"https://azizstan.net/student_image/24449.jpg")</f>
        <v>https://azizstan.net/student_image/24449.jpg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>
      <c r="A1462" s="3" t="str">
        <f>IFERROR(__xludf.DUMMYFUNCTION("""COMPUTED_VALUE"""),"24454")</f>
        <v>24454</v>
      </c>
      <c r="B1462" s="3" t="str">
        <f>IFERROR(__xludf.DUMMYFUNCTION("""COMPUTED_VALUE"""),"น.ส.นูรฮายาตี สุหลง")</f>
        <v>น.ส.นูรฮายาตี สุหลง</v>
      </c>
      <c r="C1462" s="3" t="str">
        <f>IFERROR(__xludf.DUMMYFUNCTION("""COMPUTED_VALUE"""),"ม.4/3")</f>
        <v>ม.4/3</v>
      </c>
      <c r="D1462" s="3" t="str">
        <f>IFERROR(__xludf.DUMMYFUNCTION("""COMPUTED_VALUE"""),"อก.3/9")</f>
        <v>อก.3/9</v>
      </c>
      <c r="E1462" s="2" t="str">
        <f>IFERROR(__xludf.DUMMYFUNCTION("""COMPUTED_VALUE"""),"หญิง")</f>
        <v>หญิง</v>
      </c>
      <c r="F1462" s="5" t="str">
        <f>IFERROR(__xludf.DUMMYFUNCTION("""COMPUTED_VALUE"""),"https://azizstan.net/student_image/24454.jpg")</f>
        <v>https://azizstan.net/student_image/24454.jpg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>
      <c r="A1463" s="3" t="str">
        <f>IFERROR(__xludf.DUMMYFUNCTION("""COMPUTED_VALUE"""),"24455")</f>
        <v>24455</v>
      </c>
      <c r="B1463" s="3" t="str">
        <f>IFERROR(__xludf.DUMMYFUNCTION("""COMPUTED_VALUE"""),"น.ส.ชลิตา อุเซ็ง")</f>
        <v>น.ส.ชลิตา อุเซ็ง</v>
      </c>
      <c r="C1463" s="3" t="str">
        <f>IFERROR(__xludf.DUMMYFUNCTION("""COMPUTED_VALUE"""),"ม.4/3")</f>
        <v>ม.4/3</v>
      </c>
      <c r="D1463" s="3" t="str">
        <f>IFERROR(__xludf.DUMMYFUNCTION("""COMPUTED_VALUE"""),"อก.3/9")</f>
        <v>อก.3/9</v>
      </c>
      <c r="E1463" s="2" t="str">
        <f>IFERROR(__xludf.DUMMYFUNCTION("""COMPUTED_VALUE"""),"หญิง")</f>
        <v>หญิง</v>
      </c>
      <c r="F1463" s="5" t="str">
        <f>IFERROR(__xludf.DUMMYFUNCTION("""COMPUTED_VALUE"""),"https://azizstan.net/student_image/24455.jpg")</f>
        <v>https://azizstan.net/student_image/24455.jpg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>
      <c r="A1464" s="3" t="str">
        <f>IFERROR(__xludf.DUMMYFUNCTION("""COMPUTED_VALUE"""),"24514")</f>
        <v>24514</v>
      </c>
      <c r="B1464" s="3" t="str">
        <f>IFERROR(__xludf.DUMMYFUNCTION("""COMPUTED_VALUE"""),"น.ส.ซาวิตรี มะยิ")</f>
        <v>น.ส.ซาวิตรี มะยิ</v>
      </c>
      <c r="C1464" s="3" t="str">
        <f>IFERROR(__xludf.DUMMYFUNCTION("""COMPUTED_VALUE"""),"ม.4/3")</f>
        <v>ม.4/3</v>
      </c>
      <c r="D1464" s="3" t="str">
        <f>IFERROR(__xludf.DUMMYFUNCTION("""COMPUTED_VALUE"""),"อก.3/9")</f>
        <v>อก.3/9</v>
      </c>
      <c r="E1464" s="2" t="str">
        <f>IFERROR(__xludf.DUMMYFUNCTION("""COMPUTED_VALUE"""),"หญิง")</f>
        <v>หญิง</v>
      </c>
      <c r="F1464" s="5" t="str">
        <f>IFERROR(__xludf.DUMMYFUNCTION("""COMPUTED_VALUE"""),"https://azizstan.net/student_image/24514.jpg")</f>
        <v>https://azizstan.net/student_image/24514.jpg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>
      <c r="A1465" s="3" t="str">
        <f>IFERROR(__xludf.DUMMYFUNCTION("""COMPUTED_VALUE"""),"25919")</f>
        <v>25919</v>
      </c>
      <c r="B1465" s="3" t="str">
        <f>IFERROR(__xludf.DUMMYFUNCTION("""COMPUTED_VALUE"""),"น.ส.ซามีมีย์ ลาดอ")</f>
        <v>น.ส.ซามีมีย์ ลาดอ</v>
      </c>
      <c r="C1465" s="3" t="str">
        <f>IFERROR(__xludf.DUMMYFUNCTION("""COMPUTED_VALUE"""),"ม.4/3")</f>
        <v>ม.4/3</v>
      </c>
      <c r="D1465" s="3" t="str">
        <f>IFERROR(__xludf.DUMMYFUNCTION("""COMPUTED_VALUE"""),"อป.1/3")</f>
        <v>อป.1/3</v>
      </c>
      <c r="E1465" s="2" t="str">
        <f>IFERROR(__xludf.DUMMYFUNCTION("""COMPUTED_VALUE"""),"หญิง")</f>
        <v>หญิง</v>
      </c>
      <c r="F1465" s="5" t="str">
        <f>IFERROR(__xludf.DUMMYFUNCTION("""COMPUTED_VALUE"""),"https://azizstan.net/student_image/25919.jpg")</f>
        <v>https://azizstan.net/student_image/25919.jpg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>
      <c r="A1466" s="3" t="str">
        <f>IFERROR(__xludf.DUMMYFUNCTION("""COMPUTED_VALUE"""),"26255")</f>
        <v>26255</v>
      </c>
      <c r="B1466" s="3" t="str">
        <f>IFERROR(__xludf.DUMMYFUNCTION("""COMPUTED_VALUE"""),"น.ส.ซูลีฮา แวบือราเฮง")</f>
        <v>น.ส.ซูลีฮา แวบือราเฮง</v>
      </c>
      <c r="C1466" s="3" t="str">
        <f>IFERROR(__xludf.DUMMYFUNCTION("""COMPUTED_VALUE"""),"ม.4/3")</f>
        <v>ม.4/3</v>
      </c>
      <c r="D1466" s="3" t="str">
        <f>IFERROR(__xludf.DUMMYFUNCTION("""COMPUTED_VALUE"""),"อก.3/15")</f>
        <v>อก.3/15</v>
      </c>
      <c r="E1466" s="2" t="str">
        <f>IFERROR(__xludf.DUMMYFUNCTION("""COMPUTED_VALUE"""),"หญิง")</f>
        <v>หญิง</v>
      </c>
      <c r="F1466" s="5" t="str">
        <f>IFERROR(__xludf.DUMMYFUNCTION("""COMPUTED_VALUE"""),"https://azizstan.net/student_image/26255.jpg")</f>
        <v>https://azizstan.net/student_image/26255.jpg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>
      <c r="A1467" s="3" t="str">
        <f>IFERROR(__xludf.DUMMYFUNCTION("""COMPUTED_VALUE"""),"24015")</f>
        <v>24015</v>
      </c>
      <c r="B1467" s="3" t="str">
        <f>IFERROR(__xludf.DUMMYFUNCTION("""COMPUTED_VALUE"""),"น.ส.อัสมา หะยีเจะนิ")</f>
        <v>น.ส.อัสมา หะยีเจะนิ</v>
      </c>
      <c r="C1467" s="3" t="str">
        <f>IFERROR(__xludf.DUMMYFUNCTION("""COMPUTED_VALUE"""),"ม.4/4")</f>
        <v>ม.4/4</v>
      </c>
      <c r="D1467" s="3" t="str">
        <f>IFERROR(__xludf.DUMMYFUNCTION("""COMPUTED_VALUE"""),"อป.1/4")</f>
        <v>อป.1/4</v>
      </c>
      <c r="E1467" s="2" t="str">
        <f>IFERROR(__xludf.DUMMYFUNCTION("""COMPUTED_VALUE"""),"หญิง")</f>
        <v>หญิง</v>
      </c>
      <c r="F1467" s="5" t="str">
        <f>IFERROR(__xludf.DUMMYFUNCTION("""COMPUTED_VALUE"""),"https://azizstan.net/student_image/24015.jpg")</f>
        <v>https://azizstan.net/student_image/24015.jpg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>
      <c r="A1468" s="3" t="str">
        <f>IFERROR(__xludf.DUMMYFUNCTION("""COMPUTED_VALUE"""),"24133")</f>
        <v>24133</v>
      </c>
      <c r="B1468" s="3" t="str">
        <f>IFERROR(__xludf.DUMMYFUNCTION("""COMPUTED_VALUE"""),"น.ส.ซีตีอามีเนาะ โต๊ะเวาะซะ")</f>
        <v>น.ส.ซีตีอามีเนาะ โต๊ะเวาะซะ</v>
      </c>
      <c r="C1468" s="3" t="str">
        <f>IFERROR(__xludf.DUMMYFUNCTION("""COMPUTED_VALUE"""),"ม.4/4")</f>
        <v>ม.4/4</v>
      </c>
      <c r="D1468" s="3" t="str">
        <f>IFERROR(__xludf.DUMMYFUNCTION("""COMPUTED_VALUE"""),"อป.1/4")</f>
        <v>อป.1/4</v>
      </c>
      <c r="E1468" s="2" t="str">
        <f>IFERROR(__xludf.DUMMYFUNCTION("""COMPUTED_VALUE"""),"หญิง")</f>
        <v>หญิง</v>
      </c>
      <c r="F1468" s="5" t="str">
        <f>IFERROR(__xludf.DUMMYFUNCTION("""COMPUTED_VALUE"""),"https://azizstan.net/student_image/24133.jpg")</f>
        <v>https://azizstan.net/student_image/24133.jpg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>
      <c r="A1469" s="3" t="str">
        <f>IFERROR(__xludf.DUMMYFUNCTION("""COMPUTED_VALUE"""),"24185")</f>
        <v>24185</v>
      </c>
      <c r="B1469" s="3" t="str">
        <f>IFERROR(__xludf.DUMMYFUNCTION("""COMPUTED_VALUE"""),"น.ส.นูรวานี เปาะมะ")</f>
        <v>น.ส.นูรวานี เปาะมะ</v>
      </c>
      <c r="C1469" s="3" t="str">
        <f>IFERROR(__xludf.DUMMYFUNCTION("""COMPUTED_VALUE"""),"ม.4/4")</f>
        <v>ม.4/4</v>
      </c>
      <c r="D1469" s="3" t="str">
        <f>IFERROR(__xludf.DUMMYFUNCTION("""COMPUTED_VALUE"""),"อป.1/4")</f>
        <v>อป.1/4</v>
      </c>
      <c r="E1469" s="2" t="str">
        <f>IFERROR(__xludf.DUMMYFUNCTION("""COMPUTED_VALUE"""),"หญิง")</f>
        <v>หญิง</v>
      </c>
      <c r="F1469" s="5" t="str">
        <f>IFERROR(__xludf.DUMMYFUNCTION("""COMPUTED_VALUE"""),"https://azizstan.net/student_image/24185.jpg")</f>
        <v>https://azizstan.net/student_image/24185.jpg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>
      <c r="A1470" s="3" t="str">
        <f>IFERROR(__xludf.DUMMYFUNCTION("""COMPUTED_VALUE"""),"24186")</f>
        <v>24186</v>
      </c>
      <c r="B1470" s="3" t="str">
        <f>IFERROR(__xludf.DUMMYFUNCTION("""COMPUTED_VALUE"""),"น.ส.นูรไลลา มอลอ")</f>
        <v>น.ส.นูรไลลา มอลอ</v>
      </c>
      <c r="C1470" s="3" t="str">
        <f>IFERROR(__xludf.DUMMYFUNCTION("""COMPUTED_VALUE"""),"ม.4/4")</f>
        <v>ม.4/4</v>
      </c>
      <c r="D1470" s="3" t="str">
        <f>IFERROR(__xludf.DUMMYFUNCTION("""COMPUTED_VALUE"""),"อป.1/4")</f>
        <v>อป.1/4</v>
      </c>
      <c r="E1470" s="2" t="str">
        <f>IFERROR(__xludf.DUMMYFUNCTION("""COMPUTED_VALUE"""),"หญิง")</f>
        <v>หญิง</v>
      </c>
      <c r="F1470" s="5" t="str">
        <f>IFERROR(__xludf.DUMMYFUNCTION("""COMPUTED_VALUE"""),"https://azizstan.net/student_image/24186.jpg")</f>
        <v>https://azizstan.net/student_image/24186.jpg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>
      <c r="A1471" s="3" t="str">
        <f>IFERROR(__xludf.DUMMYFUNCTION("""COMPUTED_VALUE"""),"24192")</f>
        <v>24192</v>
      </c>
      <c r="B1471" s="3" t="str">
        <f>IFERROR(__xludf.DUMMYFUNCTION("""COMPUTED_VALUE"""),"น.ส.นูรซอลีฮะห์ สุหลง")</f>
        <v>น.ส.นูรซอลีฮะห์ สุหลง</v>
      </c>
      <c r="C1471" s="3" t="str">
        <f>IFERROR(__xludf.DUMMYFUNCTION("""COMPUTED_VALUE"""),"ม.4/4")</f>
        <v>ม.4/4</v>
      </c>
      <c r="D1471" s="3" t="str">
        <f>IFERROR(__xludf.DUMMYFUNCTION("""COMPUTED_VALUE"""),"อป.1/4")</f>
        <v>อป.1/4</v>
      </c>
      <c r="E1471" s="2" t="str">
        <f>IFERROR(__xludf.DUMMYFUNCTION("""COMPUTED_VALUE"""),"หญิง")</f>
        <v>หญิง</v>
      </c>
      <c r="F1471" s="5" t="str">
        <f>IFERROR(__xludf.DUMMYFUNCTION("""COMPUTED_VALUE"""),"https://azizstan.net/student_image/24192.jpg")</f>
        <v>https://azizstan.net/student_image/24192.jpg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>
      <c r="A1472" s="3" t="str">
        <f>IFERROR(__xludf.DUMMYFUNCTION("""COMPUTED_VALUE"""),"24204")</f>
        <v>24204</v>
      </c>
      <c r="B1472" s="3" t="str">
        <f>IFERROR(__xludf.DUMMYFUNCTION("""COMPUTED_VALUE"""),"น.ส.รอยฮัน แยนา")</f>
        <v>น.ส.รอยฮัน แยนา</v>
      </c>
      <c r="C1472" s="3" t="str">
        <f>IFERROR(__xludf.DUMMYFUNCTION("""COMPUTED_VALUE"""),"ม.4/4")</f>
        <v>ม.4/4</v>
      </c>
      <c r="D1472" s="3" t="str">
        <f>IFERROR(__xludf.DUMMYFUNCTION("""COMPUTED_VALUE"""),"อป.1/4")</f>
        <v>อป.1/4</v>
      </c>
      <c r="E1472" s="2" t="str">
        <f>IFERROR(__xludf.DUMMYFUNCTION("""COMPUTED_VALUE"""),"หญิง")</f>
        <v>หญิง</v>
      </c>
      <c r="F1472" s="5" t="str">
        <f>IFERROR(__xludf.DUMMYFUNCTION("""COMPUTED_VALUE"""),"https://azizstan.net/student_image/24204.jpg")</f>
        <v>https://azizstan.net/student_image/24204.jpg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>
      <c r="A1473" s="3" t="str">
        <f>IFERROR(__xludf.DUMMYFUNCTION("""COMPUTED_VALUE"""),"24258")</f>
        <v>24258</v>
      </c>
      <c r="B1473" s="3" t="str">
        <f>IFERROR(__xludf.DUMMYFUNCTION("""COMPUTED_VALUE"""),"น.ส.ฟาตีฮะห์ ดอเลาะ")</f>
        <v>น.ส.ฟาตีฮะห์ ดอเลาะ</v>
      </c>
      <c r="C1473" s="3" t="str">
        <f>IFERROR(__xludf.DUMMYFUNCTION("""COMPUTED_VALUE"""),"ม.4/4")</f>
        <v>ม.4/4</v>
      </c>
      <c r="D1473" s="3" t="str">
        <f>IFERROR(__xludf.DUMMYFUNCTION("""COMPUTED_VALUE"""),"อป.1/4")</f>
        <v>อป.1/4</v>
      </c>
      <c r="E1473" s="2" t="str">
        <f>IFERROR(__xludf.DUMMYFUNCTION("""COMPUTED_VALUE"""),"หญิง")</f>
        <v>หญิง</v>
      </c>
      <c r="F1473" s="5" t="str">
        <f>IFERROR(__xludf.DUMMYFUNCTION("""COMPUTED_VALUE"""),"https://azizstan.net/student_image/24258.jpg")</f>
        <v>https://azizstan.net/student_image/24258.jpg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>
      <c r="A1474" s="3" t="str">
        <f>IFERROR(__xludf.DUMMYFUNCTION("""COMPUTED_VALUE"""),"24260")</f>
        <v>24260</v>
      </c>
      <c r="B1474" s="3" t="str">
        <f>IFERROR(__xludf.DUMMYFUNCTION("""COMPUTED_VALUE"""),"น.ส.นิสา ปูตะ")</f>
        <v>น.ส.นิสา ปูตะ</v>
      </c>
      <c r="C1474" s="3" t="str">
        <f>IFERROR(__xludf.DUMMYFUNCTION("""COMPUTED_VALUE"""),"ม.4/4")</f>
        <v>ม.4/4</v>
      </c>
      <c r="D1474" s="3" t="str">
        <f>IFERROR(__xludf.DUMMYFUNCTION("""COMPUTED_VALUE"""),"อป.1/4")</f>
        <v>อป.1/4</v>
      </c>
      <c r="E1474" s="2" t="str">
        <f>IFERROR(__xludf.DUMMYFUNCTION("""COMPUTED_VALUE"""),"หญิง")</f>
        <v>หญิง</v>
      </c>
      <c r="F1474" s="5" t="str">
        <f>IFERROR(__xludf.DUMMYFUNCTION("""COMPUTED_VALUE"""),"https://azizstan.net/student_image/24260.jpg")</f>
        <v>https://azizstan.net/student_image/24260.jpg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>
      <c r="A1475" s="3" t="str">
        <f>IFERROR(__xludf.DUMMYFUNCTION("""COMPUTED_VALUE"""),"24267")</f>
        <v>24267</v>
      </c>
      <c r="B1475" s="3" t="str">
        <f>IFERROR(__xludf.DUMMYFUNCTION("""COMPUTED_VALUE"""),"น.ส.ฮัฟซาน นิพร่อน")</f>
        <v>น.ส.ฮัฟซาน นิพร่อน</v>
      </c>
      <c r="C1475" s="3" t="str">
        <f>IFERROR(__xludf.DUMMYFUNCTION("""COMPUTED_VALUE"""),"ม.4/4")</f>
        <v>ม.4/4</v>
      </c>
      <c r="D1475" s="3" t="str">
        <f>IFERROR(__xludf.DUMMYFUNCTION("""COMPUTED_VALUE"""),"อป.1/4")</f>
        <v>อป.1/4</v>
      </c>
      <c r="E1475" s="2" t="str">
        <f>IFERROR(__xludf.DUMMYFUNCTION("""COMPUTED_VALUE"""),"หญิง")</f>
        <v>หญิง</v>
      </c>
      <c r="F1475" s="5" t="str">
        <f>IFERROR(__xludf.DUMMYFUNCTION("""COMPUTED_VALUE"""),"https://azizstan.net/student_image/24267.jpg")</f>
        <v>https://azizstan.net/student_image/24267.jpg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>
      <c r="A1476" s="3" t="str">
        <f>IFERROR(__xludf.DUMMYFUNCTION("""COMPUTED_VALUE"""),"24285")</f>
        <v>24285</v>
      </c>
      <c r="B1476" s="3" t="str">
        <f>IFERROR(__xludf.DUMMYFUNCTION("""COMPUTED_VALUE"""),"น.ส.ฟาดีละห์ เจ๊ะลอ")</f>
        <v>น.ส.ฟาดีละห์ เจ๊ะลอ</v>
      </c>
      <c r="C1476" s="3" t="str">
        <f>IFERROR(__xludf.DUMMYFUNCTION("""COMPUTED_VALUE"""),"ม.4/4")</f>
        <v>ม.4/4</v>
      </c>
      <c r="D1476" s="3" t="str">
        <f>IFERROR(__xludf.DUMMYFUNCTION("""COMPUTED_VALUE"""),"อป.1/4")</f>
        <v>อป.1/4</v>
      </c>
      <c r="E1476" s="2" t="str">
        <f>IFERROR(__xludf.DUMMYFUNCTION("""COMPUTED_VALUE"""),"หญิง")</f>
        <v>หญิง</v>
      </c>
      <c r="F1476" s="5" t="str">
        <f>IFERROR(__xludf.DUMMYFUNCTION("""COMPUTED_VALUE"""),"https://azizstan.net/student_image/24285.jpg")</f>
        <v>https://azizstan.net/student_image/24285.jpg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>
      <c r="A1477" s="3" t="str">
        <f>IFERROR(__xludf.DUMMYFUNCTION("""COMPUTED_VALUE"""),"24312")</f>
        <v>24312</v>
      </c>
      <c r="B1477" s="3" t="str">
        <f>IFERROR(__xludf.DUMMYFUNCTION("""COMPUTED_VALUE"""),"น.ส.นูรฮาซีกีน ตาเย๊ะ")</f>
        <v>น.ส.นูรฮาซีกีน ตาเย๊ะ</v>
      </c>
      <c r="C1477" s="3" t="str">
        <f>IFERROR(__xludf.DUMMYFUNCTION("""COMPUTED_VALUE"""),"ม.4/4")</f>
        <v>ม.4/4</v>
      </c>
      <c r="D1477" s="3" t="str">
        <f>IFERROR(__xludf.DUMMYFUNCTION("""COMPUTED_VALUE"""),"อป.1/4")</f>
        <v>อป.1/4</v>
      </c>
      <c r="E1477" s="2" t="str">
        <f>IFERROR(__xludf.DUMMYFUNCTION("""COMPUTED_VALUE"""),"หญิง")</f>
        <v>หญิง</v>
      </c>
      <c r="F1477" s="5" t="str">
        <f>IFERROR(__xludf.DUMMYFUNCTION("""COMPUTED_VALUE"""),"https://azizstan.net/student_image/24312.jpg")</f>
        <v>https://azizstan.net/student_image/24312.jpg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>
      <c r="A1478" s="3" t="str">
        <f>IFERROR(__xludf.DUMMYFUNCTION("""COMPUTED_VALUE"""),"24327")</f>
        <v>24327</v>
      </c>
      <c r="B1478" s="3" t="str">
        <f>IFERROR(__xludf.DUMMYFUNCTION("""COMPUTED_VALUE"""),"น.ส.อัฟนาน แวดาโอะ")</f>
        <v>น.ส.อัฟนาน แวดาโอะ</v>
      </c>
      <c r="C1478" s="3" t="str">
        <f>IFERROR(__xludf.DUMMYFUNCTION("""COMPUTED_VALUE"""),"ม.4/4")</f>
        <v>ม.4/4</v>
      </c>
      <c r="D1478" s="3" t="str">
        <f>IFERROR(__xludf.DUMMYFUNCTION("""COMPUTED_VALUE"""),"อป.1/4")</f>
        <v>อป.1/4</v>
      </c>
      <c r="E1478" s="2" t="str">
        <f>IFERROR(__xludf.DUMMYFUNCTION("""COMPUTED_VALUE"""),"หญิง")</f>
        <v>หญิง</v>
      </c>
      <c r="F1478" s="5" t="str">
        <f>IFERROR(__xludf.DUMMYFUNCTION("""COMPUTED_VALUE"""),"https://azizstan.net/student_image/24327.jpg")</f>
        <v>https://azizstan.net/student_image/24327.jpg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>
      <c r="A1479" s="3" t="str">
        <f>IFERROR(__xludf.DUMMYFUNCTION("""COMPUTED_VALUE"""),"24469")</f>
        <v>24469</v>
      </c>
      <c r="B1479" s="3" t="str">
        <f>IFERROR(__xludf.DUMMYFUNCTION("""COMPUTED_VALUE"""),"น.ส.ซูไรดา แมเราะ")</f>
        <v>น.ส.ซูไรดา แมเราะ</v>
      </c>
      <c r="C1479" s="3" t="str">
        <f>IFERROR(__xludf.DUMMYFUNCTION("""COMPUTED_VALUE"""),"ม.4/4")</f>
        <v>ม.4/4</v>
      </c>
      <c r="D1479" s="3" t="str">
        <f>IFERROR(__xludf.DUMMYFUNCTION("""COMPUTED_VALUE"""),"อป.1/4")</f>
        <v>อป.1/4</v>
      </c>
      <c r="E1479" s="2" t="str">
        <f>IFERROR(__xludf.DUMMYFUNCTION("""COMPUTED_VALUE"""),"หญิง")</f>
        <v>หญิง</v>
      </c>
      <c r="F1479" s="5" t="str">
        <f>IFERROR(__xludf.DUMMYFUNCTION("""COMPUTED_VALUE"""),"https://azizstan.net/student_image/24469.jpg")</f>
        <v>https://azizstan.net/student_image/24469.jpg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>
      <c r="A1480" s="3" t="str">
        <f>IFERROR(__xludf.DUMMYFUNCTION("""COMPUTED_VALUE"""),"25290")</f>
        <v>25290</v>
      </c>
      <c r="B1480" s="3" t="str">
        <f>IFERROR(__xludf.DUMMYFUNCTION("""COMPUTED_VALUE"""),"น.ส.นาเดีย มะแซ")</f>
        <v>น.ส.นาเดีย มะแซ</v>
      </c>
      <c r="C1480" s="3" t="str">
        <f>IFERROR(__xludf.DUMMYFUNCTION("""COMPUTED_VALUE"""),"ม.4/4")</f>
        <v>ม.4/4</v>
      </c>
      <c r="D1480" s="3" t="str">
        <f>IFERROR(__xludf.DUMMYFUNCTION("""COMPUTED_VALUE"""),"อป.1/4")</f>
        <v>อป.1/4</v>
      </c>
      <c r="E1480" s="2" t="str">
        <f>IFERROR(__xludf.DUMMYFUNCTION("""COMPUTED_VALUE"""),"หญิง")</f>
        <v>หญิง</v>
      </c>
      <c r="F1480" s="5" t="str">
        <f>IFERROR(__xludf.DUMMYFUNCTION("""COMPUTED_VALUE"""),"https://azizstan.net/student_image/25290.jpg")</f>
        <v>https://azizstan.net/student_image/25290.jpg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>
      <c r="A1481" s="3" t="str">
        <f>IFERROR(__xludf.DUMMYFUNCTION("""COMPUTED_VALUE"""),"26034")</f>
        <v>26034</v>
      </c>
      <c r="B1481" s="3" t="str">
        <f>IFERROR(__xludf.DUMMYFUNCTION("""COMPUTED_VALUE"""),"น.ส.นัชวา แดวอ")</f>
        <v>น.ส.นัชวา แดวอ</v>
      </c>
      <c r="C1481" s="3" t="str">
        <f>IFERROR(__xludf.DUMMYFUNCTION("""COMPUTED_VALUE"""),"ม.4/4")</f>
        <v>ม.4/4</v>
      </c>
      <c r="D1481" s="3" t="str">
        <f>IFERROR(__xludf.DUMMYFUNCTION("""COMPUTED_VALUE"""),"อป.1/2")</f>
        <v>อป.1/2</v>
      </c>
      <c r="E1481" s="2" t="str">
        <f>IFERROR(__xludf.DUMMYFUNCTION("""COMPUTED_VALUE"""),"หญิง")</f>
        <v>หญิง</v>
      </c>
      <c r="F1481" s="5" t="str">
        <f>IFERROR(__xludf.DUMMYFUNCTION("""COMPUTED_VALUE"""),"https://azizstan.net/student_image/26034.jpg")</f>
        <v>https://azizstan.net/student_image/26034.jpg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>
      <c r="A1482" s="3" t="str">
        <f>IFERROR(__xludf.DUMMYFUNCTION("""COMPUTED_VALUE"""),"26038")</f>
        <v>26038</v>
      </c>
      <c r="B1482" s="3" t="str">
        <f>IFERROR(__xludf.DUMMYFUNCTION("""COMPUTED_VALUE"""),"น.ส.ญาวานี จิสา")</f>
        <v>น.ส.ญาวานี จิสา</v>
      </c>
      <c r="C1482" s="3" t="str">
        <f>IFERROR(__xludf.DUMMYFUNCTION("""COMPUTED_VALUE"""),"ม.4/4")</f>
        <v>ม.4/4</v>
      </c>
      <c r="D1482" s="3" t="str">
        <f>IFERROR(__xludf.DUMMYFUNCTION("""COMPUTED_VALUE"""),"อป.1/2")</f>
        <v>อป.1/2</v>
      </c>
      <c r="E1482" s="2" t="str">
        <f>IFERROR(__xludf.DUMMYFUNCTION("""COMPUTED_VALUE"""),"หญิง")</f>
        <v>หญิง</v>
      </c>
      <c r="F1482" s="5" t="str">
        <f>IFERROR(__xludf.DUMMYFUNCTION("""COMPUTED_VALUE"""),"https://azizstan.net/student_image/26038.jpg")</f>
        <v>https://azizstan.net/student_image/26038.jpg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>
      <c r="A1483" s="3" t="str">
        <f>IFERROR(__xludf.DUMMYFUNCTION("""COMPUTED_VALUE"""),"26046")</f>
        <v>26046</v>
      </c>
      <c r="B1483" s="3" t="str">
        <f>IFERROR(__xludf.DUMMYFUNCTION("""COMPUTED_VALUE"""),"น.ส.รุบนา ดามันยูโซ๊ะ")</f>
        <v>น.ส.รุบนา ดามันยูโซ๊ะ</v>
      </c>
      <c r="C1483" s="3" t="str">
        <f>IFERROR(__xludf.DUMMYFUNCTION("""COMPUTED_VALUE"""),"ม.4/4")</f>
        <v>ม.4/4</v>
      </c>
      <c r="D1483" s="3" t="str">
        <f>IFERROR(__xludf.DUMMYFUNCTION("""COMPUTED_VALUE"""),"อป.1/2")</f>
        <v>อป.1/2</v>
      </c>
      <c r="E1483" s="2" t="str">
        <f>IFERROR(__xludf.DUMMYFUNCTION("""COMPUTED_VALUE"""),"หญิง")</f>
        <v>หญิง</v>
      </c>
      <c r="F1483" s="5" t="str">
        <f>IFERROR(__xludf.DUMMYFUNCTION("""COMPUTED_VALUE"""),"https://azizstan.net/student_image/26046.jpg")</f>
        <v>https://azizstan.net/student_image/26046.jpg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>
      <c r="A1484" s="3" t="str">
        <f>IFERROR(__xludf.DUMMYFUNCTION("""COMPUTED_VALUE"""),"26120")</f>
        <v>26120</v>
      </c>
      <c r="B1484" s="3" t="str">
        <f>IFERROR(__xludf.DUMMYFUNCTION("""COMPUTED_VALUE"""),"น.ส.นุรฮูดา บากา")</f>
        <v>น.ส.นุรฮูดา บากา</v>
      </c>
      <c r="C1484" s="3" t="str">
        <f>IFERROR(__xludf.DUMMYFUNCTION("""COMPUTED_VALUE"""),"ม.4/4")</f>
        <v>ม.4/4</v>
      </c>
      <c r="D1484" s="3" t="str">
        <f>IFERROR(__xludf.DUMMYFUNCTION("""COMPUTED_VALUE"""),"อก.1/14")</f>
        <v>อก.1/14</v>
      </c>
      <c r="E1484" s="2" t="str">
        <f>IFERROR(__xludf.DUMMYFUNCTION("""COMPUTED_VALUE"""),"หญิง")</f>
        <v>หญิง</v>
      </c>
      <c r="F1484" s="5" t="str">
        <f>IFERROR(__xludf.DUMMYFUNCTION("""COMPUTED_VALUE"""),"https://azizstan.net/student_image/26120.jpg")</f>
        <v>https://azizstan.net/student_image/26120.jpg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>
      <c r="A1485" s="3" t="str">
        <f>IFERROR(__xludf.DUMMYFUNCTION("""COMPUTED_VALUE"""),"26124")</f>
        <v>26124</v>
      </c>
      <c r="B1485" s="3" t="str">
        <f>IFERROR(__xludf.DUMMYFUNCTION("""COMPUTED_VALUE"""),"น.ส.อัซฮาม บือซา")</f>
        <v>น.ส.อัซฮาม บือซา</v>
      </c>
      <c r="C1485" s="3" t="str">
        <f>IFERROR(__xludf.DUMMYFUNCTION("""COMPUTED_VALUE"""),"ม.4/4")</f>
        <v>ม.4/4</v>
      </c>
      <c r="D1485" s="3" t="str">
        <f>IFERROR(__xludf.DUMMYFUNCTION("""COMPUTED_VALUE"""),"อป.1/2")</f>
        <v>อป.1/2</v>
      </c>
      <c r="E1485" s="2" t="str">
        <f>IFERROR(__xludf.DUMMYFUNCTION("""COMPUTED_VALUE"""),"หญิง")</f>
        <v>หญิง</v>
      </c>
      <c r="F1485" s="5" t="str">
        <f>IFERROR(__xludf.DUMMYFUNCTION("""COMPUTED_VALUE"""),"https://azizstan.net/student_image/26124.jpg")</f>
        <v>https://azizstan.net/student_image/26124.jpg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>
      <c r="A1486" s="3" t="str">
        <f>IFERROR(__xludf.DUMMYFUNCTION("""COMPUTED_VALUE"""),"26159")</f>
        <v>26159</v>
      </c>
      <c r="B1486" s="3" t="str">
        <f>IFERROR(__xludf.DUMMYFUNCTION("""COMPUTED_VALUE"""),"น.ส.อาวาติฟ สะมะ")</f>
        <v>น.ส.อาวาติฟ สะมะ</v>
      </c>
      <c r="C1486" s="3" t="str">
        <f>IFERROR(__xludf.DUMMYFUNCTION("""COMPUTED_VALUE"""),"ม.4/4")</f>
        <v>ม.4/4</v>
      </c>
      <c r="D1486" s="3" t="str">
        <f>IFERROR(__xludf.DUMMYFUNCTION("""COMPUTED_VALUE"""),"อก.1/14")</f>
        <v>อก.1/14</v>
      </c>
      <c r="E1486" s="2" t="str">
        <f>IFERROR(__xludf.DUMMYFUNCTION("""COMPUTED_VALUE"""),"หญิง")</f>
        <v>หญิง</v>
      </c>
      <c r="F1486" s="5" t="str">
        <f>IFERROR(__xludf.DUMMYFUNCTION("""COMPUTED_VALUE"""),"https://azizstan.net/student_image/26159.jpg")</f>
        <v>https://azizstan.net/student_image/26159.jpg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>
      <c r="A1487" s="3" t="str">
        <f>IFERROR(__xludf.DUMMYFUNCTION("""COMPUTED_VALUE"""),"26196")</f>
        <v>26196</v>
      </c>
      <c r="B1487" s="3" t="str">
        <f>IFERROR(__xludf.DUMMYFUNCTION("""COMPUTED_VALUE"""),"น.ส.อัสมะ ดาโต๊ะ")</f>
        <v>น.ส.อัสมะ ดาโต๊ะ</v>
      </c>
      <c r="C1487" s="3" t="str">
        <f>IFERROR(__xludf.DUMMYFUNCTION("""COMPUTED_VALUE"""),"ม.4/4")</f>
        <v>ม.4/4</v>
      </c>
      <c r="D1487" s="3" t="str">
        <f>IFERROR(__xludf.DUMMYFUNCTION("""COMPUTED_VALUE"""),"อป.1/2")</f>
        <v>อป.1/2</v>
      </c>
      <c r="E1487" s="2" t="str">
        <f>IFERROR(__xludf.DUMMYFUNCTION("""COMPUTED_VALUE"""),"หญิง")</f>
        <v>หญิง</v>
      </c>
      <c r="F1487" s="5" t="str">
        <f>IFERROR(__xludf.DUMMYFUNCTION("""COMPUTED_VALUE"""),"https://azizstan.net/student_image/26196.jpg")</f>
        <v>https://azizstan.net/student_image/26196.jpg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>
      <c r="A1488" s="3" t="str">
        <f>IFERROR(__xludf.DUMMYFUNCTION("""COMPUTED_VALUE"""),"26249")</f>
        <v>26249</v>
      </c>
      <c r="B1488" s="3" t="str">
        <f>IFERROR(__xludf.DUMMYFUNCTION("""COMPUTED_VALUE"""),"น.ส.อาดีละห์ สาเม๊าะ")</f>
        <v>น.ส.อาดีละห์ สาเม๊าะ</v>
      </c>
      <c r="C1488" s="3" t="str">
        <f>IFERROR(__xludf.DUMMYFUNCTION("""COMPUTED_VALUE"""),"ม.4/4")</f>
        <v>ม.4/4</v>
      </c>
      <c r="D1488" s="3" t="str">
        <f>IFERROR(__xludf.DUMMYFUNCTION("""COMPUTED_VALUE"""),"อป.1/4")</f>
        <v>อป.1/4</v>
      </c>
      <c r="E1488" s="2" t="str">
        <f>IFERROR(__xludf.DUMMYFUNCTION("""COMPUTED_VALUE"""),"หญิง")</f>
        <v>หญิง</v>
      </c>
      <c r="F1488" s="5" t="str">
        <f>IFERROR(__xludf.DUMMYFUNCTION("""COMPUTED_VALUE"""),"https://azizstan.net/student_image/26249.jpg")</f>
        <v>https://azizstan.net/student_image/26249.jpg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>
      <c r="A1489" s="3" t="str">
        <f>IFERROR(__xludf.DUMMYFUNCTION("""COMPUTED_VALUE"""),"26266")</f>
        <v>26266</v>
      </c>
      <c r="B1489" s="3" t="str">
        <f>IFERROR(__xludf.DUMMYFUNCTION("""COMPUTED_VALUE"""),"น.ส.นูรุลตักวา ยีสะอุ")</f>
        <v>น.ส.นูรุลตักวา ยีสะอุ</v>
      </c>
      <c r="C1489" s="3" t="str">
        <f>IFERROR(__xludf.DUMMYFUNCTION("""COMPUTED_VALUE"""),"ม.4/4")</f>
        <v>ม.4/4</v>
      </c>
      <c r="D1489" s="3" t="str">
        <f>IFERROR(__xludf.DUMMYFUNCTION("""COMPUTED_VALUE"""),"อก.2/6")</f>
        <v>อก.2/6</v>
      </c>
      <c r="E1489" s="2" t="str">
        <f>IFERROR(__xludf.DUMMYFUNCTION("""COMPUTED_VALUE"""),"หญิง")</f>
        <v>หญิง</v>
      </c>
      <c r="F1489" s="5" t="str">
        <f>IFERROR(__xludf.DUMMYFUNCTION("""COMPUTED_VALUE"""),"https://azizstan.net/student_image/26266.jpg")</f>
        <v>https://azizstan.net/student_image/26266.jpg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>
      <c r="A1490" s="3" t="str">
        <f>IFERROR(__xludf.DUMMYFUNCTION("""COMPUTED_VALUE"""),"26338")</f>
        <v>26338</v>
      </c>
      <c r="B1490" s="3" t="str">
        <f>IFERROR(__xludf.DUMMYFUNCTION("""COMPUTED_VALUE"""),"น.ส.ซัซวานี หมะอะ")</f>
        <v>น.ส.ซัซวานี หมะอะ</v>
      </c>
      <c r="C1490" s="3" t="str">
        <f>IFERROR(__xludf.DUMMYFUNCTION("""COMPUTED_VALUE"""),"ม.4/4")</f>
        <v>ม.4/4</v>
      </c>
      <c r="D1490" s="3" t="str">
        <f>IFERROR(__xludf.DUMMYFUNCTION("""COMPUTED_VALUE"""),"อป.1/2")</f>
        <v>อป.1/2</v>
      </c>
      <c r="E1490" s="2" t="str">
        <f>IFERROR(__xludf.DUMMYFUNCTION("""COMPUTED_VALUE"""),"หญิง")</f>
        <v>หญิง</v>
      </c>
      <c r="F1490" s="5" t="str">
        <f>IFERROR(__xludf.DUMMYFUNCTION("""COMPUTED_VALUE"""),"https://azizstan.net/student_image/26338.jpg")</f>
        <v>https://azizstan.net/student_image/26338.jpg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>
      <c r="A1491" s="3" t="str">
        <f>IFERROR(__xludf.DUMMYFUNCTION("""COMPUTED_VALUE"""),"26340")</f>
        <v>26340</v>
      </c>
      <c r="B1491" s="3" t="str">
        <f>IFERROR(__xludf.DUMMYFUNCTION("""COMPUTED_VALUE"""),"น.ส.อาตีน่า มาลารัตน์")</f>
        <v>น.ส.อาตีน่า มาลารัตน์</v>
      </c>
      <c r="C1491" s="3" t="str">
        <f>IFERROR(__xludf.DUMMYFUNCTION("""COMPUTED_VALUE"""),"ม.4/4")</f>
        <v>ม.4/4</v>
      </c>
      <c r="D1491" s="3" t="str">
        <f>IFERROR(__xludf.DUMMYFUNCTION("""COMPUTED_VALUE"""),"อก.1/14")</f>
        <v>อก.1/14</v>
      </c>
      <c r="E1491" s="2" t="str">
        <f>IFERROR(__xludf.DUMMYFUNCTION("""COMPUTED_VALUE"""),"หญิง")</f>
        <v>หญิง</v>
      </c>
      <c r="F1491" s="5" t="str">
        <f>IFERROR(__xludf.DUMMYFUNCTION("""COMPUTED_VALUE"""),"https://azizstan.net/student_image/26340.jpg")</f>
        <v>https://azizstan.net/student_image/26340.jpg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>
      <c r="A1492" s="3" t="str">
        <f>IFERROR(__xludf.DUMMYFUNCTION("""COMPUTED_VALUE"""),"26359")</f>
        <v>26359</v>
      </c>
      <c r="B1492" s="3" t="str">
        <f>IFERROR(__xludf.DUMMYFUNCTION("""COMPUTED_VALUE"""),"น.ส.ซุลฟาร์ โดยหมะ")</f>
        <v>น.ส.ซุลฟาร์ โดยหมะ</v>
      </c>
      <c r="C1492" s="3" t="str">
        <f>IFERROR(__xludf.DUMMYFUNCTION("""COMPUTED_VALUE"""),"ม.4/4")</f>
        <v>ม.4/4</v>
      </c>
      <c r="D1492" s="3" t="str">
        <f>IFERROR(__xludf.DUMMYFUNCTION("""COMPUTED_VALUE"""),"อก.1/14")</f>
        <v>อก.1/14</v>
      </c>
      <c r="E1492" s="2" t="str">
        <f>IFERROR(__xludf.DUMMYFUNCTION("""COMPUTED_VALUE"""),"หญิง")</f>
        <v>หญิง</v>
      </c>
      <c r="F1492" s="5" t="str">
        <f>IFERROR(__xludf.DUMMYFUNCTION("""COMPUTED_VALUE"""),"https://azizstan.net/student_image/26359.jpg")</f>
        <v>https://azizstan.net/student_image/26359.jpg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>
      <c r="A1493" s="3" t="str">
        <f>IFERROR(__xludf.DUMMYFUNCTION("""COMPUTED_VALUE"""),"26381")</f>
        <v>26381</v>
      </c>
      <c r="B1493" s="3" t="str">
        <f>IFERROR(__xludf.DUMMYFUNCTION("""COMPUTED_VALUE"""),"น.ส.ฟิตรี มะแซ")</f>
        <v>น.ส.ฟิตรี มะแซ</v>
      </c>
      <c r="C1493" s="3" t="str">
        <f>IFERROR(__xludf.DUMMYFUNCTION("""COMPUTED_VALUE"""),"ม.4/4")</f>
        <v>ม.4/4</v>
      </c>
      <c r="D1493" s="3" t="str">
        <f>IFERROR(__xludf.DUMMYFUNCTION("""COMPUTED_VALUE"""),"อป.1/2")</f>
        <v>อป.1/2</v>
      </c>
      <c r="E1493" s="2" t="str">
        <f>IFERROR(__xludf.DUMMYFUNCTION("""COMPUTED_VALUE"""),"หญิง")</f>
        <v>หญิง</v>
      </c>
      <c r="F1493" s="5" t="str">
        <f>IFERROR(__xludf.DUMMYFUNCTION("""COMPUTED_VALUE"""),"https://azizstan.net/student_image/26381.jpg")</f>
        <v>https://azizstan.net/student_image/26381.jpg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>
      <c r="A1494" s="3" t="str">
        <f>IFERROR(__xludf.DUMMYFUNCTION("""COMPUTED_VALUE"""),"26404")</f>
        <v>26404</v>
      </c>
      <c r="B1494" s="3" t="str">
        <f>IFERROR(__xludf.DUMMYFUNCTION("""COMPUTED_VALUE"""),"น.ส.โซเฟีย ดะแล")</f>
        <v>น.ส.โซเฟีย ดะแล</v>
      </c>
      <c r="C1494" s="3" t="str">
        <f>IFERROR(__xludf.DUMMYFUNCTION("""COMPUTED_VALUE"""),"ม.4/4")</f>
        <v>ม.4/4</v>
      </c>
      <c r="D1494" s="3" t="str">
        <f>IFERROR(__xludf.DUMMYFUNCTION("""COMPUTED_VALUE"""),"อก.1/14")</f>
        <v>อก.1/14</v>
      </c>
      <c r="E1494" s="2" t="str">
        <f>IFERROR(__xludf.DUMMYFUNCTION("""COMPUTED_VALUE"""),"หญิง")</f>
        <v>หญิง</v>
      </c>
      <c r="F1494" s="5" t="str">
        <f>IFERROR(__xludf.DUMMYFUNCTION("""COMPUTED_VALUE"""),"https://azizstan.net/student_image/26404.jpg")</f>
        <v>https://azizstan.net/student_image/26404.jpg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>
      <c r="A1495" s="3" t="str">
        <f>IFERROR(__xludf.DUMMYFUNCTION("""COMPUTED_VALUE"""),"26419")</f>
        <v>26419</v>
      </c>
      <c r="B1495" s="3" t="str">
        <f>IFERROR(__xludf.DUMMYFUNCTION("""COMPUTED_VALUE"""),"น.ส.อัสนาน สิดิ")</f>
        <v>น.ส.อัสนาน สิดิ</v>
      </c>
      <c r="C1495" s="3" t="str">
        <f>IFERROR(__xludf.DUMMYFUNCTION("""COMPUTED_VALUE"""),"ม.4/4")</f>
        <v>ม.4/4</v>
      </c>
      <c r="D1495" s="3" t="str">
        <f>IFERROR(__xludf.DUMMYFUNCTION("""COMPUTED_VALUE"""),"อป.1/2")</f>
        <v>อป.1/2</v>
      </c>
      <c r="E1495" s="2" t="str">
        <f>IFERROR(__xludf.DUMMYFUNCTION("""COMPUTED_VALUE"""),"หญิง")</f>
        <v>หญิง</v>
      </c>
      <c r="F1495" s="5" t="str">
        <f>IFERROR(__xludf.DUMMYFUNCTION("""COMPUTED_VALUE"""),"https://azizstan.net/student_image/26419.jpg")</f>
        <v>https://azizstan.net/student_image/26419.jpg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>
      <c r="A1496" s="3" t="str">
        <f>IFERROR(__xludf.DUMMYFUNCTION("""COMPUTED_VALUE"""),"26471")</f>
        <v>26471</v>
      </c>
      <c r="B1496" s="3" t="str">
        <f>IFERROR(__xludf.DUMMYFUNCTION("""COMPUTED_VALUE"""),"น.ส.ซูฮาดา สาและ")</f>
        <v>น.ส.ซูฮาดา สาและ</v>
      </c>
      <c r="C1496" s="3" t="str">
        <f>IFERROR(__xludf.DUMMYFUNCTION("""COMPUTED_VALUE"""),"ม.4/4")</f>
        <v>ม.4/4</v>
      </c>
      <c r="D1496" s="3" t="str">
        <f>IFERROR(__xludf.DUMMYFUNCTION("""COMPUTED_VALUE"""),"อป.1/2")</f>
        <v>อป.1/2</v>
      </c>
      <c r="E1496" s="2" t="str">
        <f>IFERROR(__xludf.DUMMYFUNCTION("""COMPUTED_VALUE"""),"หญิง")</f>
        <v>หญิง</v>
      </c>
      <c r="F1496" s="5" t="str">
        <f>IFERROR(__xludf.DUMMYFUNCTION("""COMPUTED_VALUE"""),"https://azizstan.net/student_image/26471.jpg")</f>
        <v>https://azizstan.net/student_image/26471.jpg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>
      <c r="A1497" s="3" t="str">
        <f>IFERROR(__xludf.DUMMYFUNCTION("""COMPUTED_VALUE"""),"26480")</f>
        <v>26480</v>
      </c>
      <c r="B1497" s="3" t="str">
        <f>IFERROR(__xludf.DUMMYFUNCTION("""COMPUTED_VALUE"""),"น.ส.ฟาฏอนียะห์ ยูโซะ")</f>
        <v>น.ส.ฟาฏอนียะห์ ยูโซะ</v>
      </c>
      <c r="C1497" s="3" t="str">
        <f>IFERROR(__xludf.DUMMYFUNCTION("""COMPUTED_VALUE"""),"ม.4/4")</f>
        <v>ม.4/4</v>
      </c>
      <c r="D1497" s="3" t="str">
        <f>IFERROR(__xludf.DUMMYFUNCTION("""COMPUTED_VALUE"""),"อป.1/2")</f>
        <v>อป.1/2</v>
      </c>
      <c r="E1497" s="2" t="str">
        <f>IFERROR(__xludf.DUMMYFUNCTION("""COMPUTED_VALUE"""),"หญิง")</f>
        <v>หญิง</v>
      </c>
      <c r="F1497" s="5" t="str">
        <f>IFERROR(__xludf.DUMMYFUNCTION("""COMPUTED_VALUE"""),"https://azizstan.net/student_image/26480.jpg")</f>
        <v>https://azizstan.net/student_image/26480.jpg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>
      <c r="A1498" s="3" t="str">
        <f>IFERROR(__xludf.DUMMYFUNCTION("""COMPUTED_VALUE"""),"26527")</f>
        <v>26527</v>
      </c>
      <c r="B1498" s="3" t="str">
        <f>IFERROR(__xludf.DUMMYFUNCTION("""COMPUTED_VALUE"""),"น.ส.วันณีต้า อุสมันบาฮา")</f>
        <v>น.ส.วันณีต้า อุสมันบาฮา</v>
      </c>
      <c r="C1498" s="3" t="str">
        <f>IFERROR(__xludf.DUMMYFUNCTION("""COMPUTED_VALUE"""),"ม.4/4")</f>
        <v>ม.4/4</v>
      </c>
      <c r="D1498" s="3" t="str">
        <f>IFERROR(__xludf.DUMMYFUNCTION("""COMPUTED_VALUE"""),"อป.1/4")</f>
        <v>อป.1/4</v>
      </c>
      <c r="E1498" s="2" t="str">
        <f>IFERROR(__xludf.DUMMYFUNCTION("""COMPUTED_VALUE"""),"หญิง")</f>
        <v>หญิง</v>
      </c>
      <c r="F1498" s="5" t="str">
        <f>IFERROR(__xludf.DUMMYFUNCTION("""COMPUTED_VALUE"""),"https://azizstan.net/student_image/26527.jpg")</f>
        <v>https://azizstan.net/student_image/26527.jpg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>
      <c r="A1499" s="3" t="str">
        <f>IFERROR(__xludf.DUMMYFUNCTION("""COMPUTED_VALUE"""),"26541")</f>
        <v>26541</v>
      </c>
      <c r="B1499" s="3" t="str">
        <f>IFERROR(__xludf.DUMMYFUNCTION("""COMPUTED_VALUE"""),"น.ส.นุสรีน กูนา")</f>
        <v>น.ส.นุสรีน กูนา</v>
      </c>
      <c r="C1499" s="3" t="str">
        <f>IFERROR(__xludf.DUMMYFUNCTION("""COMPUTED_VALUE"""),"ม.4/4")</f>
        <v>ม.4/4</v>
      </c>
      <c r="D1499" s="3" t="str">
        <f>IFERROR(__xludf.DUMMYFUNCTION("""COMPUTED_VALUE"""),"อก.1/14")</f>
        <v>อก.1/14</v>
      </c>
      <c r="E1499" s="2" t="str">
        <f>IFERROR(__xludf.DUMMYFUNCTION("""COMPUTED_VALUE"""),"หญิง")</f>
        <v>หญิง</v>
      </c>
      <c r="F1499" s="5" t="str">
        <f>IFERROR(__xludf.DUMMYFUNCTION("""COMPUTED_VALUE"""),"https://azizstan.net/student_image/26541.jpg")</f>
        <v>https://azizstan.net/student_image/26541.jpg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>
      <c r="A1500" s="3" t="str">
        <f>IFERROR(__xludf.DUMMYFUNCTION("""COMPUTED_VALUE"""),"26543")</f>
        <v>26543</v>
      </c>
      <c r="B1500" s="3" t="str">
        <f>IFERROR(__xludf.DUMMYFUNCTION("""COMPUTED_VALUE"""),"น.ส.ปริศา กามา")</f>
        <v>น.ส.ปริศา กามา</v>
      </c>
      <c r="C1500" s="3" t="str">
        <f>IFERROR(__xludf.DUMMYFUNCTION("""COMPUTED_VALUE"""),"ม.4/4")</f>
        <v>ม.4/4</v>
      </c>
      <c r="D1500" s="3" t="str">
        <f>IFERROR(__xludf.DUMMYFUNCTION("""COMPUTED_VALUE"""),"อป.1/2")</f>
        <v>อป.1/2</v>
      </c>
      <c r="E1500" s="2" t="str">
        <f>IFERROR(__xludf.DUMMYFUNCTION("""COMPUTED_VALUE"""),"หญิง")</f>
        <v>หญิง</v>
      </c>
      <c r="F1500" s="5" t="str">
        <f>IFERROR(__xludf.DUMMYFUNCTION("""COMPUTED_VALUE"""),"https://azizstan.net/student_image/26543.jpg")</f>
        <v>https://azizstan.net/student_image/26543.jpg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>
      <c r="A1501" s="3" t="str">
        <f>IFERROR(__xludf.DUMMYFUNCTION("""COMPUTED_VALUE"""),"26553")</f>
        <v>26553</v>
      </c>
      <c r="B1501" s="3" t="str">
        <f>IFERROR(__xludf.DUMMYFUNCTION("""COMPUTED_VALUE"""),"น.ส.ซูไรยา แนสะ")</f>
        <v>น.ส.ซูไรยา แนสะ</v>
      </c>
      <c r="C1501" s="3" t="str">
        <f>IFERROR(__xludf.DUMMYFUNCTION("""COMPUTED_VALUE"""),"ม.4/4")</f>
        <v>ม.4/4</v>
      </c>
      <c r="D1501" s="3" t="str">
        <f>IFERROR(__xludf.DUMMYFUNCTION("""COMPUTED_VALUE"""),"อก.1/14")</f>
        <v>อก.1/14</v>
      </c>
      <c r="E1501" s="2" t="str">
        <f>IFERROR(__xludf.DUMMYFUNCTION("""COMPUTED_VALUE"""),"หญิง")</f>
        <v>หญิง</v>
      </c>
      <c r="F1501" s="5" t="str">
        <f>IFERROR(__xludf.DUMMYFUNCTION("""COMPUTED_VALUE"""),"https://azizstan.net/student_image/26553.jpg")</f>
        <v>https://azizstan.net/student_image/26553.jpg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>
      <c r="A1502" s="3" t="str">
        <f>IFERROR(__xludf.DUMMYFUNCTION("""COMPUTED_VALUE"""),"26566")</f>
        <v>26566</v>
      </c>
      <c r="B1502" s="3" t="str">
        <f>IFERROR(__xludf.DUMMYFUNCTION("""COMPUTED_VALUE"""),"น.ส.นูรฮัยฟา ยะลาหะ")</f>
        <v>น.ส.นูรฮัยฟา ยะลาหะ</v>
      </c>
      <c r="C1502" s="3" t="str">
        <f>IFERROR(__xludf.DUMMYFUNCTION("""COMPUTED_VALUE"""),"ม.4/4")</f>
        <v>ม.4/4</v>
      </c>
      <c r="D1502" s="3" t="str">
        <f>IFERROR(__xludf.DUMMYFUNCTION("""COMPUTED_VALUE"""),"อก.1/14")</f>
        <v>อก.1/14</v>
      </c>
      <c r="E1502" s="2" t="str">
        <f>IFERROR(__xludf.DUMMYFUNCTION("""COMPUTED_VALUE"""),"หญิง")</f>
        <v>หญิง</v>
      </c>
      <c r="F1502" s="5" t="str">
        <f>IFERROR(__xludf.DUMMYFUNCTION("""COMPUTED_VALUE"""),"https://azizstan.net/student_image/26566.jpg")</f>
        <v>https://azizstan.net/student_image/26566.jpg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>
      <c r="A1503" s="3" t="str">
        <f>IFERROR(__xludf.DUMMYFUNCTION("""COMPUTED_VALUE"""),"26570")</f>
        <v>26570</v>
      </c>
      <c r="B1503" s="3" t="str">
        <f>IFERROR(__xludf.DUMMYFUNCTION("""COMPUTED_VALUE"""),"น.ส.ซุฟเฟียนีย์ โว๊ะโก")</f>
        <v>น.ส.ซุฟเฟียนีย์ โว๊ะโก</v>
      </c>
      <c r="C1503" s="3" t="str">
        <f>IFERROR(__xludf.DUMMYFUNCTION("""COMPUTED_VALUE"""),"ม.4/4")</f>
        <v>ม.4/4</v>
      </c>
      <c r="D1503" s="3" t="str">
        <f>IFERROR(__xludf.DUMMYFUNCTION("""COMPUTED_VALUE"""),"อก.1/14")</f>
        <v>อก.1/14</v>
      </c>
      <c r="E1503" s="2" t="str">
        <f>IFERROR(__xludf.DUMMYFUNCTION("""COMPUTED_VALUE"""),"หญิง")</f>
        <v>หญิง</v>
      </c>
      <c r="F1503" s="5" t="str">
        <f>IFERROR(__xludf.DUMMYFUNCTION("""COMPUTED_VALUE"""),"https://azizstan.net/student_image/26570.jpg")</f>
        <v>https://azizstan.net/student_image/26570.jpg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>
      <c r="A1504" s="3" t="str">
        <f>IFERROR(__xludf.DUMMYFUNCTION("""COMPUTED_VALUE"""),"26602")</f>
        <v>26602</v>
      </c>
      <c r="B1504" s="3" t="str">
        <f>IFERROR(__xludf.DUMMYFUNCTION("""COMPUTED_VALUE"""),"น.ส.นัจญวา เหล็กมีผล")</f>
        <v>น.ส.นัจญวา เหล็กมีผล</v>
      </c>
      <c r="C1504" s="3" t="str">
        <f>IFERROR(__xludf.DUMMYFUNCTION("""COMPUTED_VALUE"""),"ม.4/4")</f>
        <v>ม.4/4</v>
      </c>
      <c r="D1504" s="3" t="str">
        <f>IFERROR(__xludf.DUMMYFUNCTION("""COMPUTED_VALUE"""),"อป.1/4")</f>
        <v>อป.1/4</v>
      </c>
      <c r="E1504" s="2" t="str">
        <f>IFERROR(__xludf.DUMMYFUNCTION("""COMPUTED_VALUE"""),"หญิง")</f>
        <v>หญิง</v>
      </c>
      <c r="F1504" s="5" t="str">
        <f>IFERROR(__xludf.DUMMYFUNCTION("""COMPUTED_VALUE"""),"https://azizstan.net/student_image/26602.jpg")</f>
        <v>https://azizstan.net/student_image/26602.jpg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>
      <c r="A1505" s="3" t="str">
        <f>IFERROR(__xludf.DUMMYFUNCTION("""COMPUTED_VALUE"""),"26607")</f>
        <v>26607</v>
      </c>
      <c r="B1505" s="3" t="str">
        <f>IFERROR(__xludf.DUMMYFUNCTION("""COMPUTED_VALUE"""),"น.ส.นูรอีสซาน ดือราแม")</f>
        <v>น.ส.นูรอีสซาน ดือราแม</v>
      </c>
      <c r="C1505" s="3" t="str">
        <f>IFERROR(__xludf.DUMMYFUNCTION("""COMPUTED_VALUE"""),"ม.4/4")</f>
        <v>ม.4/4</v>
      </c>
      <c r="D1505" s="3" t="str">
        <f>IFERROR(__xludf.DUMMYFUNCTION("""COMPUTED_VALUE"""),"อก.1/14")</f>
        <v>อก.1/14</v>
      </c>
      <c r="E1505" s="2" t="str">
        <f>IFERROR(__xludf.DUMMYFUNCTION("""COMPUTED_VALUE"""),"หญิง")</f>
        <v>หญิง</v>
      </c>
      <c r="F1505" s="5" t="str">
        <f>IFERROR(__xludf.DUMMYFUNCTION("""COMPUTED_VALUE"""),"https://azizstan.net/student_image/26607.jpg")</f>
        <v>https://azizstan.net/student_image/26607.jpg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>
      <c r="A1506" s="3" t="str">
        <f>IFERROR(__xludf.DUMMYFUNCTION("""COMPUTED_VALUE"""),"26661")</f>
        <v>26661</v>
      </c>
      <c r="B1506" s="3" t="str">
        <f>IFERROR(__xludf.DUMMYFUNCTION("""COMPUTED_VALUE"""),"น.ส.ตัสนีม หวันหนิ")</f>
        <v>น.ส.ตัสนีม หวันหนิ</v>
      </c>
      <c r="C1506" s="3" t="str">
        <f>IFERROR(__xludf.DUMMYFUNCTION("""COMPUTED_VALUE"""),"ม.4/4")</f>
        <v>ม.4/4</v>
      </c>
      <c r="D1506" s="3" t="str">
        <f>IFERROR(__xludf.DUMMYFUNCTION("""COMPUTED_VALUE"""),"อป.1/2")</f>
        <v>อป.1/2</v>
      </c>
      <c r="E1506" s="2" t="str">
        <f>IFERROR(__xludf.DUMMYFUNCTION("""COMPUTED_VALUE"""),"หญิง")</f>
        <v>หญิง</v>
      </c>
      <c r="F1506" s="5" t="str">
        <f>IFERROR(__xludf.DUMMYFUNCTION("""COMPUTED_VALUE"""),"https://azizstan.net/student_image/26661.jpg")</f>
        <v>https://azizstan.net/student_image/26661.jpg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>
      <c r="A1507" s="3" t="str">
        <f>IFERROR(__xludf.DUMMYFUNCTION("""COMPUTED_VALUE"""),"26685")</f>
        <v>26685</v>
      </c>
      <c r="B1507" s="3" t="str">
        <f>IFERROR(__xludf.DUMMYFUNCTION("""COMPUTED_VALUE"""),"น.ส.ฮุสนา ตาเยะ")</f>
        <v>น.ส.ฮุสนา ตาเยะ</v>
      </c>
      <c r="C1507" s="3" t="str">
        <f>IFERROR(__xludf.DUMMYFUNCTION("""COMPUTED_VALUE"""),"ม.4/4")</f>
        <v>ม.4/4</v>
      </c>
      <c r="D1507" s="3" t="str">
        <f>IFERROR(__xludf.DUMMYFUNCTION("""COMPUTED_VALUE"""),"อก.1/14")</f>
        <v>อก.1/14</v>
      </c>
      <c r="E1507" s="2" t="str">
        <f>IFERROR(__xludf.DUMMYFUNCTION("""COMPUTED_VALUE"""),"หญิง")</f>
        <v>หญิง</v>
      </c>
      <c r="F1507" s="5" t="str">
        <f>IFERROR(__xludf.DUMMYFUNCTION("""COMPUTED_VALUE"""),"https://azizstan.net/student_image/26685.jpg")</f>
        <v>https://azizstan.net/student_image/26685.jpg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>
      <c r="A1508" s="3" t="str">
        <f>IFERROR(__xludf.DUMMYFUNCTION("""COMPUTED_VALUE"""),"26699")</f>
        <v>26699</v>
      </c>
      <c r="B1508" s="3" t="str">
        <f>IFERROR(__xludf.DUMMYFUNCTION("""COMPUTED_VALUE"""),"น.ส.ยูไวนี หะยีมะสัน")</f>
        <v>น.ส.ยูไวนี หะยีมะสัน</v>
      </c>
      <c r="C1508" s="3" t="str">
        <f>IFERROR(__xludf.DUMMYFUNCTION("""COMPUTED_VALUE"""),"ม.4/4")</f>
        <v>ม.4/4</v>
      </c>
      <c r="D1508" s="3" t="str">
        <f>IFERROR(__xludf.DUMMYFUNCTION("""COMPUTED_VALUE"""),"อป.1/2")</f>
        <v>อป.1/2</v>
      </c>
      <c r="E1508" s="2" t="str">
        <f>IFERROR(__xludf.DUMMYFUNCTION("""COMPUTED_VALUE"""),"หญิง")</f>
        <v>หญิง</v>
      </c>
      <c r="F1508" s="5" t="str">
        <f>IFERROR(__xludf.DUMMYFUNCTION("""COMPUTED_VALUE"""),"https://azizstan.net/student_image/26699.jpg")</f>
        <v>https://azizstan.net/student_image/26699.jpg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>
      <c r="A1509" s="3" t="str">
        <f>IFERROR(__xludf.DUMMYFUNCTION("""COMPUTED_VALUE"""),"26734")</f>
        <v>26734</v>
      </c>
      <c r="B1509" s="3" t="str">
        <f>IFERROR(__xludf.DUMMYFUNCTION("""COMPUTED_VALUE"""),"น.ส.ยุสวีนา เจะนิ")</f>
        <v>น.ส.ยุสวีนา เจะนิ</v>
      </c>
      <c r="C1509" s="3" t="str">
        <f>IFERROR(__xludf.DUMMYFUNCTION("""COMPUTED_VALUE"""),"ม.4/4")</f>
        <v>ม.4/4</v>
      </c>
      <c r="D1509" s="3" t="str">
        <f>IFERROR(__xludf.DUMMYFUNCTION("""COMPUTED_VALUE"""),"อป.1/2")</f>
        <v>อป.1/2</v>
      </c>
      <c r="E1509" s="2" t="str">
        <f>IFERROR(__xludf.DUMMYFUNCTION("""COMPUTED_VALUE"""),"หญิง")</f>
        <v>หญิง</v>
      </c>
      <c r="F1509" s="5" t="str">
        <f>IFERROR(__xludf.DUMMYFUNCTION("""COMPUTED_VALUE"""),"https://azizstan.net/student_image/26734.jpg")</f>
        <v>https://azizstan.net/student_image/26734.jpg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>
      <c r="A1510" s="3" t="str">
        <f>IFERROR(__xludf.DUMMYFUNCTION("""COMPUTED_VALUE"""),"26773")</f>
        <v>26773</v>
      </c>
      <c r="B1510" s="3" t="str">
        <f>IFERROR(__xludf.DUMMYFUNCTION("""COMPUTED_VALUE"""),"น.ส.แวเสาะ แปเฮาะอีเล")</f>
        <v>น.ส.แวเสาะ แปเฮาะอีเล</v>
      </c>
      <c r="C1510" s="3" t="str">
        <f>IFERROR(__xludf.DUMMYFUNCTION("""COMPUTED_VALUE"""),"ม.4/4")</f>
        <v>ม.4/4</v>
      </c>
      <c r="D1510" s="3" t="str">
        <f>IFERROR(__xludf.DUMMYFUNCTION("""COMPUTED_VALUE"""),"อป.1/2")</f>
        <v>อป.1/2</v>
      </c>
      <c r="E1510" s="2" t="str">
        <f>IFERROR(__xludf.DUMMYFUNCTION("""COMPUTED_VALUE"""),"หญิง")</f>
        <v>หญิง</v>
      </c>
      <c r="F1510" s="5" t="str">
        <f>IFERROR(__xludf.DUMMYFUNCTION("""COMPUTED_VALUE"""),"https://azizstan.net/student_image/26773.jpg")</f>
        <v>https://azizstan.net/student_image/26773.jpg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>
      <c r="A1511" s="3" t="str">
        <f>IFERROR(__xludf.DUMMYFUNCTION("""COMPUTED_VALUE"""),"26775")</f>
        <v>26775</v>
      </c>
      <c r="B1511" s="3" t="str">
        <f>IFERROR(__xludf.DUMMYFUNCTION("""COMPUTED_VALUE"""),"น.ส.อัยรินทร์ ดุลยดากรณ์")</f>
        <v>น.ส.อัยรินทร์ ดุลยดากรณ์</v>
      </c>
      <c r="C1511" s="3" t="str">
        <f>IFERROR(__xludf.DUMMYFUNCTION("""COMPUTED_VALUE"""),"ม.4/4")</f>
        <v>ม.4/4</v>
      </c>
      <c r="D1511" s="3" t="str">
        <f>IFERROR(__xludf.DUMMYFUNCTION("""COMPUTED_VALUE"""),"อก.1/14")</f>
        <v>อก.1/14</v>
      </c>
      <c r="E1511" s="2" t="str">
        <f>IFERROR(__xludf.DUMMYFUNCTION("""COMPUTED_VALUE"""),"หญิง")</f>
        <v>หญิง</v>
      </c>
      <c r="F1511" s="5" t="str">
        <f>IFERROR(__xludf.DUMMYFUNCTION("""COMPUTED_VALUE"""),"https://azizstan.net/student_image/26775.jpg")</f>
        <v>https://azizstan.net/student_image/26775.jpg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>
      <c r="A1512" s="3" t="str">
        <f>IFERROR(__xludf.DUMMYFUNCTION("""COMPUTED_VALUE"""),"26776")</f>
        <v>26776</v>
      </c>
      <c r="B1512" s="3" t="str">
        <f>IFERROR(__xludf.DUMMYFUNCTION("""COMPUTED_VALUE"""),"น.ส.กูฟิรดาวส์ จะแหน")</f>
        <v>น.ส.กูฟิรดาวส์ จะแหน</v>
      </c>
      <c r="C1512" s="3" t="str">
        <f>IFERROR(__xludf.DUMMYFUNCTION("""COMPUTED_VALUE"""),"ม.4/4")</f>
        <v>ม.4/4</v>
      </c>
      <c r="D1512" s="3" t="str">
        <f>IFERROR(__xludf.DUMMYFUNCTION("""COMPUTED_VALUE"""),"อก.1/14")</f>
        <v>อก.1/14</v>
      </c>
      <c r="E1512" s="2" t="str">
        <f>IFERROR(__xludf.DUMMYFUNCTION("""COMPUTED_VALUE"""),"หญิง")</f>
        <v>หญิง</v>
      </c>
      <c r="F1512" s="5" t="str">
        <f>IFERROR(__xludf.DUMMYFUNCTION("""COMPUTED_VALUE"""),"https://azizstan.net/student_image/26776.jpg")</f>
        <v>https://azizstan.net/student_image/26776.jpg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>
      <c r="A1513" s="3" t="str">
        <f>IFERROR(__xludf.DUMMYFUNCTION("""COMPUTED_VALUE"""),"24004")</f>
        <v>24004</v>
      </c>
      <c r="B1513" s="3" t="str">
        <f>IFERROR(__xludf.DUMMYFUNCTION("""COMPUTED_VALUE"""),"น.ส.นาดา โอะจิ")</f>
        <v>น.ส.นาดา โอะจิ</v>
      </c>
      <c r="C1513" s="3" t="str">
        <f>IFERROR(__xludf.DUMMYFUNCTION("""COMPUTED_VALUE"""),"ม.4/5")</f>
        <v>ม.4/5</v>
      </c>
      <c r="D1513" s="3" t="str">
        <f>IFERROR(__xludf.DUMMYFUNCTION("""COMPUTED_VALUE"""),"อป.1/5")</f>
        <v>อป.1/5</v>
      </c>
      <c r="E1513" s="2" t="str">
        <f>IFERROR(__xludf.DUMMYFUNCTION("""COMPUTED_VALUE"""),"หญิง")</f>
        <v>หญิง</v>
      </c>
      <c r="F1513" s="5" t="str">
        <f>IFERROR(__xludf.DUMMYFUNCTION("""COMPUTED_VALUE"""),"https://azizstan.net/student_image/24004.jpg")</f>
        <v>https://azizstan.net/student_image/24004.jpg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>
      <c r="A1514" s="3" t="str">
        <f>IFERROR(__xludf.DUMMYFUNCTION("""COMPUTED_VALUE"""),"24020")</f>
        <v>24020</v>
      </c>
      <c r="B1514" s="3" t="str">
        <f>IFERROR(__xludf.DUMMYFUNCTION("""COMPUTED_VALUE"""),"น.ส.รุสนาดีญา รัญจวน")</f>
        <v>น.ส.รุสนาดีญา รัญจวน</v>
      </c>
      <c r="C1514" s="3" t="str">
        <f>IFERROR(__xludf.DUMMYFUNCTION("""COMPUTED_VALUE"""),"ม.4/5")</f>
        <v>ม.4/5</v>
      </c>
      <c r="D1514" s="3" t="str">
        <f>IFERROR(__xludf.DUMMYFUNCTION("""COMPUTED_VALUE"""),"อป.1/5")</f>
        <v>อป.1/5</v>
      </c>
      <c r="E1514" s="2" t="str">
        <f>IFERROR(__xludf.DUMMYFUNCTION("""COMPUTED_VALUE"""),"หญิง")</f>
        <v>หญิง</v>
      </c>
      <c r="F1514" s="5" t="str">
        <f>IFERROR(__xludf.DUMMYFUNCTION("""COMPUTED_VALUE"""),"https://azizstan.net/student_image/24020.jpg")</f>
        <v>https://azizstan.net/student_image/24020.jpg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>
      <c r="A1515" s="3" t="str">
        <f>IFERROR(__xludf.DUMMYFUNCTION("""COMPUTED_VALUE"""),"24036")</f>
        <v>24036</v>
      </c>
      <c r="B1515" s="3" t="str">
        <f>IFERROR(__xludf.DUMMYFUNCTION("""COMPUTED_VALUE"""),"น.ส.นิสรีน แปะแนะ")</f>
        <v>น.ส.นิสรีน แปะแนะ</v>
      </c>
      <c r="C1515" s="3" t="str">
        <f>IFERROR(__xludf.DUMMYFUNCTION("""COMPUTED_VALUE"""),"ม.4/5")</f>
        <v>ม.4/5</v>
      </c>
      <c r="D1515" s="3" t="str">
        <f>IFERROR(__xludf.DUMMYFUNCTION("""COMPUTED_VALUE"""),"อป.1/5")</f>
        <v>อป.1/5</v>
      </c>
      <c r="E1515" s="2" t="str">
        <f>IFERROR(__xludf.DUMMYFUNCTION("""COMPUTED_VALUE"""),"หญิง")</f>
        <v>หญิง</v>
      </c>
      <c r="F1515" s="5" t="str">
        <f>IFERROR(__xludf.DUMMYFUNCTION("""COMPUTED_VALUE"""),"https://azizstan.net/student_image/24036.jpg")</f>
        <v>https://azizstan.net/student_image/24036.jpg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>
      <c r="A1516" s="3" t="str">
        <f>IFERROR(__xludf.DUMMYFUNCTION("""COMPUTED_VALUE"""),"24042")</f>
        <v>24042</v>
      </c>
      <c r="B1516" s="3" t="str">
        <f>IFERROR(__xludf.DUMMYFUNCTION("""COMPUTED_VALUE"""),"น.ส.กฤษณี สุหลงกุ")</f>
        <v>น.ส.กฤษณี สุหลงกุ</v>
      </c>
      <c r="C1516" s="3" t="str">
        <f>IFERROR(__xludf.DUMMYFUNCTION("""COMPUTED_VALUE"""),"ม.4/5")</f>
        <v>ม.4/5</v>
      </c>
      <c r="D1516" s="3" t="str">
        <f>IFERROR(__xludf.DUMMYFUNCTION("""COMPUTED_VALUE"""),"อป.1/5")</f>
        <v>อป.1/5</v>
      </c>
      <c r="E1516" s="2" t="str">
        <f>IFERROR(__xludf.DUMMYFUNCTION("""COMPUTED_VALUE"""),"หญิง")</f>
        <v>หญิง</v>
      </c>
      <c r="F1516" s="5" t="str">
        <f>IFERROR(__xludf.DUMMYFUNCTION("""COMPUTED_VALUE"""),"https://azizstan.net/student_image/24042.jpg")</f>
        <v>https://azizstan.net/student_image/24042.jpg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>
      <c r="A1517" s="3" t="str">
        <f>IFERROR(__xludf.DUMMYFUNCTION("""COMPUTED_VALUE"""),"24064")</f>
        <v>24064</v>
      </c>
      <c r="B1517" s="3" t="str">
        <f>IFERROR(__xludf.DUMMYFUNCTION("""COMPUTED_VALUE"""),"น.ส.ซุลนูไรนี มะหะจิ")</f>
        <v>น.ส.ซุลนูไรนี มะหะจิ</v>
      </c>
      <c r="C1517" s="3" t="str">
        <f>IFERROR(__xludf.DUMMYFUNCTION("""COMPUTED_VALUE"""),"ม.4/5")</f>
        <v>ม.4/5</v>
      </c>
      <c r="D1517" s="3" t="str">
        <f>IFERROR(__xludf.DUMMYFUNCTION("""COMPUTED_VALUE"""),"อป.1/5")</f>
        <v>อป.1/5</v>
      </c>
      <c r="E1517" s="2" t="str">
        <f>IFERROR(__xludf.DUMMYFUNCTION("""COMPUTED_VALUE"""),"หญิง")</f>
        <v>หญิง</v>
      </c>
      <c r="F1517" s="5" t="str">
        <f>IFERROR(__xludf.DUMMYFUNCTION("""COMPUTED_VALUE"""),"https://azizstan.net/student_image/24064.jpg")</f>
        <v>https://azizstan.net/student_image/24064.jpg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>
      <c r="A1518" s="3" t="str">
        <f>IFERROR(__xludf.DUMMYFUNCTION("""COMPUTED_VALUE"""),"24068")</f>
        <v>24068</v>
      </c>
      <c r="B1518" s="3" t="str">
        <f>IFERROR(__xludf.DUMMYFUNCTION("""COMPUTED_VALUE"""),"น.ส.นิลาตีฟะห์ นิเล๊าะ")</f>
        <v>น.ส.นิลาตีฟะห์ นิเล๊าะ</v>
      </c>
      <c r="C1518" s="3" t="str">
        <f>IFERROR(__xludf.DUMMYFUNCTION("""COMPUTED_VALUE"""),"ม.4/5")</f>
        <v>ม.4/5</v>
      </c>
      <c r="D1518" s="3" t="str">
        <f>IFERROR(__xludf.DUMMYFUNCTION("""COMPUTED_VALUE"""),"อป.1/5")</f>
        <v>อป.1/5</v>
      </c>
      <c r="E1518" s="2" t="str">
        <f>IFERROR(__xludf.DUMMYFUNCTION("""COMPUTED_VALUE"""),"หญิง")</f>
        <v>หญิง</v>
      </c>
      <c r="F1518" s="5" t="str">
        <f>IFERROR(__xludf.DUMMYFUNCTION("""COMPUTED_VALUE"""),"https://azizstan.net/student_image/24068.jpg")</f>
        <v>https://azizstan.net/student_image/24068.jpg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>
      <c r="A1519" s="3" t="str">
        <f>IFERROR(__xludf.DUMMYFUNCTION("""COMPUTED_VALUE"""),"24076")</f>
        <v>24076</v>
      </c>
      <c r="B1519" s="3" t="str">
        <f>IFERROR(__xludf.DUMMYFUNCTION("""COMPUTED_VALUE"""),"น.ส.บิสมิลลา กานิง")</f>
        <v>น.ส.บิสมิลลา กานิง</v>
      </c>
      <c r="C1519" s="3" t="str">
        <f>IFERROR(__xludf.DUMMYFUNCTION("""COMPUTED_VALUE"""),"ม.4/5")</f>
        <v>ม.4/5</v>
      </c>
      <c r="D1519" s="3" t="str">
        <f>IFERROR(__xludf.DUMMYFUNCTION("""COMPUTED_VALUE"""),"อป.1/5")</f>
        <v>อป.1/5</v>
      </c>
      <c r="E1519" s="2" t="str">
        <f>IFERROR(__xludf.DUMMYFUNCTION("""COMPUTED_VALUE"""),"หญิง")</f>
        <v>หญิง</v>
      </c>
      <c r="F1519" s="5" t="str">
        <f>IFERROR(__xludf.DUMMYFUNCTION("""COMPUTED_VALUE"""),"https://azizstan.net/student_image/24076.jpg")</f>
        <v>https://azizstan.net/student_image/24076.jpg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>
      <c r="A1520" s="3" t="str">
        <f>IFERROR(__xludf.DUMMYFUNCTION("""COMPUTED_VALUE"""),"24082")</f>
        <v>24082</v>
      </c>
      <c r="B1520" s="3" t="str">
        <f>IFERROR(__xludf.DUMMYFUNCTION("""COMPUTED_VALUE"""),"น.ส.นูรอิบติซาม เจ๊ะเลง")</f>
        <v>น.ส.นูรอิบติซาม เจ๊ะเลง</v>
      </c>
      <c r="C1520" s="3" t="str">
        <f>IFERROR(__xludf.DUMMYFUNCTION("""COMPUTED_VALUE"""),"ม.4/5")</f>
        <v>ม.4/5</v>
      </c>
      <c r="D1520" s="3" t="str">
        <f>IFERROR(__xludf.DUMMYFUNCTION("""COMPUTED_VALUE"""),"อป.1/5")</f>
        <v>อป.1/5</v>
      </c>
      <c r="E1520" s="2" t="str">
        <f>IFERROR(__xludf.DUMMYFUNCTION("""COMPUTED_VALUE"""),"หญิง")</f>
        <v>หญิง</v>
      </c>
      <c r="F1520" s="5" t="str">
        <f>IFERROR(__xludf.DUMMYFUNCTION("""COMPUTED_VALUE"""),"https://azizstan.net/student_image/24082.jpg")</f>
        <v>https://azizstan.net/student_image/24082.jpg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>
      <c r="A1521" s="3" t="str">
        <f>IFERROR(__xludf.DUMMYFUNCTION("""COMPUTED_VALUE"""),"24093")</f>
        <v>24093</v>
      </c>
      <c r="B1521" s="3" t="str">
        <f>IFERROR(__xludf.DUMMYFUNCTION("""COMPUTED_VALUE"""),"น.ส.อุษวาตี วาหะ")</f>
        <v>น.ส.อุษวาตี วาหะ</v>
      </c>
      <c r="C1521" s="3" t="str">
        <f>IFERROR(__xludf.DUMMYFUNCTION("""COMPUTED_VALUE"""),"ม.4/5")</f>
        <v>ม.4/5</v>
      </c>
      <c r="D1521" s="3" t="str">
        <f>IFERROR(__xludf.DUMMYFUNCTION("""COMPUTED_VALUE"""),"อป.1/5")</f>
        <v>อป.1/5</v>
      </c>
      <c r="E1521" s="2" t="str">
        <f>IFERROR(__xludf.DUMMYFUNCTION("""COMPUTED_VALUE"""),"หญิง")</f>
        <v>หญิง</v>
      </c>
      <c r="F1521" s="5" t="str">
        <f>IFERROR(__xludf.DUMMYFUNCTION("""COMPUTED_VALUE"""),"https://azizstan.net/student_image/24093.jpg")</f>
        <v>https://azizstan.net/student_image/24093.jpg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>
      <c r="A1522" s="3" t="str">
        <f>IFERROR(__xludf.DUMMYFUNCTION("""COMPUTED_VALUE"""),"24155")</f>
        <v>24155</v>
      </c>
      <c r="B1522" s="3" t="str">
        <f>IFERROR(__xludf.DUMMYFUNCTION("""COMPUTED_VALUE"""),"น.ส.อัฟนาน ดือราซอ")</f>
        <v>น.ส.อัฟนาน ดือราซอ</v>
      </c>
      <c r="C1522" s="3" t="str">
        <f>IFERROR(__xludf.DUMMYFUNCTION("""COMPUTED_VALUE"""),"ม.4/5")</f>
        <v>ม.4/5</v>
      </c>
      <c r="D1522" s="3" t="str">
        <f>IFERROR(__xludf.DUMMYFUNCTION("""COMPUTED_VALUE"""),"อป.1/5")</f>
        <v>อป.1/5</v>
      </c>
      <c r="E1522" s="2" t="str">
        <f>IFERROR(__xludf.DUMMYFUNCTION("""COMPUTED_VALUE"""),"หญิง")</f>
        <v>หญิง</v>
      </c>
      <c r="F1522" s="5" t="str">
        <f>IFERROR(__xludf.DUMMYFUNCTION("""COMPUTED_VALUE"""),"https://azizstan.net/student_image/24155.jpg")</f>
        <v>https://azizstan.net/student_image/24155.jpg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>
      <c r="A1523" s="3" t="str">
        <f>IFERROR(__xludf.DUMMYFUNCTION("""COMPUTED_VALUE"""),"24157")</f>
        <v>24157</v>
      </c>
      <c r="B1523" s="3" t="str">
        <f>IFERROR(__xludf.DUMMYFUNCTION("""COMPUTED_VALUE"""),"น.ส.นุรนาอีม สาเมาะ")</f>
        <v>น.ส.นุรนาอีม สาเมาะ</v>
      </c>
      <c r="C1523" s="3" t="str">
        <f>IFERROR(__xludf.DUMMYFUNCTION("""COMPUTED_VALUE"""),"ม.4/5")</f>
        <v>ม.4/5</v>
      </c>
      <c r="D1523" s="3" t="str">
        <f>IFERROR(__xludf.DUMMYFUNCTION("""COMPUTED_VALUE"""),"อป.1/5")</f>
        <v>อป.1/5</v>
      </c>
      <c r="E1523" s="2" t="str">
        <f>IFERROR(__xludf.DUMMYFUNCTION("""COMPUTED_VALUE"""),"หญิง")</f>
        <v>หญิง</v>
      </c>
      <c r="F1523" s="5" t="str">
        <f>IFERROR(__xludf.DUMMYFUNCTION("""COMPUTED_VALUE"""),"https://azizstan.net/student_image/24157.jpg")</f>
        <v>https://azizstan.net/student_image/24157.jpg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>
      <c r="A1524" s="3" t="str">
        <f>IFERROR(__xludf.DUMMYFUNCTION("""COMPUTED_VALUE"""),"24158")</f>
        <v>24158</v>
      </c>
      <c r="B1524" s="3" t="str">
        <f>IFERROR(__xludf.DUMMYFUNCTION("""COMPUTED_VALUE"""),"น.ส.ซีรีน สะมะแอ")</f>
        <v>น.ส.ซีรีน สะมะแอ</v>
      </c>
      <c r="C1524" s="3" t="str">
        <f>IFERROR(__xludf.DUMMYFUNCTION("""COMPUTED_VALUE"""),"ม.4/5")</f>
        <v>ม.4/5</v>
      </c>
      <c r="D1524" s="3" t="str">
        <f>IFERROR(__xludf.DUMMYFUNCTION("""COMPUTED_VALUE"""),"อป.1/5")</f>
        <v>อป.1/5</v>
      </c>
      <c r="E1524" s="2" t="str">
        <f>IFERROR(__xludf.DUMMYFUNCTION("""COMPUTED_VALUE"""),"หญิง")</f>
        <v>หญิง</v>
      </c>
      <c r="F1524" s="5" t="str">
        <f>IFERROR(__xludf.DUMMYFUNCTION("""COMPUTED_VALUE"""),"https://azizstan.net/student_image/24158.jpg")</f>
        <v>https://azizstan.net/student_image/24158.jpg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>
      <c r="A1525" s="3" t="str">
        <f>IFERROR(__xludf.DUMMYFUNCTION("""COMPUTED_VALUE"""),"24170")</f>
        <v>24170</v>
      </c>
      <c r="B1525" s="3" t="str">
        <f>IFERROR(__xludf.DUMMYFUNCTION("""COMPUTED_VALUE"""),"น.ส.ตัสนีม อีซอมูซอ")</f>
        <v>น.ส.ตัสนีม อีซอมูซอ</v>
      </c>
      <c r="C1525" s="3" t="str">
        <f>IFERROR(__xludf.DUMMYFUNCTION("""COMPUTED_VALUE"""),"ม.4/5")</f>
        <v>ม.4/5</v>
      </c>
      <c r="D1525" s="3" t="str">
        <f>IFERROR(__xludf.DUMMYFUNCTION("""COMPUTED_VALUE"""),"อป.1/5")</f>
        <v>อป.1/5</v>
      </c>
      <c r="E1525" s="2" t="str">
        <f>IFERROR(__xludf.DUMMYFUNCTION("""COMPUTED_VALUE"""),"หญิง")</f>
        <v>หญิง</v>
      </c>
      <c r="F1525" s="5" t="str">
        <f>IFERROR(__xludf.DUMMYFUNCTION("""COMPUTED_VALUE"""),"https://azizstan.net/student_image/24170.jpg")</f>
        <v>https://azizstan.net/student_image/24170.jpg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>
      <c r="A1526" s="3" t="str">
        <f>IFERROR(__xludf.DUMMYFUNCTION("""COMPUTED_VALUE"""),"24174")</f>
        <v>24174</v>
      </c>
      <c r="B1526" s="3" t="str">
        <f>IFERROR(__xludf.DUMMYFUNCTION("""COMPUTED_VALUE"""),"น.ส.ซัลวานี อับดุลลาเตะ")</f>
        <v>น.ส.ซัลวานี อับดุลลาเตะ</v>
      </c>
      <c r="C1526" s="3" t="str">
        <f>IFERROR(__xludf.DUMMYFUNCTION("""COMPUTED_VALUE"""),"ม.4/5")</f>
        <v>ม.4/5</v>
      </c>
      <c r="D1526" s="3" t="str">
        <f>IFERROR(__xludf.DUMMYFUNCTION("""COMPUTED_VALUE"""),"อป.1/5")</f>
        <v>อป.1/5</v>
      </c>
      <c r="E1526" s="2" t="str">
        <f>IFERROR(__xludf.DUMMYFUNCTION("""COMPUTED_VALUE"""),"หญิง")</f>
        <v>หญิง</v>
      </c>
      <c r="F1526" s="5" t="str">
        <f>IFERROR(__xludf.DUMMYFUNCTION("""COMPUTED_VALUE"""),"https://azizstan.net/student_image/24174.jpg")</f>
        <v>https://azizstan.net/student_image/24174.jpg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>
      <c r="A1527" s="3" t="str">
        <f>IFERROR(__xludf.DUMMYFUNCTION("""COMPUTED_VALUE"""),"24177")</f>
        <v>24177</v>
      </c>
      <c r="B1527" s="3" t="str">
        <f>IFERROR(__xludf.DUMMYFUNCTION("""COMPUTED_VALUE"""),"น.ส.วรรณิสา สาและบู")</f>
        <v>น.ส.วรรณิสา สาและบู</v>
      </c>
      <c r="C1527" s="3" t="str">
        <f>IFERROR(__xludf.DUMMYFUNCTION("""COMPUTED_VALUE"""),"ม.4/5")</f>
        <v>ม.4/5</v>
      </c>
      <c r="D1527" s="3" t="str">
        <f>IFERROR(__xludf.DUMMYFUNCTION("""COMPUTED_VALUE"""),"อป.1/5")</f>
        <v>อป.1/5</v>
      </c>
      <c r="E1527" s="2" t="str">
        <f>IFERROR(__xludf.DUMMYFUNCTION("""COMPUTED_VALUE"""),"หญิง")</f>
        <v>หญิง</v>
      </c>
      <c r="F1527" s="5" t="str">
        <f>IFERROR(__xludf.DUMMYFUNCTION("""COMPUTED_VALUE"""),"https://azizstan.net/student_image/24177.jpg")</f>
        <v>https://azizstan.net/student_image/24177.jpg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>
      <c r="A1528" s="3" t="str">
        <f>IFERROR(__xludf.DUMMYFUNCTION("""COMPUTED_VALUE"""),"24187")</f>
        <v>24187</v>
      </c>
      <c r="B1528" s="3" t="str">
        <f>IFERROR(__xludf.DUMMYFUNCTION("""COMPUTED_VALUE"""),"น.ส.นัจญวา เจะหะ")</f>
        <v>น.ส.นัจญวา เจะหะ</v>
      </c>
      <c r="C1528" s="3" t="str">
        <f>IFERROR(__xludf.DUMMYFUNCTION("""COMPUTED_VALUE"""),"ม.4/5")</f>
        <v>ม.4/5</v>
      </c>
      <c r="D1528" s="3" t="str">
        <f>IFERROR(__xludf.DUMMYFUNCTION("""COMPUTED_VALUE"""),"อป.1/5")</f>
        <v>อป.1/5</v>
      </c>
      <c r="E1528" s="2" t="str">
        <f>IFERROR(__xludf.DUMMYFUNCTION("""COMPUTED_VALUE"""),"หญิง")</f>
        <v>หญิง</v>
      </c>
      <c r="F1528" s="5" t="str">
        <f>IFERROR(__xludf.DUMMYFUNCTION("""COMPUTED_VALUE"""),"https://azizstan.net/student_image/24187.jpg")</f>
        <v>https://azizstan.net/student_image/24187.jpg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>
      <c r="A1529" s="3" t="str">
        <f>IFERROR(__xludf.DUMMYFUNCTION("""COMPUTED_VALUE"""),"24205")</f>
        <v>24205</v>
      </c>
      <c r="B1529" s="3" t="str">
        <f>IFERROR(__xludf.DUMMYFUNCTION("""COMPUTED_VALUE"""),"น.ส.ซอบารีย๊ะ ปะดอ")</f>
        <v>น.ส.ซอบารีย๊ะ ปะดอ</v>
      </c>
      <c r="C1529" s="3" t="str">
        <f>IFERROR(__xludf.DUMMYFUNCTION("""COMPUTED_VALUE"""),"ม.4/5")</f>
        <v>ม.4/5</v>
      </c>
      <c r="D1529" s="3" t="str">
        <f>IFERROR(__xludf.DUMMYFUNCTION("""COMPUTED_VALUE"""),"อป.1/5")</f>
        <v>อป.1/5</v>
      </c>
      <c r="E1529" s="2" t="str">
        <f>IFERROR(__xludf.DUMMYFUNCTION("""COMPUTED_VALUE"""),"หญิง")</f>
        <v>หญิง</v>
      </c>
      <c r="F1529" s="5" t="str">
        <f>IFERROR(__xludf.DUMMYFUNCTION("""COMPUTED_VALUE"""),"https://azizstan.net/student_image/24205.jpg")</f>
        <v>https://azizstan.net/student_image/24205.jpg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>
      <c r="A1530" s="3" t="str">
        <f>IFERROR(__xludf.DUMMYFUNCTION("""COMPUTED_VALUE"""),"24214")</f>
        <v>24214</v>
      </c>
      <c r="B1530" s="3" t="str">
        <f>IFERROR(__xludf.DUMMYFUNCTION("""COMPUTED_VALUE"""),"น.ส.นุรอนิษา มะสะ")</f>
        <v>น.ส.นุรอนิษา มะสะ</v>
      </c>
      <c r="C1530" s="3" t="str">
        <f>IFERROR(__xludf.DUMMYFUNCTION("""COMPUTED_VALUE"""),"ม.4/5")</f>
        <v>ม.4/5</v>
      </c>
      <c r="D1530" s="3" t="str">
        <f>IFERROR(__xludf.DUMMYFUNCTION("""COMPUTED_VALUE"""),"อป.1/5")</f>
        <v>อป.1/5</v>
      </c>
      <c r="E1530" s="2" t="str">
        <f>IFERROR(__xludf.DUMMYFUNCTION("""COMPUTED_VALUE"""),"หญิง")</f>
        <v>หญิง</v>
      </c>
      <c r="F1530" s="5" t="str">
        <f>IFERROR(__xludf.DUMMYFUNCTION("""COMPUTED_VALUE"""),"https://azizstan.net/student_image/24214.jpg")</f>
        <v>https://azizstan.net/student_image/24214.jpg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>
      <c r="A1531" s="3" t="str">
        <f>IFERROR(__xludf.DUMMYFUNCTION("""COMPUTED_VALUE"""),"24220")</f>
        <v>24220</v>
      </c>
      <c r="B1531" s="3" t="str">
        <f>IFERROR(__xludf.DUMMYFUNCTION("""COMPUTED_VALUE"""),"น.ส.นิสรีน โตะและ")</f>
        <v>น.ส.นิสรีน โตะและ</v>
      </c>
      <c r="C1531" s="3" t="str">
        <f>IFERROR(__xludf.DUMMYFUNCTION("""COMPUTED_VALUE"""),"ม.4/5")</f>
        <v>ม.4/5</v>
      </c>
      <c r="D1531" s="3" t="str">
        <f>IFERROR(__xludf.DUMMYFUNCTION("""COMPUTED_VALUE"""),"อป.1/5")</f>
        <v>อป.1/5</v>
      </c>
      <c r="E1531" s="2" t="str">
        <f>IFERROR(__xludf.DUMMYFUNCTION("""COMPUTED_VALUE"""),"หญิง")</f>
        <v>หญิง</v>
      </c>
      <c r="F1531" s="5" t="str">
        <f>IFERROR(__xludf.DUMMYFUNCTION("""COMPUTED_VALUE"""),"https://azizstan.net/student_image/24220.jpg")</f>
        <v>https://azizstan.net/student_image/24220.jpg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>
      <c r="A1532" s="3" t="str">
        <f>IFERROR(__xludf.DUMMYFUNCTION("""COMPUTED_VALUE"""),"24222")</f>
        <v>24222</v>
      </c>
      <c r="B1532" s="3" t="str">
        <f>IFERROR(__xludf.DUMMYFUNCTION("""COMPUTED_VALUE"""),"น.ส.รูอาร์ สะมะแอ")</f>
        <v>น.ส.รูอาร์ สะมะแอ</v>
      </c>
      <c r="C1532" s="3" t="str">
        <f>IFERROR(__xludf.DUMMYFUNCTION("""COMPUTED_VALUE"""),"ม.4/5")</f>
        <v>ม.4/5</v>
      </c>
      <c r="D1532" s="3" t="str">
        <f>IFERROR(__xludf.DUMMYFUNCTION("""COMPUTED_VALUE"""),"อป.1/5")</f>
        <v>อป.1/5</v>
      </c>
      <c r="E1532" s="2" t="str">
        <f>IFERROR(__xludf.DUMMYFUNCTION("""COMPUTED_VALUE"""),"หญิง")</f>
        <v>หญิง</v>
      </c>
      <c r="F1532" s="5" t="str">
        <f>IFERROR(__xludf.DUMMYFUNCTION("""COMPUTED_VALUE"""),"https://azizstan.net/student_image/24222.jpg")</f>
        <v>https://azizstan.net/student_image/24222.jpg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>
      <c r="A1533" s="3" t="str">
        <f>IFERROR(__xludf.DUMMYFUNCTION("""COMPUTED_VALUE"""),"24223")</f>
        <v>24223</v>
      </c>
      <c r="B1533" s="3" t="str">
        <f>IFERROR(__xludf.DUMMYFUNCTION("""COMPUTED_VALUE"""),"น.ส.ซีรินทร์ มะเซ็ง")</f>
        <v>น.ส.ซีรินทร์ มะเซ็ง</v>
      </c>
      <c r="C1533" s="3" t="str">
        <f>IFERROR(__xludf.DUMMYFUNCTION("""COMPUTED_VALUE"""),"ม.4/5")</f>
        <v>ม.4/5</v>
      </c>
      <c r="D1533" s="3" t="str">
        <f>IFERROR(__xludf.DUMMYFUNCTION("""COMPUTED_VALUE"""),"อป.1/5")</f>
        <v>อป.1/5</v>
      </c>
      <c r="E1533" s="2" t="str">
        <f>IFERROR(__xludf.DUMMYFUNCTION("""COMPUTED_VALUE"""),"หญิง")</f>
        <v>หญิง</v>
      </c>
      <c r="F1533" s="5" t="str">
        <f>IFERROR(__xludf.DUMMYFUNCTION("""COMPUTED_VALUE"""),"https://azizstan.net/student_image/24223.jpg")</f>
        <v>https://azizstan.net/student_image/24223.jpg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>
      <c r="A1534" s="3" t="str">
        <f>IFERROR(__xludf.DUMMYFUNCTION("""COMPUTED_VALUE"""),"24224")</f>
        <v>24224</v>
      </c>
      <c r="B1534" s="3" t="str">
        <f>IFERROR(__xludf.DUMMYFUNCTION("""COMPUTED_VALUE"""),"น.ส.ซีฟะห์ มะเซ็ง")</f>
        <v>น.ส.ซีฟะห์ มะเซ็ง</v>
      </c>
      <c r="C1534" s="3" t="str">
        <f>IFERROR(__xludf.DUMMYFUNCTION("""COMPUTED_VALUE"""),"ม.4/5")</f>
        <v>ม.4/5</v>
      </c>
      <c r="D1534" s="3" t="str">
        <f>IFERROR(__xludf.DUMMYFUNCTION("""COMPUTED_VALUE"""),"อป.1/5")</f>
        <v>อป.1/5</v>
      </c>
      <c r="E1534" s="2" t="str">
        <f>IFERROR(__xludf.DUMMYFUNCTION("""COMPUTED_VALUE"""),"หญิง")</f>
        <v>หญิง</v>
      </c>
      <c r="F1534" s="5" t="str">
        <f>IFERROR(__xludf.DUMMYFUNCTION("""COMPUTED_VALUE"""),"https://azizstan.net/student_image/24224.jpg")</f>
        <v>https://azizstan.net/student_image/24224.jpg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>
      <c r="A1535" s="3" t="str">
        <f>IFERROR(__xludf.DUMMYFUNCTION("""COMPUTED_VALUE"""),"24256")</f>
        <v>24256</v>
      </c>
      <c r="B1535" s="3" t="str">
        <f>IFERROR(__xludf.DUMMYFUNCTION("""COMPUTED_VALUE"""),"น.ส.ซีรินณ์ ยูโซะ")</f>
        <v>น.ส.ซีรินณ์ ยูโซะ</v>
      </c>
      <c r="C1535" s="3" t="str">
        <f>IFERROR(__xludf.DUMMYFUNCTION("""COMPUTED_VALUE"""),"ม.4/5")</f>
        <v>ม.4/5</v>
      </c>
      <c r="D1535" s="3" t="str">
        <f>IFERROR(__xludf.DUMMYFUNCTION("""COMPUTED_VALUE"""),"อป.1/5")</f>
        <v>อป.1/5</v>
      </c>
      <c r="E1535" s="2" t="str">
        <f>IFERROR(__xludf.DUMMYFUNCTION("""COMPUTED_VALUE"""),"หญิง")</f>
        <v>หญิง</v>
      </c>
      <c r="F1535" s="5" t="str">
        <f>IFERROR(__xludf.DUMMYFUNCTION("""COMPUTED_VALUE"""),"https://azizstan.net/student_image/24256.jpg")</f>
        <v>https://azizstan.net/student_image/24256.jpg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>
      <c r="A1536" s="3" t="str">
        <f>IFERROR(__xludf.DUMMYFUNCTION("""COMPUTED_VALUE"""),"24257")</f>
        <v>24257</v>
      </c>
      <c r="B1536" s="3" t="str">
        <f>IFERROR(__xludf.DUMMYFUNCTION("""COMPUTED_VALUE"""),"น.ส.นุรมะห์ มะดีเยาะ")</f>
        <v>น.ส.นุรมะห์ มะดีเยาะ</v>
      </c>
      <c r="C1536" s="3" t="str">
        <f>IFERROR(__xludf.DUMMYFUNCTION("""COMPUTED_VALUE"""),"ม.4/5")</f>
        <v>ม.4/5</v>
      </c>
      <c r="D1536" s="3" t="str">
        <f>IFERROR(__xludf.DUMMYFUNCTION("""COMPUTED_VALUE"""),"อป.1/5")</f>
        <v>อป.1/5</v>
      </c>
      <c r="E1536" s="2" t="str">
        <f>IFERROR(__xludf.DUMMYFUNCTION("""COMPUTED_VALUE"""),"หญิง")</f>
        <v>หญิง</v>
      </c>
      <c r="F1536" s="5" t="str">
        <f>IFERROR(__xludf.DUMMYFUNCTION("""COMPUTED_VALUE"""),"https://azizstan.net/student_image/24257.jpg")</f>
        <v>https://azizstan.net/student_image/24257.jpg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>
      <c r="A1537" s="3" t="str">
        <f>IFERROR(__xludf.DUMMYFUNCTION("""COMPUTED_VALUE"""),"24376")</f>
        <v>24376</v>
      </c>
      <c r="B1537" s="3" t="str">
        <f>IFERROR(__xludf.DUMMYFUNCTION("""COMPUTED_VALUE"""),"น.ส.นูรรัยซะห์ กูจิ")</f>
        <v>น.ส.นูรรัยซะห์ กูจิ</v>
      </c>
      <c r="C1537" s="3" t="str">
        <f>IFERROR(__xludf.DUMMYFUNCTION("""COMPUTED_VALUE"""),"ม.4/5")</f>
        <v>ม.4/5</v>
      </c>
      <c r="D1537" s="3" t="str">
        <f>IFERROR(__xludf.DUMMYFUNCTION("""COMPUTED_VALUE"""),"อป.1/5")</f>
        <v>อป.1/5</v>
      </c>
      <c r="E1537" s="2" t="str">
        <f>IFERROR(__xludf.DUMMYFUNCTION("""COMPUTED_VALUE"""),"หญิง")</f>
        <v>หญิง</v>
      </c>
      <c r="F1537" s="5" t="str">
        <f>IFERROR(__xludf.DUMMYFUNCTION("""COMPUTED_VALUE"""),"https://azizstan.net/student_image/24376.jpg")</f>
        <v>https://azizstan.net/student_image/24376.jpg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>
      <c r="A1538" s="3" t="str">
        <f>IFERROR(__xludf.DUMMYFUNCTION("""COMPUTED_VALUE"""),"24393")</f>
        <v>24393</v>
      </c>
      <c r="B1538" s="3" t="str">
        <f>IFERROR(__xludf.DUMMYFUNCTION("""COMPUTED_VALUE"""),"น.ส.รอยฮาน ตาเยาะ")</f>
        <v>น.ส.รอยฮาน ตาเยาะ</v>
      </c>
      <c r="C1538" s="3" t="str">
        <f>IFERROR(__xludf.DUMMYFUNCTION("""COMPUTED_VALUE"""),"ม.4/5")</f>
        <v>ม.4/5</v>
      </c>
      <c r="D1538" s="3" t="str">
        <f>IFERROR(__xludf.DUMMYFUNCTION("""COMPUTED_VALUE"""),"อป.1/5")</f>
        <v>อป.1/5</v>
      </c>
      <c r="E1538" s="2" t="str">
        <f>IFERROR(__xludf.DUMMYFUNCTION("""COMPUTED_VALUE"""),"หญิง")</f>
        <v>หญิง</v>
      </c>
      <c r="F1538" s="5" t="str">
        <f>IFERROR(__xludf.DUMMYFUNCTION("""COMPUTED_VALUE"""),"https://azizstan.net/student_image/24393.jpg")</f>
        <v>https://azizstan.net/student_image/24393.jpg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>
      <c r="A1539" s="3" t="str">
        <f>IFERROR(__xludf.DUMMYFUNCTION("""COMPUTED_VALUE"""),"24399")</f>
        <v>24399</v>
      </c>
      <c r="B1539" s="3" t="str">
        <f>IFERROR(__xludf.DUMMYFUNCTION("""COMPUTED_VALUE"""),"น.ส.นาฟาฮาต เล๊ะนุ๊")</f>
        <v>น.ส.นาฟาฮาต เล๊ะนุ๊</v>
      </c>
      <c r="C1539" s="3" t="str">
        <f>IFERROR(__xludf.DUMMYFUNCTION("""COMPUTED_VALUE"""),"ม.4/5")</f>
        <v>ม.4/5</v>
      </c>
      <c r="D1539" s="3" t="str">
        <f>IFERROR(__xludf.DUMMYFUNCTION("""COMPUTED_VALUE"""),"อป.1/5")</f>
        <v>อป.1/5</v>
      </c>
      <c r="E1539" s="2" t="str">
        <f>IFERROR(__xludf.DUMMYFUNCTION("""COMPUTED_VALUE"""),"หญิง")</f>
        <v>หญิง</v>
      </c>
      <c r="F1539" s="5" t="str">
        <f>IFERROR(__xludf.DUMMYFUNCTION("""COMPUTED_VALUE"""),"https://azizstan.net/student_image/24399.jpg")</f>
        <v>https://azizstan.net/student_image/24399.jpg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>
      <c r="A1540" s="3" t="str">
        <f>IFERROR(__xludf.DUMMYFUNCTION("""COMPUTED_VALUE"""),"24424")</f>
        <v>24424</v>
      </c>
      <c r="B1540" s="3" t="str">
        <f>IFERROR(__xludf.DUMMYFUNCTION("""COMPUTED_VALUE"""),"นายอัรฟา บาโงสะตา")</f>
        <v>นายอัรฟา บาโงสะตา</v>
      </c>
      <c r="C1540" s="3" t="str">
        <f>IFERROR(__xludf.DUMMYFUNCTION("""COMPUTED_VALUE"""),"ม.4/5")</f>
        <v>ม.4/5</v>
      </c>
      <c r="D1540" s="3" t="str">
        <f>IFERROR(__xludf.DUMMYFUNCTION("""COMPUTED_VALUE"""),"อป.1/5")</f>
        <v>อป.1/5</v>
      </c>
      <c r="E1540" s="2" t="str">
        <f>IFERROR(__xludf.DUMMYFUNCTION("""COMPUTED_VALUE"""),"ชาย")</f>
        <v>ชาย</v>
      </c>
      <c r="F1540" s="5" t="str">
        <f>IFERROR(__xludf.DUMMYFUNCTION("""COMPUTED_VALUE"""),"https://azizstan.net/student_image/24424.jpg")</f>
        <v>https://azizstan.net/student_image/24424.jpg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>
      <c r="A1541" s="3" t="str">
        <f>IFERROR(__xludf.DUMMYFUNCTION("""COMPUTED_VALUE"""),"26203")</f>
        <v>26203</v>
      </c>
      <c r="B1541" s="3" t="str">
        <f>IFERROR(__xludf.DUMMYFUNCTION("""COMPUTED_VALUE"""),"น.ส.นาวัล นิสนิ")</f>
        <v>น.ส.นาวัล นิสนิ</v>
      </c>
      <c r="C1541" s="3" t="str">
        <f>IFERROR(__xludf.DUMMYFUNCTION("""COMPUTED_VALUE"""),"ม.4/5")</f>
        <v>ม.4/5</v>
      </c>
      <c r="D1541" s="3" t="str">
        <f>IFERROR(__xludf.DUMMYFUNCTION("""COMPUTED_VALUE"""),"อป.1/5")</f>
        <v>อป.1/5</v>
      </c>
      <c r="E1541" s="2" t="str">
        <f>IFERROR(__xludf.DUMMYFUNCTION("""COMPUTED_VALUE"""),"หญิง")</f>
        <v>หญิง</v>
      </c>
      <c r="F1541" s="5" t="str">
        <f>IFERROR(__xludf.DUMMYFUNCTION("""COMPUTED_VALUE"""),"https://azizstan.net/student_image/26203.jpg")</f>
        <v>https://azizstan.net/student_image/26203.jpg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>
      <c r="A1542" s="3" t="str">
        <f>IFERROR(__xludf.DUMMYFUNCTION("""COMPUTED_VALUE"""),"26484")</f>
        <v>26484</v>
      </c>
      <c r="B1542" s="3" t="str">
        <f>IFERROR(__xludf.DUMMYFUNCTION("""COMPUTED_VALUE"""),"นายอิรฟาน สลำ")</f>
        <v>นายอิรฟาน สลำ</v>
      </c>
      <c r="C1542" s="3" t="str">
        <f>IFERROR(__xludf.DUMMYFUNCTION("""COMPUTED_VALUE"""),"ม.4/5")</f>
        <v>ม.4/5</v>
      </c>
      <c r="D1542" s="3" t="str">
        <f>IFERROR(__xludf.DUMMYFUNCTION("""COMPUTED_VALUE"""),"อป.1/5")</f>
        <v>อป.1/5</v>
      </c>
      <c r="E1542" s="2" t="str">
        <f>IFERROR(__xludf.DUMMYFUNCTION("""COMPUTED_VALUE"""),"ชาย")</f>
        <v>ชาย</v>
      </c>
      <c r="F1542" s="5" t="str">
        <f>IFERROR(__xludf.DUMMYFUNCTION("""COMPUTED_VALUE"""),"https://azizstan.net/student_image/26484.jpg")</f>
        <v>https://azizstan.net/student_image/26484.jpg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>
      <c r="A1543" s="3" t="str">
        <f>IFERROR(__xludf.DUMMYFUNCTION("""COMPUTED_VALUE"""),"26503")</f>
        <v>26503</v>
      </c>
      <c r="B1543" s="3" t="str">
        <f>IFERROR(__xludf.DUMMYFUNCTION("""COMPUTED_VALUE"""),"น.ส.อามานีย์ ยาบา")</f>
        <v>น.ส.อามานีย์ ยาบา</v>
      </c>
      <c r="C1543" s="3" t="str">
        <f>IFERROR(__xludf.DUMMYFUNCTION("""COMPUTED_VALUE"""),"ม.4/5")</f>
        <v>ม.4/5</v>
      </c>
      <c r="D1543" s="3" t="str">
        <f>IFERROR(__xludf.DUMMYFUNCTION("""COMPUTED_VALUE"""),"อป.1/5")</f>
        <v>อป.1/5</v>
      </c>
      <c r="E1543" s="2" t="str">
        <f>IFERROR(__xludf.DUMMYFUNCTION("""COMPUTED_VALUE"""),"หญิง")</f>
        <v>หญิง</v>
      </c>
      <c r="F1543" s="5" t="str">
        <f>IFERROR(__xludf.DUMMYFUNCTION("""COMPUTED_VALUE"""),"https://azizstan.net/student_image/26503.jpg")</f>
        <v>https://azizstan.net/student_image/26503.jpg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>
      <c r="A1544" s="3" t="str">
        <f>IFERROR(__xludf.DUMMYFUNCTION("""COMPUTED_VALUE"""),"26696")</f>
        <v>26696</v>
      </c>
      <c r="B1544" s="3" t="str">
        <f>IFERROR(__xludf.DUMMYFUNCTION("""COMPUTED_VALUE"""),"น.ส.อริศรา อัตมาด")</f>
        <v>น.ส.อริศรา อัตมาด</v>
      </c>
      <c r="C1544" s="3" t="str">
        <f>IFERROR(__xludf.DUMMYFUNCTION("""COMPUTED_VALUE"""),"ม.4/5")</f>
        <v>ม.4/5</v>
      </c>
      <c r="D1544" s="3" t="str">
        <f>IFERROR(__xludf.DUMMYFUNCTION("""COMPUTED_VALUE"""),"อป.1/5")</f>
        <v>อป.1/5</v>
      </c>
      <c r="E1544" s="2" t="str">
        <f>IFERROR(__xludf.DUMMYFUNCTION("""COMPUTED_VALUE"""),"หญิง")</f>
        <v>หญิง</v>
      </c>
      <c r="F1544" s="5" t="str">
        <f>IFERROR(__xludf.DUMMYFUNCTION("""COMPUTED_VALUE"""),"https://azizstan.net/student_image/26696.jpg")</f>
        <v>https://azizstan.net/student_image/26696.jpg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>
      <c r="A1545" s="3" t="str">
        <f>IFERROR(__xludf.DUMMYFUNCTION("""COMPUTED_VALUE"""),"26707")</f>
        <v>26707</v>
      </c>
      <c r="B1545" s="3" t="str">
        <f>IFERROR(__xludf.DUMMYFUNCTION("""COMPUTED_VALUE"""),"น.ส.ณาอีม หมัดหัด")</f>
        <v>น.ส.ณาอีม หมัดหัด</v>
      </c>
      <c r="C1545" s="3" t="str">
        <f>IFERROR(__xludf.DUMMYFUNCTION("""COMPUTED_VALUE"""),"ม.4/5")</f>
        <v>ม.4/5</v>
      </c>
      <c r="D1545" s="3" t="str">
        <f>IFERROR(__xludf.DUMMYFUNCTION("""COMPUTED_VALUE"""),"อป.1/5")</f>
        <v>อป.1/5</v>
      </c>
      <c r="E1545" s="2" t="str">
        <f>IFERROR(__xludf.DUMMYFUNCTION("""COMPUTED_VALUE"""),"หญิง")</f>
        <v>หญิง</v>
      </c>
      <c r="F1545" s="5" t="str">
        <f>IFERROR(__xludf.DUMMYFUNCTION("""COMPUTED_VALUE"""),"https://azizstan.net/student_image/26707.jpg")</f>
        <v>https://azizstan.net/student_image/26707.jpg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>
      <c r="A1546" s="3" t="str">
        <f>IFERROR(__xludf.DUMMYFUNCTION("""COMPUTED_VALUE"""),"26724")</f>
        <v>26724</v>
      </c>
      <c r="B1546" s="3" t="str">
        <f>IFERROR(__xludf.DUMMYFUNCTION("""COMPUTED_VALUE"""),"น.ส.วันนูรีย์ แวมามุ")</f>
        <v>น.ส.วันนูรีย์ แวมามุ</v>
      </c>
      <c r="C1546" s="3" t="str">
        <f>IFERROR(__xludf.DUMMYFUNCTION("""COMPUTED_VALUE"""),"ม.4/5")</f>
        <v>ม.4/5</v>
      </c>
      <c r="D1546" s="3" t="str">
        <f>IFERROR(__xludf.DUMMYFUNCTION("""COMPUTED_VALUE"""),"อป.1/5")</f>
        <v>อป.1/5</v>
      </c>
      <c r="E1546" s="2" t="str">
        <f>IFERROR(__xludf.DUMMYFUNCTION("""COMPUTED_VALUE"""),"หญิง")</f>
        <v>หญิง</v>
      </c>
      <c r="F1546" s="5" t="str">
        <f>IFERROR(__xludf.DUMMYFUNCTION("""COMPUTED_VALUE"""),"https://azizstan.net/student_image/26724.jpg")</f>
        <v>https://azizstan.net/student_image/26724.jpg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>
      <c r="A1547" s="3" t="str">
        <f>IFERROR(__xludf.DUMMYFUNCTION("""COMPUTED_VALUE"""),"24019")</f>
        <v>24019</v>
      </c>
      <c r="B1547" s="3" t="str">
        <f>IFERROR(__xludf.DUMMYFUNCTION("""COMPUTED_VALUE"""),"น.ส.รอยฮาน สะมะแอ")</f>
        <v>น.ส.รอยฮาน สะมะแอ</v>
      </c>
      <c r="C1547" s="3" t="str">
        <f>IFERROR(__xludf.DUMMYFUNCTION("""COMPUTED_VALUE"""),"ม.4/6")</f>
        <v>ม.4/6</v>
      </c>
      <c r="D1547" s="3" t="str">
        <f>IFERROR(__xludf.DUMMYFUNCTION("""COMPUTED_VALUE"""),"อป.1/6")</f>
        <v>อป.1/6</v>
      </c>
      <c r="E1547" s="2" t="str">
        <f>IFERROR(__xludf.DUMMYFUNCTION("""COMPUTED_VALUE"""),"หญิง")</f>
        <v>หญิง</v>
      </c>
      <c r="F1547" s="5" t="str">
        <f>IFERROR(__xludf.DUMMYFUNCTION("""COMPUTED_VALUE"""),"https://azizstan.net/student_image/24019.jpg")</f>
        <v>https://azizstan.net/student_image/24019.jpg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>
      <c r="A1548" s="3" t="str">
        <f>IFERROR(__xludf.DUMMYFUNCTION("""COMPUTED_VALUE"""),"24044")</f>
        <v>24044</v>
      </c>
      <c r="B1548" s="3" t="str">
        <f>IFERROR(__xludf.DUMMYFUNCTION("""COMPUTED_VALUE"""),"น.ส.อารีนา อูมา")</f>
        <v>น.ส.อารีนา อูมา</v>
      </c>
      <c r="C1548" s="3" t="str">
        <f>IFERROR(__xludf.DUMMYFUNCTION("""COMPUTED_VALUE"""),"ม.4/6")</f>
        <v>ม.4/6</v>
      </c>
      <c r="D1548" s="3" t="str">
        <f>IFERROR(__xludf.DUMMYFUNCTION("""COMPUTED_VALUE"""),"อป.1/6")</f>
        <v>อป.1/6</v>
      </c>
      <c r="E1548" s="2" t="str">
        <f>IFERROR(__xludf.DUMMYFUNCTION("""COMPUTED_VALUE"""),"หญิง")</f>
        <v>หญิง</v>
      </c>
      <c r="F1548" s="5" t="str">
        <f>IFERROR(__xludf.DUMMYFUNCTION("""COMPUTED_VALUE"""),"https://azizstan.net/student_image/24044.jpg")</f>
        <v>https://azizstan.net/student_image/24044.jpg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>
      <c r="A1549" s="3" t="str">
        <f>IFERROR(__xludf.DUMMYFUNCTION("""COMPUTED_VALUE"""),"24061")</f>
        <v>24061</v>
      </c>
      <c r="B1549" s="3" t="str">
        <f>IFERROR(__xludf.DUMMYFUNCTION("""COMPUTED_VALUE"""),"น.ส.ซอฟะ อาแว")</f>
        <v>น.ส.ซอฟะ อาแว</v>
      </c>
      <c r="C1549" s="3" t="str">
        <f>IFERROR(__xludf.DUMMYFUNCTION("""COMPUTED_VALUE"""),"ม.4/6")</f>
        <v>ม.4/6</v>
      </c>
      <c r="D1549" s="3" t="str">
        <f>IFERROR(__xludf.DUMMYFUNCTION("""COMPUTED_VALUE"""),"อป.1/6")</f>
        <v>อป.1/6</v>
      </c>
      <c r="E1549" s="2" t="str">
        <f>IFERROR(__xludf.DUMMYFUNCTION("""COMPUTED_VALUE"""),"หญิง")</f>
        <v>หญิง</v>
      </c>
      <c r="F1549" s="5" t="str">
        <f>IFERROR(__xludf.DUMMYFUNCTION("""COMPUTED_VALUE"""),"https://azizstan.net/student_image/24061.jpg")</f>
        <v>https://azizstan.net/student_image/24061.jpg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>
      <c r="A1550" s="3" t="str">
        <f>IFERROR(__xludf.DUMMYFUNCTION("""COMPUTED_VALUE"""),"24088")</f>
        <v>24088</v>
      </c>
      <c r="B1550" s="3" t="str">
        <f>IFERROR(__xludf.DUMMYFUNCTION("""COMPUTED_VALUE"""),"น.ส.นาซูฮา แดวอ")</f>
        <v>น.ส.นาซูฮา แดวอ</v>
      </c>
      <c r="C1550" s="3" t="str">
        <f>IFERROR(__xludf.DUMMYFUNCTION("""COMPUTED_VALUE"""),"ม.4/6")</f>
        <v>ม.4/6</v>
      </c>
      <c r="D1550" s="3" t="str">
        <f>IFERROR(__xludf.DUMMYFUNCTION("""COMPUTED_VALUE"""),"อป.1/6")</f>
        <v>อป.1/6</v>
      </c>
      <c r="E1550" s="2" t="str">
        <f>IFERROR(__xludf.DUMMYFUNCTION("""COMPUTED_VALUE"""),"หญิง")</f>
        <v>หญิง</v>
      </c>
      <c r="F1550" s="5" t="str">
        <f>IFERROR(__xludf.DUMMYFUNCTION("""COMPUTED_VALUE"""),"https://azizstan.net/student_image/24088.jpg")</f>
        <v>https://azizstan.net/student_image/24088.jpg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>
      <c r="A1551" s="3" t="str">
        <f>IFERROR(__xludf.DUMMYFUNCTION("""COMPUTED_VALUE"""),"24094")</f>
        <v>24094</v>
      </c>
      <c r="B1551" s="3" t="str">
        <f>IFERROR(__xludf.DUMMYFUNCTION("""COMPUTED_VALUE"""),"น.ส.นัซนีม ดือราแม")</f>
        <v>น.ส.นัซนีม ดือราแม</v>
      </c>
      <c r="C1551" s="3" t="str">
        <f>IFERROR(__xludf.DUMMYFUNCTION("""COMPUTED_VALUE"""),"ม.4/6")</f>
        <v>ม.4/6</v>
      </c>
      <c r="D1551" s="3" t="str">
        <f>IFERROR(__xludf.DUMMYFUNCTION("""COMPUTED_VALUE"""),"อป.1/6")</f>
        <v>อป.1/6</v>
      </c>
      <c r="E1551" s="2" t="str">
        <f>IFERROR(__xludf.DUMMYFUNCTION("""COMPUTED_VALUE"""),"หญิง")</f>
        <v>หญิง</v>
      </c>
      <c r="F1551" s="5" t="str">
        <f>IFERROR(__xludf.DUMMYFUNCTION("""COMPUTED_VALUE"""),"https://azizstan.net/student_image/24094.jpg")</f>
        <v>https://azizstan.net/student_image/24094.jpg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>
      <c r="A1552" s="3" t="str">
        <f>IFERROR(__xludf.DUMMYFUNCTION("""COMPUTED_VALUE"""),"24121")</f>
        <v>24121</v>
      </c>
      <c r="B1552" s="3" t="str">
        <f>IFERROR(__xludf.DUMMYFUNCTION("""COMPUTED_VALUE"""),"น.ส.ซูไรนีย์ วันยี")</f>
        <v>น.ส.ซูไรนีย์ วันยี</v>
      </c>
      <c r="C1552" s="3" t="str">
        <f>IFERROR(__xludf.DUMMYFUNCTION("""COMPUTED_VALUE"""),"ม.4/6")</f>
        <v>ม.4/6</v>
      </c>
      <c r="D1552" s="3" t="str">
        <f>IFERROR(__xludf.DUMMYFUNCTION("""COMPUTED_VALUE"""),"อป.1/6")</f>
        <v>อป.1/6</v>
      </c>
      <c r="E1552" s="2" t="str">
        <f>IFERROR(__xludf.DUMMYFUNCTION("""COMPUTED_VALUE"""),"หญิง")</f>
        <v>หญิง</v>
      </c>
      <c r="F1552" s="5" t="str">
        <f>IFERROR(__xludf.DUMMYFUNCTION("""COMPUTED_VALUE"""),"https://azizstan.net/student_image/24121.jpg")</f>
        <v>https://azizstan.net/student_image/24121.jpg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>
      <c r="A1553" s="3" t="str">
        <f>IFERROR(__xludf.DUMMYFUNCTION("""COMPUTED_VALUE"""),"24135")</f>
        <v>24135</v>
      </c>
      <c r="B1553" s="3" t="str">
        <f>IFERROR(__xludf.DUMMYFUNCTION("""COMPUTED_VALUE"""),"น.ส.ซัลวาติห มามะ")</f>
        <v>น.ส.ซัลวาติห มามะ</v>
      </c>
      <c r="C1553" s="3" t="str">
        <f>IFERROR(__xludf.DUMMYFUNCTION("""COMPUTED_VALUE"""),"ม.4/6")</f>
        <v>ม.4/6</v>
      </c>
      <c r="D1553" s="3" t="str">
        <f>IFERROR(__xludf.DUMMYFUNCTION("""COMPUTED_VALUE"""),"อป.1/6")</f>
        <v>อป.1/6</v>
      </c>
      <c r="E1553" s="2" t="str">
        <f>IFERROR(__xludf.DUMMYFUNCTION("""COMPUTED_VALUE"""),"หญิง")</f>
        <v>หญิง</v>
      </c>
      <c r="F1553" s="5" t="str">
        <f>IFERROR(__xludf.DUMMYFUNCTION("""COMPUTED_VALUE"""),"https://azizstan.net/student_image/24135.jpg")</f>
        <v>https://azizstan.net/student_image/24135.jpg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>
      <c r="A1554" s="3" t="str">
        <f>IFERROR(__xludf.DUMMYFUNCTION("""COMPUTED_VALUE"""),"24141")</f>
        <v>24141</v>
      </c>
      <c r="B1554" s="3" t="str">
        <f>IFERROR(__xludf.DUMMYFUNCTION("""COMPUTED_VALUE"""),"น.ส.อานีฟา จิยีมะ")</f>
        <v>น.ส.อานีฟา จิยีมะ</v>
      </c>
      <c r="C1554" s="3" t="str">
        <f>IFERROR(__xludf.DUMMYFUNCTION("""COMPUTED_VALUE"""),"ม.4/6")</f>
        <v>ม.4/6</v>
      </c>
      <c r="D1554" s="3" t="str">
        <f>IFERROR(__xludf.DUMMYFUNCTION("""COMPUTED_VALUE"""),"อป.1/6")</f>
        <v>อป.1/6</v>
      </c>
      <c r="E1554" s="2" t="str">
        <f>IFERROR(__xludf.DUMMYFUNCTION("""COMPUTED_VALUE"""),"หญิง")</f>
        <v>หญิง</v>
      </c>
      <c r="F1554" s="5" t="str">
        <f>IFERROR(__xludf.DUMMYFUNCTION("""COMPUTED_VALUE"""),"https://azizstan.net/student_image/24141.jpg")</f>
        <v>https://azizstan.net/student_image/24141.jpg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>
      <c r="A1555" s="3" t="str">
        <f>IFERROR(__xludf.DUMMYFUNCTION("""COMPUTED_VALUE"""),"24164")</f>
        <v>24164</v>
      </c>
      <c r="B1555" s="3" t="str">
        <f>IFERROR(__xludf.DUMMYFUNCTION("""COMPUTED_VALUE"""),"นายอาดือนาน สาแต")</f>
        <v>นายอาดือนาน สาแต</v>
      </c>
      <c r="C1555" s="3" t="str">
        <f>IFERROR(__xludf.DUMMYFUNCTION("""COMPUTED_VALUE"""),"ม.4/6")</f>
        <v>ม.4/6</v>
      </c>
      <c r="D1555" s="3" t="str">
        <f>IFERROR(__xludf.DUMMYFUNCTION("""COMPUTED_VALUE"""),"อป.1/6")</f>
        <v>อป.1/6</v>
      </c>
      <c r="E1555" s="2" t="str">
        <f>IFERROR(__xludf.DUMMYFUNCTION("""COMPUTED_VALUE"""),"ชาย")</f>
        <v>ชาย</v>
      </c>
      <c r="F1555" s="5" t="str">
        <f>IFERROR(__xludf.DUMMYFUNCTION("""COMPUTED_VALUE"""),"https://azizstan.net/student_image/24164.jpg")</f>
        <v>https://azizstan.net/student_image/24164.jpg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>
      <c r="A1556" s="3" t="str">
        <f>IFERROR(__xludf.DUMMYFUNCTION("""COMPUTED_VALUE"""),"24233")</f>
        <v>24233</v>
      </c>
      <c r="B1556" s="3" t="str">
        <f>IFERROR(__xludf.DUMMYFUNCTION("""COMPUTED_VALUE"""),"น.ส.ซัลมี ฮามะ")</f>
        <v>น.ส.ซัลมี ฮามะ</v>
      </c>
      <c r="C1556" s="3" t="str">
        <f>IFERROR(__xludf.DUMMYFUNCTION("""COMPUTED_VALUE"""),"ม.4/6")</f>
        <v>ม.4/6</v>
      </c>
      <c r="D1556" s="3" t="str">
        <f>IFERROR(__xludf.DUMMYFUNCTION("""COMPUTED_VALUE"""),"อป.1/6")</f>
        <v>อป.1/6</v>
      </c>
      <c r="E1556" s="2" t="str">
        <f>IFERROR(__xludf.DUMMYFUNCTION("""COMPUTED_VALUE"""),"หญิง")</f>
        <v>หญิง</v>
      </c>
      <c r="F1556" s="5" t="str">
        <f>IFERROR(__xludf.DUMMYFUNCTION("""COMPUTED_VALUE"""),"https://azizstan.net/student_image/24233.jpg")</f>
        <v>https://azizstan.net/student_image/24233.jpg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>
      <c r="A1557" s="3" t="str">
        <f>IFERROR(__xludf.DUMMYFUNCTION("""COMPUTED_VALUE"""),"24234")</f>
        <v>24234</v>
      </c>
      <c r="B1557" s="3" t="str">
        <f>IFERROR(__xludf.DUMMYFUNCTION("""COMPUTED_VALUE"""),"น.ส.ซัลซาบีลา หะนั่ง")</f>
        <v>น.ส.ซัลซาบีลา หะนั่ง</v>
      </c>
      <c r="C1557" s="3" t="str">
        <f>IFERROR(__xludf.DUMMYFUNCTION("""COMPUTED_VALUE"""),"ม.4/6")</f>
        <v>ม.4/6</v>
      </c>
      <c r="D1557" s="3" t="str">
        <f>IFERROR(__xludf.DUMMYFUNCTION("""COMPUTED_VALUE"""),"อป.1/6")</f>
        <v>อป.1/6</v>
      </c>
      <c r="E1557" s="2" t="str">
        <f>IFERROR(__xludf.DUMMYFUNCTION("""COMPUTED_VALUE"""),"หญิง")</f>
        <v>หญิง</v>
      </c>
      <c r="F1557" s="5" t="str">
        <f>IFERROR(__xludf.DUMMYFUNCTION("""COMPUTED_VALUE"""),"https://azizstan.net/student_image/24234.jpg")</f>
        <v>https://azizstan.net/student_image/24234.jpg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>
      <c r="A1558" s="3" t="str">
        <f>IFERROR(__xludf.DUMMYFUNCTION("""COMPUTED_VALUE"""),"24238")</f>
        <v>24238</v>
      </c>
      <c r="B1558" s="3" t="str">
        <f>IFERROR(__xludf.DUMMYFUNCTION("""COMPUTED_VALUE"""),"น.ส.นุรมี คอแบ๊ะ")</f>
        <v>น.ส.นุรมี คอแบ๊ะ</v>
      </c>
      <c r="C1558" s="3" t="str">
        <f>IFERROR(__xludf.DUMMYFUNCTION("""COMPUTED_VALUE"""),"ม.4/6")</f>
        <v>ม.4/6</v>
      </c>
      <c r="D1558" s="3" t="str">
        <f>IFERROR(__xludf.DUMMYFUNCTION("""COMPUTED_VALUE"""),"อป.1/6")</f>
        <v>อป.1/6</v>
      </c>
      <c r="E1558" s="2" t="str">
        <f>IFERROR(__xludf.DUMMYFUNCTION("""COMPUTED_VALUE"""),"หญิง")</f>
        <v>หญิง</v>
      </c>
      <c r="F1558" s="5" t="str">
        <f>IFERROR(__xludf.DUMMYFUNCTION("""COMPUTED_VALUE"""),"https://azizstan.net/student_image/24238.jpg")</f>
        <v>https://azizstan.net/student_image/24238.jpg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>
      <c r="A1559" s="3" t="str">
        <f>IFERROR(__xludf.DUMMYFUNCTION("""COMPUTED_VALUE"""),"24244")</f>
        <v>24244</v>
      </c>
      <c r="B1559" s="3" t="str">
        <f>IFERROR(__xludf.DUMMYFUNCTION("""COMPUTED_VALUE"""),"นายอัฟฟาน เจ๊ะสะตำ")</f>
        <v>นายอัฟฟาน เจ๊ะสะตำ</v>
      </c>
      <c r="C1559" s="3" t="str">
        <f>IFERROR(__xludf.DUMMYFUNCTION("""COMPUTED_VALUE"""),"ม.4/6")</f>
        <v>ม.4/6</v>
      </c>
      <c r="D1559" s="3" t="str">
        <f>IFERROR(__xludf.DUMMYFUNCTION("""COMPUTED_VALUE"""),"อป.1/6")</f>
        <v>อป.1/6</v>
      </c>
      <c r="E1559" s="2" t="str">
        <f>IFERROR(__xludf.DUMMYFUNCTION("""COMPUTED_VALUE"""),"ชาย")</f>
        <v>ชาย</v>
      </c>
      <c r="F1559" s="5" t="str">
        <f>IFERROR(__xludf.DUMMYFUNCTION("""COMPUTED_VALUE"""),"https://azizstan.net/student_image/24244.jpg")</f>
        <v>https://azizstan.net/student_image/24244.jpg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>
      <c r="A1560" s="3" t="str">
        <f>IFERROR(__xludf.DUMMYFUNCTION("""COMPUTED_VALUE"""),"24273")</f>
        <v>24273</v>
      </c>
      <c r="B1560" s="3" t="str">
        <f>IFERROR(__xludf.DUMMYFUNCTION("""COMPUTED_VALUE"""),"นายอัชรอฟ อับดุลวาฮับ")</f>
        <v>นายอัชรอฟ อับดุลวาฮับ</v>
      </c>
      <c r="C1560" s="3" t="str">
        <f>IFERROR(__xludf.DUMMYFUNCTION("""COMPUTED_VALUE"""),"ม.4/6")</f>
        <v>ม.4/6</v>
      </c>
      <c r="D1560" s="3" t="str">
        <f>IFERROR(__xludf.DUMMYFUNCTION("""COMPUTED_VALUE"""),"อป.1/6")</f>
        <v>อป.1/6</v>
      </c>
      <c r="E1560" s="2" t="str">
        <f>IFERROR(__xludf.DUMMYFUNCTION("""COMPUTED_VALUE"""),"ชาย")</f>
        <v>ชาย</v>
      </c>
      <c r="F1560" s="5" t="str">
        <f>IFERROR(__xludf.DUMMYFUNCTION("""COMPUTED_VALUE"""),"https://azizstan.net/student_image/24273.jpg")</f>
        <v>https://azizstan.net/student_image/24273.jpg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>
      <c r="A1561" s="3" t="str">
        <f>IFERROR(__xludf.DUMMYFUNCTION("""COMPUTED_VALUE"""),"24275")</f>
        <v>24275</v>
      </c>
      <c r="B1561" s="3" t="str">
        <f>IFERROR(__xludf.DUMMYFUNCTION("""COMPUTED_VALUE"""),"น.ส.นิอาลียา เจะแม")</f>
        <v>น.ส.นิอาลียา เจะแม</v>
      </c>
      <c r="C1561" s="3" t="str">
        <f>IFERROR(__xludf.DUMMYFUNCTION("""COMPUTED_VALUE"""),"ม.4/6")</f>
        <v>ม.4/6</v>
      </c>
      <c r="D1561" s="3" t="str">
        <f>IFERROR(__xludf.DUMMYFUNCTION("""COMPUTED_VALUE"""),"อป.1/6")</f>
        <v>อป.1/6</v>
      </c>
      <c r="E1561" s="2" t="str">
        <f>IFERROR(__xludf.DUMMYFUNCTION("""COMPUTED_VALUE"""),"หญิง")</f>
        <v>หญิง</v>
      </c>
      <c r="F1561" s="5" t="str">
        <f>IFERROR(__xludf.DUMMYFUNCTION("""COMPUTED_VALUE"""),"https://azizstan.net/student_image/24275.jpg")</f>
        <v>https://azizstan.net/student_image/24275.jpg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>
      <c r="A1562" s="3" t="str">
        <f>IFERROR(__xludf.DUMMYFUNCTION("""COMPUTED_VALUE"""),"24279")</f>
        <v>24279</v>
      </c>
      <c r="B1562" s="3" t="str">
        <f>IFERROR(__xludf.DUMMYFUNCTION("""COMPUTED_VALUE"""),"นายมูฮำหมัดฟุตรอ ดอเลาะกาเดร์")</f>
        <v>นายมูฮำหมัดฟุตรอ ดอเลาะกาเดร์</v>
      </c>
      <c r="C1562" s="3" t="str">
        <f>IFERROR(__xludf.DUMMYFUNCTION("""COMPUTED_VALUE"""),"ม.4/6")</f>
        <v>ม.4/6</v>
      </c>
      <c r="D1562" s="3" t="str">
        <f>IFERROR(__xludf.DUMMYFUNCTION("""COMPUTED_VALUE"""),"อป.1/6")</f>
        <v>อป.1/6</v>
      </c>
      <c r="E1562" s="2" t="str">
        <f>IFERROR(__xludf.DUMMYFUNCTION("""COMPUTED_VALUE"""),"ชาย")</f>
        <v>ชาย</v>
      </c>
      <c r="F1562" s="5" t="str">
        <f>IFERROR(__xludf.DUMMYFUNCTION("""COMPUTED_VALUE"""),"https://azizstan.net/student_image/24279.jpg")</f>
        <v>https://azizstan.net/student_image/24279.jpg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>
      <c r="A1563" s="3" t="str">
        <f>IFERROR(__xludf.DUMMYFUNCTION("""COMPUTED_VALUE"""),"24282")</f>
        <v>24282</v>
      </c>
      <c r="B1563" s="3" t="str">
        <f>IFERROR(__xludf.DUMMYFUNCTION("""COMPUTED_VALUE"""),"นายมูฮัมหมัดซาซูวัน คาเร็ง")</f>
        <v>นายมูฮัมหมัดซาซูวัน คาเร็ง</v>
      </c>
      <c r="C1563" s="3" t="str">
        <f>IFERROR(__xludf.DUMMYFUNCTION("""COMPUTED_VALUE"""),"ม.4/6")</f>
        <v>ม.4/6</v>
      </c>
      <c r="D1563" s="3" t="str">
        <f>IFERROR(__xludf.DUMMYFUNCTION("""COMPUTED_VALUE"""),"อป.1/6")</f>
        <v>อป.1/6</v>
      </c>
      <c r="E1563" s="2" t="str">
        <f>IFERROR(__xludf.DUMMYFUNCTION("""COMPUTED_VALUE"""),"ชาย")</f>
        <v>ชาย</v>
      </c>
      <c r="F1563" s="5" t="str">
        <f>IFERROR(__xludf.DUMMYFUNCTION("""COMPUTED_VALUE"""),"https://azizstan.net/student_image/24282.jpg")</f>
        <v>https://azizstan.net/student_image/24282.jpg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>
      <c r="A1564" s="3" t="str">
        <f>IFERROR(__xludf.DUMMYFUNCTION("""COMPUTED_VALUE"""),"24300")</f>
        <v>24300</v>
      </c>
      <c r="B1564" s="3" t="str">
        <f>IFERROR(__xludf.DUMMYFUNCTION("""COMPUTED_VALUE"""),"น.ส.นุรดีนี สุหลง")</f>
        <v>น.ส.นุรดีนี สุหลง</v>
      </c>
      <c r="C1564" s="3" t="str">
        <f>IFERROR(__xludf.DUMMYFUNCTION("""COMPUTED_VALUE"""),"ม.4/6")</f>
        <v>ม.4/6</v>
      </c>
      <c r="D1564" s="3" t="str">
        <f>IFERROR(__xludf.DUMMYFUNCTION("""COMPUTED_VALUE"""),"อป.1/6")</f>
        <v>อป.1/6</v>
      </c>
      <c r="E1564" s="2" t="str">
        <f>IFERROR(__xludf.DUMMYFUNCTION("""COMPUTED_VALUE"""),"หญิง")</f>
        <v>หญิง</v>
      </c>
      <c r="F1564" s="5" t="str">
        <f>IFERROR(__xludf.DUMMYFUNCTION("""COMPUTED_VALUE"""),"https://azizstan.net/student_image/24300.jpg")</f>
        <v>https://azizstan.net/student_image/24300.jpg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>
      <c r="A1565" s="3" t="str">
        <f>IFERROR(__xludf.DUMMYFUNCTION("""COMPUTED_VALUE"""),"24301")</f>
        <v>24301</v>
      </c>
      <c r="B1565" s="3" t="str">
        <f>IFERROR(__xludf.DUMMYFUNCTION("""COMPUTED_VALUE"""),"น.ส.นาอีละห์ มะเระ")</f>
        <v>น.ส.นาอีละห์ มะเระ</v>
      </c>
      <c r="C1565" s="3" t="str">
        <f>IFERROR(__xludf.DUMMYFUNCTION("""COMPUTED_VALUE"""),"ม.4/6")</f>
        <v>ม.4/6</v>
      </c>
      <c r="D1565" s="3" t="str">
        <f>IFERROR(__xludf.DUMMYFUNCTION("""COMPUTED_VALUE"""),"อป.1/6")</f>
        <v>อป.1/6</v>
      </c>
      <c r="E1565" s="2" t="str">
        <f>IFERROR(__xludf.DUMMYFUNCTION("""COMPUTED_VALUE"""),"หญิง")</f>
        <v>หญิง</v>
      </c>
      <c r="F1565" s="5" t="str">
        <f>IFERROR(__xludf.DUMMYFUNCTION("""COMPUTED_VALUE"""),"https://azizstan.net/student_image/24301.jpg")</f>
        <v>https://azizstan.net/student_image/24301.jpg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>
      <c r="A1566" s="3" t="str">
        <f>IFERROR(__xludf.DUMMYFUNCTION("""COMPUTED_VALUE"""),"24307")</f>
        <v>24307</v>
      </c>
      <c r="B1566" s="3" t="str">
        <f>IFERROR(__xludf.DUMMYFUNCTION("""COMPUTED_VALUE"""),"นายฮาฟิซ อิจิ")</f>
        <v>นายฮาฟิซ อิจิ</v>
      </c>
      <c r="C1566" s="3" t="str">
        <f>IFERROR(__xludf.DUMMYFUNCTION("""COMPUTED_VALUE"""),"ม.4/6")</f>
        <v>ม.4/6</v>
      </c>
      <c r="D1566" s="3" t="str">
        <f>IFERROR(__xludf.DUMMYFUNCTION("""COMPUTED_VALUE"""),"อป.1/6")</f>
        <v>อป.1/6</v>
      </c>
      <c r="E1566" s="2" t="str">
        <f>IFERROR(__xludf.DUMMYFUNCTION("""COMPUTED_VALUE"""),"ชาย")</f>
        <v>ชาย</v>
      </c>
      <c r="F1566" s="5" t="str">
        <f>IFERROR(__xludf.DUMMYFUNCTION("""COMPUTED_VALUE"""),"https://azizstan.net/student_image/24307.jpg")</f>
        <v>https://azizstan.net/student_image/24307.jpg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>
      <c r="A1567" s="3" t="str">
        <f>IFERROR(__xludf.DUMMYFUNCTION("""COMPUTED_VALUE"""),"24355")</f>
        <v>24355</v>
      </c>
      <c r="B1567" s="3" t="str">
        <f>IFERROR(__xludf.DUMMYFUNCTION("""COMPUTED_VALUE"""),"นายมูฮัมหมัดคอเล็ฎ เจะเละ")</f>
        <v>นายมูฮัมหมัดคอเล็ฎ เจะเละ</v>
      </c>
      <c r="C1567" s="3" t="str">
        <f>IFERROR(__xludf.DUMMYFUNCTION("""COMPUTED_VALUE"""),"ม.4/6")</f>
        <v>ม.4/6</v>
      </c>
      <c r="D1567" s="3" t="str">
        <f>IFERROR(__xludf.DUMMYFUNCTION("""COMPUTED_VALUE"""),"อป.1/6")</f>
        <v>อป.1/6</v>
      </c>
      <c r="E1567" s="2" t="str">
        <f>IFERROR(__xludf.DUMMYFUNCTION("""COMPUTED_VALUE"""),"ชาย")</f>
        <v>ชาย</v>
      </c>
      <c r="F1567" s="5" t="str">
        <f>IFERROR(__xludf.DUMMYFUNCTION("""COMPUTED_VALUE"""),"https://azizstan.net/student_image/24355.jpg")</f>
        <v>https://azizstan.net/student_image/24355.jpg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>
      <c r="A1568" s="3" t="str">
        <f>IFERROR(__xludf.DUMMYFUNCTION("""COMPUTED_VALUE"""),"24366")</f>
        <v>24366</v>
      </c>
      <c r="B1568" s="3" t="str">
        <f>IFERROR(__xludf.DUMMYFUNCTION("""COMPUTED_VALUE"""),"นายอัมมาร์ อับดุลวาฮับ")</f>
        <v>นายอัมมาร์ อับดุลวาฮับ</v>
      </c>
      <c r="C1568" s="3" t="str">
        <f>IFERROR(__xludf.DUMMYFUNCTION("""COMPUTED_VALUE"""),"ม.4/6")</f>
        <v>ม.4/6</v>
      </c>
      <c r="D1568" s="3" t="str">
        <f>IFERROR(__xludf.DUMMYFUNCTION("""COMPUTED_VALUE"""),"อป.1/6")</f>
        <v>อป.1/6</v>
      </c>
      <c r="E1568" s="2" t="str">
        <f>IFERROR(__xludf.DUMMYFUNCTION("""COMPUTED_VALUE"""),"ชาย")</f>
        <v>ชาย</v>
      </c>
      <c r="F1568" s="5" t="str">
        <f>IFERROR(__xludf.DUMMYFUNCTION("""COMPUTED_VALUE"""),"https://azizstan.net/student_image/24366.jpg")</f>
        <v>https://azizstan.net/student_image/24366.jpg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>
      <c r="A1569" s="3" t="str">
        <f>IFERROR(__xludf.DUMMYFUNCTION("""COMPUTED_VALUE"""),"24451")</f>
        <v>24451</v>
      </c>
      <c r="B1569" s="3" t="str">
        <f>IFERROR(__xludf.DUMMYFUNCTION("""COMPUTED_VALUE"""),"น.ส.มาซีเตาะห์ สาแม")</f>
        <v>น.ส.มาซีเตาะห์ สาแม</v>
      </c>
      <c r="C1569" s="3" t="str">
        <f>IFERROR(__xludf.DUMMYFUNCTION("""COMPUTED_VALUE"""),"ม.4/6")</f>
        <v>ม.4/6</v>
      </c>
      <c r="D1569" s="3" t="str">
        <f>IFERROR(__xludf.DUMMYFUNCTION("""COMPUTED_VALUE"""),"อป.1/6")</f>
        <v>อป.1/6</v>
      </c>
      <c r="E1569" s="2" t="str">
        <f>IFERROR(__xludf.DUMMYFUNCTION("""COMPUTED_VALUE"""),"หญิง")</f>
        <v>หญิง</v>
      </c>
      <c r="F1569" s="5" t="str">
        <f>IFERROR(__xludf.DUMMYFUNCTION("""COMPUTED_VALUE"""),"https://azizstan.net/student_image/24451.jpg")</f>
        <v>https://azizstan.net/student_image/24451.jpg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>
      <c r="A1570" s="3" t="str">
        <f>IFERROR(__xludf.DUMMYFUNCTION("""COMPUTED_VALUE"""),"24466")</f>
        <v>24466</v>
      </c>
      <c r="B1570" s="3" t="str">
        <f>IFERROR(__xludf.DUMMYFUNCTION("""COMPUTED_VALUE"""),"นายอิสมะแอล เจ๊ะมะ")</f>
        <v>นายอิสมะแอล เจ๊ะมะ</v>
      </c>
      <c r="C1570" s="3" t="str">
        <f>IFERROR(__xludf.DUMMYFUNCTION("""COMPUTED_VALUE"""),"ม.4/6")</f>
        <v>ม.4/6</v>
      </c>
      <c r="D1570" s="3" t="str">
        <f>IFERROR(__xludf.DUMMYFUNCTION("""COMPUTED_VALUE"""),"อป.1/6")</f>
        <v>อป.1/6</v>
      </c>
      <c r="E1570" s="2" t="str">
        <f>IFERROR(__xludf.DUMMYFUNCTION("""COMPUTED_VALUE"""),"ชาย")</f>
        <v>ชาย</v>
      </c>
      <c r="F1570" s="5" t="str">
        <f>IFERROR(__xludf.DUMMYFUNCTION("""COMPUTED_VALUE"""),"https://azizstan.net/student_image/24466.jpg")</f>
        <v>https://azizstan.net/student_image/24466.jpg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>
      <c r="A1571" s="3" t="str">
        <f>IFERROR(__xludf.DUMMYFUNCTION("""COMPUTED_VALUE"""),"24518")</f>
        <v>24518</v>
      </c>
      <c r="B1571" s="3" t="str">
        <f>IFERROR(__xludf.DUMMYFUNCTION("""COMPUTED_VALUE"""),"นายอาหมัดไซฟูล ตาเละ")</f>
        <v>นายอาหมัดไซฟูล ตาเละ</v>
      </c>
      <c r="C1571" s="3" t="str">
        <f>IFERROR(__xludf.DUMMYFUNCTION("""COMPUTED_VALUE"""),"ม.4/6")</f>
        <v>ม.4/6</v>
      </c>
      <c r="D1571" s="3" t="str">
        <f>IFERROR(__xludf.DUMMYFUNCTION("""COMPUTED_VALUE"""),"อป.1/6")</f>
        <v>อป.1/6</v>
      </c>
      <c r="E1571" s="2" t="str">
        <f>IFERROR(__xludf.DUMMYFUNCTION("""COMPUTED_VALUE"""),"ชาย")</f>
        <v>ชาย</v>
      </c>
      <c r="F1571" s="5" t="str">
        <f>IFERROR(__xludf.DUMMYFUNCTION("""COMPUTED_VALUE"""),"https://azizstan.net/student_image/24518.jpg")</f>
        <v>https://azizstan.net/student_image/24518.jpg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>
      <c r="A1572" s="3" t="str">
        <f>IFERROR(__xludf.DUMMYFUNCTION("""COMPUTED_VALUE"""),"24539")</f>
        <v>24539</v>
      </c>
      <c r="B1572" s="3" t="str">
        <f>IFERROR(__xludf.DUMMYFUNCTION("""COMPUTED_VALUE"""),"นายมุฎริก และแย")</f>
        <v>นายมุฎริก และแย</v>
      </c>
      <c r="C1572" s="3" t="str">
        <f>IFERROR(__xludf.DUMMYFUNCTION("""COMPUTED_VALUE"""),"ม.4/6")</f>
        <v>ม.4/6</v>
      </c>
      <c r="D1572" s="3" t="str">
        <f>IFERROR(__xludf.DUMMYFUNCTION("""COMPUTED_VALUE"""),"อป.1/6")</f>
        <v>อป.1/6</v>
      </c>
      <c r="E1572" s="2" t="str">
        <f>IFERROR(__xludf.DUMMYFUNCTION("""COMPUTED_VALUE"""),"ชาย")</f>
        <v>ชาย</v>
      </c>
      <c r="F1572" s="5" t="str">
        <f>IFERROR(__xludf.DUMMYFUNCTION("""COMPUTED_VALUE"""),"https://azizstan.net/student_image/24539.jpg")</f>
        <v>https://azizstan.net/student_image/24539.jpg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>
      <c r="A1573" s="3" t="str">
        <f>IFERROR(__xludf.DUMMYFUNCTION("""COMPUTED_VALUE"""),"24549")</f>
        <v>24549</v>
      </c>
      <c r="B1573" s="3" t="str">
        <f>IFERROR(__xludf.DUMMYFUNCTION("""COMPUTED_VALUE"""),"นายกฤษณพงศ์ ไบเตะ")</f>
        <v>นายกฤษณพงศ์ ไบเตะ</v>
      </c>
      <c r="C1573" s="3" t="str">
        <f>IFERROR(__xludf.DUMMYFUNCTION("""COMPUTED_VALUE"""),"ม.4/6")</f>
        <v>ม.4/6</v>
      </c>
      <c r="D1573" s="3" t="str">
        <f>IFERROR(__xludf.DUMMYFUNCTION("""COMPUTED_VALUE"""),"อป.1/6")</f>
        <v>อป.1/6</v>
      </c>
      <c r="E1573" s="2" t="str">
        <f>IFERROR(__xludf.DUMMYFUNCTION("""COMPUTED_VALUE"""),"ชาย")</f>
        <v>ชาย</v>
      </c>
      <c r="F1573" s="5" t="str">
        <f>IFERROR(__xludf.DUMMYFUNCTION("""COMPUTED_VALUE"""),"https://azizstan.net/student_image/24549.jpg")</f>
        <v>https://azizstan.net/student_image/24549.jpg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>
      <c r="A1574" s="3" t="str">
        <f>IFERROR(__xludf.DUMMYFUNCTION("""COMPUTED_VALUE"""),"25222")</f>
        <v>25222</v>
      </c>
      <c r="B1574" s="3" t="str">
        <f>IFERROR(__xludf.DUMMYFUNCTION("""COMPUTED_VALUE"""),"นายนัศรุลลอฮ หมะอุเส็น")</f>
        <v>นายนัศรุลลอฮ หมะอุเส็น</v>
      </c>
      <c r="C1574" s="3" t="str">
        <f>IFERROR(__xludf.DUMMYFUNCTION("""COMPUTED_VALUE"""),"ม.4/6")</f>
        <v>ม.4/6</v>
      </c>
      <c r="D1574" s="3" t="str">
        <f>IFERROR(__xludf.DUMMYFUNCTION("""COMPUTED_VALUE"""),"อป.1/6")</f>
        <v>อป.1/6</v>
      </c>
      <c r="E1574" s="2" t="str">
        <f>IFERROR(__xludf.DUMMYFUNCTION("""COMPUTED_VALUE"""),"ชาย")</f>
        <v>ชาย</v>
      </c>
      <c r="F1574" s="5" t="str">
        <f>IFERROR(__xludf.DUMMYFUNCTION("""COMPUTED_VALUE"""),"https://azizstan.net/student_image/25222.jpg")</f>
        <v>https://azizstan.net/student_image/25222.jpg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>
      <c r="A1575" s="3" t="str">
        <f>IFERROR(__xludf.DUMMYFUNCTION("""COMPUTED_VALUE"""),"26062")</f>
        <v>26062</v>
      </c>
      <c r="B1575" s="3" t="str">
        <f>IFERROR(__xludf.DUMMYFUNCTION("""COMPUTED_VALUE"""),"น.ส.นาดีรา สะดียามู")</f>
        <v>น.ส.นาดีรา สะดียามู</v>
      </c>
      <c r="C1575" s="3" t="str">
        <f>IFERROR(__xludf.DUMMYFUNCTION("""COMPUTED_VALUE"""),"ม.4/6")</f>
        <v>ม.4/6</v>
      </c>
      <c r="D1575" s="3" t="str">
        <f>IFERROR(__xludf.DUMMYFUNCTION("""COMPUTED_VALUE"""),"อป.1/6")</f>
        <v>อป.1/6</v>
      </c>
      <c r="E1575" s="2" t="str">
        <f>IFERROR(__xludf.DUMMYFUNCTION("""COMPUTED_VALUE"""),"หญิง")</f>
        <v>หญิง</v>
      </c>
      <c r="F1575" s="5" t="str">
        <f>IFERROR(__xludf.DUMMYFUNCTION("""COMPUTED_VALUE"""),"https://azizstan.net/student_image/26062.jpg")</f>
        <v>https://azizstan.net/student_image/26062.jpg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>
      <c r="A1576" s="3" t="str">
        <f>IFERROR(__xludf.DUMMYFUNCTION("""COMPUTED_VALUE"""),"26171")</f>
        <v>26171</v>
      </c>
      <c r="B1576" s="3" t="str">
        <f>IFERROR(__xludf.DUMMYFUNCTION("""COMPUTED_VALUE"""),"น.ส.นาดียา ยาบาหลง")</f>
        <v>น.ส.นาดียา ยาบาหลง</v>
      </c>
      <c r="C1576" s="3" t="str">
        <f>IFERROR(__xludf.DUMMYFUNCTION("""COMPUTED_VALUE"""),"ม.4/6")</f>
        <v>ม.4/6</v>
      </c>
      <c r="D1576" s="3" t="str">
        <f>IFERROR(__xludf.DUMMYFUNCTION("""COMPUTED_VALUE"""),"อป.1/6")</f>
        <v>อป.1/6</v>
      </c>
      <c r="E1576" s="2" t="str">
        <f>IFERROR(__xludf.DUMMYFUNCTION("""COMPUTED_VALUE"""),"หญิง")</f>
        <v>หญิง</v>
      </c>
      <c r="F1576" s="5" t="str">
        <f>IFERROR(__xludf.DUMMYFUNCTION("""COMPUTED_VALUE"""),"https://azizstan.net/student_image/26171.jpg")</f>
        <v>https://azizstan.net/student_image/26171.jpg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>
      <c r="A1577" s="3" t="str">
        <f>IFERROR(__xludf.DUMMYFUNCTION("""COMPUTED_VALUE"""),"26219")</f>
        <v>26219</v>
      </c>
      <c r="B1577" s="3" t="str">
        <f>IFERROR(__xludf.DUMMYFUNCTION("""COMPUTED_VALUE"""),"น.ส.ฮาซาณีย์ เซ็ง")</f>
        <v>น.ส.ฮาซาณีย์ เซ็ง</v>
      </c>
      <c r="C1577" s="3" t="str">
        <f>IFERROR(__xludf.DUMMYFUNCTION("""COMPUTED_VALUE"""),"ม.4/6")</f>
        <v>ม.4/6</v>
      </c>
      <c r="D1577" s="3" t="str">
        <f>IFERROR(__xludf.DUMMYFUNCTION("""COMPUTED_VALUE"""),"อป.1/6")</f>
        <v>อป.1/6</v>
      </c>
      <c r="E1577" s="2" t="str">
        <f>IFERROR(__xludf.DUMMYFUNCTION("""COMPUTED_VALUE"""),"หญิง")</f>
        <v>หญิง</v>
      </c>
      <c r="F1577" s="5" t="str">
        <f>IFERROR(__xludf.DUMMYFUNCTION("""COMPUTED_VALUE"""),"https://azizstan.net/student_image/26219.jpg")</f>
        <v>https://azizstan.net/student_image/26219.jpg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>
      <c r="A1578" s="3" t="str">
        <f>IFERROR(__xludf.DUMMYFUNCTION("""COMPUTED_VALUE"""),"26456")</f>
        <v>26456</v>
      </c>
      <c r="B1578" s="3" t="str">
        <f>IFERROR(__xludf.DUMMYFUNCTION("""COMPUTED_VALUE"""),"นายอิลฮาม มาลาศรี")</f>
        <v>นายอิลฮาม มาลาศรี</v>
      </c>
      <c r="C1578" s="3" t="str">
        <f>IFERROR(__xludf.DUMMYFUNCTION("""COMPUTED_VALUE"""),"ม.4/6")</f>
        <v>ม.4/6</v>
      </c>
      <c r="D1578" s="3" t="str">
        <f>IFERROR(__xludf.DUMMYFUNCTION("""COMPUTED_VALUE"""),"อป.1/6")</f>
        <v>อป.1/6</v>
      </c>
      <c r="E1578" s="2" t="str">
        <f>IFERROR(__xludf.DUMMYFUNCTION("""COMPUTED_VALUE"""),"ชาย")</f>
        <v>ชาย</v>
      </c>
      <c r="F1578" s="5" t="str">
        <f>IFERROR(__xludf.DUMMYFUNCTION("""COMPUTED_VALUE"""),"https://azizstan.net/student_image/26456.jpg")</f>
        <v>https://azizstan.net/student_image/26456.jpg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>
      <c r="A1579" s="3" t="str">
        <f>IFERROR(__xludf.DUMMYFUNCTION("""COMPUTED_VALUE"""),"26766")</f>
        <v>26766</v>
      </c>
      <c r="B1579" s="3" t="str">
        <f>IFERROR(__xludf.DUMMYFUNCTION("""COMPUTED_VALUE"""),"น.ส.นาวีซา โต๊ะด้วน")</f>
        <v>น.ส.นาวีซา โต๊ะด้วน</v>
      </c>
      <c r="C1579" s="3" t="str">
        <f>IFERROR(__xludf.DUMMYFUNCTION("""COMPUTED_VALUE"""),"ม.4/6")</f>
        <v>ม.4/6</v>
      </c>
      <c r="D1579" s="3" t="str">
        <f>IFERROR(__xludf.DUMMYFUNCTION("""COMPUTED_VALUE"""),"อป.1/6")</f>
        <v>อป.1/6</v>
      </c>
      <c r="E1579" s="2" t="str">
        <f>IFERROR(__xludf.DUMMYFUNCTION("""COMPUTED_VALUE"""),"หญิง")</f>
        <v>หญิง</v>
      </c>
      <c r="F1579" s="5" t="str">
        <f>IFERROR(__xludf.DUMMYFUNCTION("""COMPUTED_VALUE"""),"https://azizstan.net/student_image/26766.jpg")</f>
        <v>https://azizstan.net/student_image/26766.jpg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>
      <c r="A1580" s="3" t="str">
        <f>IFERROR(__xludf.DUMMYFUNCTION("""COMPUTED_VALUE"""),"26817")</f>
        <v>26817</v>
      </c>
      <c r="B1580" s="3" t="str">
        <f>IFERROR(__xludf.DUMMYFUNCTION("""COMPUTED_VALUE"""),"นายนาซิม ถวายเทียน")</f>
        <v>นายนาซิม ถวายเทียน</v>
      </c>
      <c r="C1580" s="3" t="str">
        <f>IFERROR(__xludf.DUMMYFUNCTION("""COMPUTED_VALUE"""),"ม.4/6")</f>
        <v>ม.4/6</v>
      </c>
      <c r="D1580" s="3" t="str">
        <f>IFERROR(__xludf.DUMMYFUNCTION("""COMPUTED_VALUE"""),"อป.1/6")</f>
        <v>อป.1/6</v>
      </c>
      <c r="E1580" s="2" t="str">
        <f>IFERROR(__xludf.DUMMYFUNCTION("""COMPUTED_VALUE"""),"ชาย")</f>
        <v>ชาย</v>
      </c>
      <c r="F1580" s="5" t="str">
        <f>IFERROR(__xludf.DUMMYFUNCTION("""COMPUTED_VALUE"""),"https://azizstan.net/student_image/26817.jpg")</f>
        <v>https://azizstan.net/student_image/26817.jpg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>
      <c r="A1581" s="3" t="str">
        <f>IFERROR(__xludf.DUMMYFUNCTION("""COMPUTED_VALUE"""),"24008")</f>
        <v>24008</v>
      </c>
      <c r="B1581" s="3" t="str">
        <f>IFERROR(__xludf.DUMMYFUNCTION("""COMPUTED_VALUE"""),"น.ส.ตัสนีม มันปุ")</f>
        <v>น.ส.ตัสนีม มันปุ</v>
      </c>
      <c r="C1581" s="3" t="str">
        <f>IFERROR(__xludf.DUMMYFUNCTION("""COMPUTED_VALUE"""),"ม.4/7")</f>
        <v>ม.4/7</v>
      </c>
      <c r="D1581" s="3" t="str">
        <f>IFERROR(__xludf.DUMMYFUNCTION("""COMPUTED_VALUE"""),"อป.1/7")</f>
        <v>อป.1/7</v>
      </c>
      <c r="E1581" s="2" t="str">
        <f>IFERROR(__xludf.DUMMYFUNCTION("""COMPUTED_VALUE"""),"หญิง")</f>
        <v>หญิง</v>
      </c>
      <c r="F1581" s="5" t="str">
        <f>IFERROR(__xludf.DUMMYFUNCTION("""COMPUTED_VALUE"""),"https://azizstan.net/student_image/24008.jpg")</f>
        <v>https://azizstan.net/student_image/24008.jpg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>
      <c r="A1582" s="3" t="str">
        <f>IFERROR(__xludf.DUMMYFUNCTION("""COMPUTED_VALUE"""),"24018")</f>
        <v>24018</v>
      </c>
      <c r="B1582" s="3" t="str">
        <f>IFERROR(__xludf.DUMMYFUNCTION("""COMPUTED_VALUE"""),"นายมูฮัมหมัดลุตฟี วาเย็ง")</f>
        <v>นายมูฮัมหมัดลุตฟี วาเย็ง</v>
      </c>
      <c r="C1582" s="3" t="str">
        <f>IFERROR(__xludf.DUMMYFUNCTION("""COMPUTED_VALUE"""),"ม.4/7")</f>
        <v>ม.4/7</v>
      </c>
      <c r="D1582" s="3" t="str">
        <f>IFERROR(__xludf.DUMMYFUNCTION("""COMPUTED_VALUE"""),"อป.1/7")</f>
        <v>อป.1/7</v>
      </c>
      <c r="E1582" s="2" t="str">
        <f>IFERROR(__xludf.DUMMYFUNCTION("""COMPUTED_VALUE"""),"ชาย")</f>
        <v>ชาย</v>
      </c>
      <c r="F1582" s="5" t="str">
        <f>IFERROR(__xludf.DUMMYFUNCTION("""COMPUTED_VALUE"""),"https://azizstan.net/student_image/24018.jpg")</f>
        <v>https://azizstan.net/student_image/24018.jpg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>
      <c r="A1583" s="3" t="str">
        <f>IFERROR(__xludf.DUMMYFUNCTION("""COMPUTED_VALUE"""),"24039")</f>
        <v>24039</v>
      </c>
      <c r="B1583" s="3" t="str">
        <f>IFERROR(__xludf.DUMMYFUNCTION("""COMPUTED_VALUE"""),"น.ส.นูรุลอัยน์ มิเร็ม")</f>
        <v>น.ส.นูรุลอัยน์ มิเร็ม</v>
      </c>
      <c r="C1583" s="3" t="str">
        <f>IFERROR(__xludf.DUMMYFUNCTION("""COMPUTED_VALUE"""),"ม.4/7")</f>
        <v>ม.4/7</v>
      </c>
      <c r="D1583" s="3" t="str">
        <f>IFERROR(__xludf.DUMMYFUNCTION("""COMPUTED_VALUE"""),"อป.1/7")</f>
        <v>อป.1/7</v>
      </c>
      <c r="E1583" s="2" t="str">
        <f>IFERROR(__xludf.DUMMYFUNCTION("""COMPUTED_VALUE"""),"หญิง")</f>
        <v>หญิง</v>
      </c>
      <c r="F1583" s="5" t="str">
        <f>IFERROR(__xludf.DUMMYFUNCTION("""COMPUTED_VALUE"""),"https://azizstan.net/student_image/24039.jpg")</f>
        <v>https://azizstan.net/student_image/24039.jpg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>
      <c r="A1584" s="3" t="str">
        <f>IFERROR(__xludf.DUMMYFUNCTION("""COMPUTED_VALUE"""),"24060")</f>
        <v>24060</v>
      </c>
      <c r="B1584" s="3" t="str">
        <f>IFERROR(__xludf.DUMMYFUNCTION("""COMPUTED_VALUE"""),"น.ส.นินัจมีย์ แดเบาะ")</f>
        <v>น.ส.นินัจมีย์ แดเบาะ</v>
      </c>
      <c r="C1584" s="3" t="str">
        <f>IFERROR(__xludf.DUMMYFUNCTION("""COMPUTED_VALUE"""),"ม.4/7")</f>
        <v>ม.4/7</v>
      </c>
      <c r="D1584" s="3" t="str">
        <f>IFERROR(__xludf.DUMMYFUNCTION("""COMPUTED_VALUE"""),"อป.1/7")</f>
        <v>อป.1/7</v>
      </c>
      <c r="E1584" s="2" t="str">
        <f>IFERROR(__xludf.DUMMYFUNCTION("""COMPUTED_VALUE"""),"หญิง")</f>
        <v>หญิง</v>
      </c>
      <c r="F1584" s="5" t="str">
        <f>IFERROR(__xludf.DUMMYFUNCTION("""COMPUTED_VALUE"""),"https://azizstan.net/student_image/24060.jpg")</f>
        <v>https://azizstan.net/student_image/24060.jpg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>
      <c r="A1585" s="3" t="str">
        <f>IFERROR(__xludf.DUMMYFUNCTION("""COMPUTED_VALUE"""),"24074")</f>
        <v>24074</v>
      </c>
      <c r="B1585" s="3" t="str">
        <f>IFERROR(__xludf.DUMMYFUNCTION("""COMPUTED_VALUE"""),"น.ส.นูรูฟาเดีย วาเงาะ")</f>
        <v>น.ส.นูรูฟาเดีย วาเงาะ</v>
      </c>
      <c r="C1585" s="3" t="str">
        <f>IFERROR(__xludf.DUMMYFUNCTION("""COMPUTED_VALUE"""),"ม.4/7")</f>
        <v>ม.4/7</v>
      </c>
      <c r="D1585" s="3" t="str">
        <f>IFERROR(__xludf.DUMMYFUNCTION("""COMPUTED_VALUE"""),"อป.1/7")</f>
        <v>อป.1/7</v>
      </c>
      <c r="E1585" s="2" t="str">
        <f>IFERROR(__xludf.DUMMYFUNCTION("""COMPUTED_VALUE"""),"หญิง")</f>
        <v>หญิง</v>
      </c>
      <c r="F1585" s="5" t="str">
        <f>IFERROR(__xludf.DUMMYFUNCTION("""COMPUTED_VALUE"""),"https://azizstan.net/student_image/24074.jpg")</f>
        <v>https://azizstan.net/student_image/24074.jpg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>
      <c r="A1586" s="3" t="str">
        <f>IFERROR(__xludf.DUMMYFUNCTION("""COMPUTED_VALUE"""),"24127")</f>
        <v>24127</v>
      </c>
      <c r="B1586" s="3" t="str">
        <f>IFERROR(__xludf.DUMMYFUNCTION("""COMPUTED_VALUE"""),"นายอิมรอน แส้เด็น")</f>
        <v>นายอิมรอน แส้เด็น</v>
      </c>
      <c r="C1586" s="3" t="str">
        <f>IFERROR(__xludf.DUMMYFUNCTION("""COMPUTED_VALUE"""),"ม.4/7")</f>
        <v>ม.4/7</v>
      </c>
      <c r="D1586" s="3" t="str">
        <f>IFERROR(__xludf.DUMMYFUNCTION("""COMPUTED_VALUE"""),"อป.1/7")</f>
        <v>อป.1/7</v>
      </c>
      <c r="E1586" s="2" t="str">
        <f>IFERROR(__xludf.DUMMYFUNCTION("""COMPUTED_VALUE"""),"ชาย")</f>
        <v>ชาย</v>
      </c>
      <c r="F1586" s="5" t="str">
        <f>IFERROR(__xludf.DUMMYFUNCTION("""COMPUTED_VALUE"""),"https://azizstan.net/student_image/24127.jpg")</f>
        <v>https://azizstan.net/student_image/24127.jpg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>
      <c r="A1587" s="3" t="str">
        <f>IFERROR(__xludf.DUMMYFUNCTION("""COMPUTED_VALUE"""),"24144")</f>
        <v>24144</v>
      </c>
      <c r="B1587" s="3" t="str">
        <f>IFERROR(__xludf.DUMMYFUNCTION("""COMPUTED_VALUE"""),"น.ส.ฮัยซูม ดามัน")</f>
        <v>น.ส.ฮัยซูม ดามัน</v>
      </c>
      <c r="C1587" s="3" t="str">
        <f>IFERROR(__xludf.DUMMYFUNCTION("""COMPUTED_VALUE"""),"ม.4/7")</f>
        <v>ม.4/7</v>
      </c>
      <c r="D1587" s="3" t="str">
        <f>IFERROR(__xludf.DUMMYFUNCTION("""COMPUTED_VALUE"""),"อป.1/7")</f>
        <v>อป.1/7</v>
      </c>
      <c r="E1587" s="2" t="str">
        <f>IFERROR(__xludf.DUMMYFUNCTION("""COMPUTED_VALUE"""),"หญิง")</f>
        <v>หญิง</v>
      </c>
      <c r="F1587" s="5" t="str">
        <f>IFERROR(__xludf.DUMMYFUNCTION("""COMPUTED_VALUE"""),"https://azizstan.net/student_image/24144.jpg")</f>
        <v>https://azizstan.net/student_image/24144.jpg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>
      <c r="A1588" s="3" t="str">
        <f>IFERROR(__xludf.DUMMYFUNCTION("""COMPUTED_VALUE"""),"24156")</f>
        <v>24156</v>
      </c>
      <c r="B1588" s="3" t="str">
        <f>IFERROR(__xludf.DUMMYFUNCTION("""COMPUTED_VALUE"""),"น.ส.ตัสนีม หะยีสะมาแอ")</f>
        <v>น.ส.ตัสนีม หะยีสะมาแอ</v>
      </c>
      <c r="C1588" s="3" t="str">
        <f>IFERROR(__xludf.DUMMYFUNCTION("""COMPUTED_VALUE"""),"ม.4/7")</f>
        <v>ม.4/7</v>
      </c>
      <c r="D1588" s="3" t="str">
        <f>IFERROR(__xludf.DUMMYFUNCTION("""COMPUTED_VALUE"""),"อป.1/7")</f>
        <v>อป.1/7</v>
      </c>
      <c r="E1588" s="2" t="str">
        <f>IFERROR(__xludf.DUMMYFUNCTION("""COMPUTED_VALUE"""),"หญิง")</f>
        <v>หญิง</v>
      </c>
      <c r="F1588" s="5" t="str">
        <f>IFERROR(__xludf.DUMMYFUNCTION("""COMPUTED_VALUE"""),"https://azizstan.net/student_image/24156.jpg")</f>
        <v>https://azizstan.net/student_image/24156.jpg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>
      <c r="A1589" s="3" t="str">
        <f>IFERROR(__xludf.DUMMYFUNCTION("""COMPUTED_VALUE"""),"24159")</f>
        <v>24159</v>
      </c>
      <c r="B1589" s="3" t="str">
        <f>IFERROR(__xludf.DUMMYFUNCTION("""COMPUTED_VALUE"""),"น.ส.นูรฟาติน กาหลง")</f>
        <v>น.ส.นูรฟาติน กาหลง</v>
      </c>
      <c r="C1589" s="3" t="str">
        <f>IFERROR(__xludf.DUMMYFUNCTION("""COMPUTED_VALUE"""),"ม.4/7")</f>
        <v>ม.4/7</v>
      </c>
      <c r="D1589" s="3" t="str">
        <f>IFERROR(__xludf.DUMMYFUNCTION("""COMPUTED_VALUE"""),"อป.1/7")</f>
        <v>อป.1/7</v>
      </c>
      <c r="E1589" s="2" t="str">
        <f>IFERROR(__xludf.DUMMYFUNCTION("""COMPUTED_VALUE"""),"หญิง")</f>
        <v>หญิง</v>
      </c>
      <c r="F1589" s="5" t="str">
        <f>IFERROR(__xludf.DUMMYFUNCTION("""COMPUTED_VALUE"""),"https://azizstan.net/student_image/24159.jpg")</f>
        <v>https://azizstan.net/student_image/24159.jpg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>
      <c r="A1590" s="3" t="str">
        <f>IFERROR(__xludf.DUMMYFUNCTION("""COMPUTED_VALUE"""),"24167")</f>
        <v>24167</v>
      </c>
      <c r="B1590" s="3" t="str">
        <f>IFERROR(__xludf.DUMMYFUNCTION("""COMPUTED_VALUE"""),"น.ส.แวฟาตียะห์ ดือราเซะ")</f>
        <v>น.ส.แวฟาตียะห์ ดือราเซะ</v>
      </c>
      <c r="C1590" s="3" t="str">
        <f>IFERROR(__xludf.DUMMYFUNCTION("""COMPUTED_VALUE"""),"ม.4/7")</f>
        <v>ม.4/7</v>
      </c>
      <c r="D1590" s="3" t="str">
        <f>IFERROR(__xludf.DUMMYFUNCTION("""COMPUTED_VALUE"""),"อป.1/7")</f>
        <v>อป.1/7</v>
      </c>
      <c r="E1590" s="2" t="str">
        <f>IFERROR(__xludf.DUMMYFUNCTION("""COMPUTED_VALUE"""),"หญิง")</f>
        <v>หญิง</v>
      </c>
      <c r="F1590" s="5" t="str">
        <f>IFERROR(__xludf.DUMMYFUNCTION("""COMPUTED_VALUE"""),"https://azizstan.net/student_image/24167.jpg")</f>
        <v>https://azizstan.net/student_image/24167.jpg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>
      <c r="A1591" s="3" t="str">
        <f>IFERROR(__xludf.DUMMYFUNCTION("""COMPUTED_VALUE"""),"24176")</f>
        <v>24176</v>
      </c>
      <c r="B1591" s="3" t="str">
        <f>IFERROR(__xludf.DUMMYFUNCTION("""COMPUTED_VALUE"""),"น.ส.นาดียา แซแม็ง")</f>
        <v>น.ส.นาดียา แซแม็ง</v>
      </c>
      <c r="C1591" s="3" t="str">
        <f>IFERROR(__xludf.DUMMYFUNCTION("""COMPUTED_VALUE"""),"ม.4/7")</f>
        <v>ม.4/7</v>
      </c>
      <c r="D1591" s="3" t="str">
        <f>IFERROR(__xludf.DUMMYFUNCTION("""COMPUTED_VALUE"""),"อป.1/7")</f>
        <v>อป.1/7</v>
      </c>
      <c r="E1591" s="2" t="str">
        <f>IFERROR(__xludf.DUMMYFUNCTION("""COMPUTED_VALUE"""),"หญิง")</f>
        <v>หญิง</v>
      </c>
      <c r="F1591" s="5" t="str">
        <f>IFERROR(__xludf.DUMMYFUNCTION("""COMPUTED_VALUE"""),"https://azizstan.net/student_image/24176.jpg")</f>
        <v>https://azizstan.net/student_image/24176.jpg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>
      <c r="A1592" s="3" t="str">
        <f>IFERROR(__xludf.DUMMYFUNCTION("""COMPUTED_VALUE"""),"24181")</f>
        <v>24181</v>
      </c>
      <c r="B1592" s="3" t="str">
        <f>IFERROR(__xludf.DUMMYFUNCTION("""COMPUTED_VALUE"""),"น.ส.บัลกิส เจะเย็ง")</f>
        <v>น.ส.บัลกิส เจะเย็ง</v>
      </c>
      <c r="C1592" s="3" t="str">
        <f>IFERROR(__xludf.DUMMYFUNCTION("""COMPUTED_VALUE"""),"ม.4/7")</f>
        <v>ม.4/7</v>
      </c>
      <c r="D1592" s="3" t="str">
        <f>IFERROR(__xludf.DUMMYFUNCTION("""COMPUTED_VALUE"""),"อป.1/7")</f>
        <v>อป.1/7</v>
      </c>
      <c r="E1592" s="2" t="str">
        <f>IFERROR(__xludf.DUMMYFUNCTION("""COMPUTED_VALUE"""),"หญิง")</f>
        <v>หญิง</v>
      </c>
      <c r="F1592" s="5" t="str">
        <f>IFERROR(__xludf.DUMMYFUNCTION("""COMPUTED_VALUE"""),"https://azizstan.net/student_image/24181.jpg")</f>
        <v>https://azizstan.net/student_image/24181.jpg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>
      <c r="A1593" s="3" t="str">
        <f>IFERROR(__xludf.DUMMYFUNCTION("""COMPUTED_VALUE"""),"24196")</f>
        <v>24196</v>
      </c>
      <c r="B1593" s="3" t="str">
        <f>IFERROR(__xludf.DUMMYFUNCTION("""COMPUTED_VALUE"""),"น.ส.นูรฟาคีร่า แนปิแน")</f>
        <v>น.ส.นูรฟาคีร่า แนปิแน</v>
      </c>
      <c r="C1593" s="3" t="str">
        <f>IFERROR(__xludf.DUMMYFUNCTION("""COMPUTED_VALUE"""),"ม.4/7")</f>
        <v>ม.4/7</v>
      </c>
      <c r="D1593" s="3" t="str">
        <f>IFERROR(__xludf.DUMMYFUNCTION("""COMPUTED_VALUE"""),"อป.1/7")</f>
        <v>อป.1/7</v>
      </c>
      <c r="E1593" s="2" t="str">
        <f>IFERROR(__xludf.DUMMYFUNCTION("""COMPUTED_VALUE"""),"หญิง")</f>
        <v>หญิง</v>
      </c>
      <c r="F1593" s="5" t="str">
        <f>IFERROR(__xludf.DUMMYFUNCTION("""COMPUTED_VALUE"""),"https://azizstan.net/student_image/24196.jpg")</f>
        <v>https://azizstan.net/student_image/24196.jpg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>
      <c r="A1594" s="3" t="str">
        <f>IFERROR(__xludf.DUMMYFUNCTION("""COMPUTED_VALUE"""),"24235")</f>
        <v>24235</v>
      </c>
      <c r="B1594" s="3" t="str">
        <f>IFERROR(__xludf.DUMMYFUNCTION("""COMPUTED_VALUE"""),"น.ส.ฟิรดาว มะแซ")</f>
        <v>น.ส.ฟิรดาว มะแซ</v>
      </c>
      <c r="C1594" s="3" t="str">
        <f>IFERROR(__xludf.DUMMYFUNCTION("""COMPUTED_VALUE"""),"ม.4/7")</f>
        <v>ม.4/7</v>
      </c>
      <c r="D1594" s="3" t="str">
        <f>IFERROR(__xludf.DUMMYFUNCTION("""COMPUTED_VALUE"""),"อป.1/7")</f>
        <v>อป.1/7</v>
      </c>
      <c r="E1594" s="2" t="str">
        <f>IFERROR(__xludf.DUMMYFUNCTION("""COMPUTED_VALUE"""),"หญิง")</f>
        <v>หญิง</v>
      </c>
      <c r="F1594" s="5" t="str">
        <f>IFERROR(__xludf.DUMMYFUNCTION("""COMPUTED_VALUE"""),"https://azizstan.net/student_image/24235.jpg")</f>
        <v>https://azizstan.net/student_image/24235.jpg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>
      <c r="A1595" s="3" t="str">
        <f>IFERROR(__xludf.DUMMYFUNCTION("""COMPUTED_VALUE"""),"24249")</f>
        <v>24249</v>
      </c>
      <c r="B1595" s="3" t="str">
        <f>IFERROR(__xludf.DUMMYFUNCTION("""COMPUTED_VALUE"""),"น.ส.ฟาติน สะแม")</f>
        <v>น.ส.ฟาติน สะแม</v>
      </c>
      <c r="C1595" s="3" t="str">
        <f>IFERROR(__xludf.DUMMYFUNCTION("""COMPUTED_VALUE"""),"ม.4/7")</f>
        <v>ม.4/7</v>
      </c>
      <c r="D1595" s="3" t="str">
        <f>IFERROR(__xludf.DUMMYFUNCTION("""COMPUTED_VALUE"""),"อป.1/7")</f>
        <v>อป.1/7</v>
      </c>
      <c r="E1595" s="2" t="str">
        <f>IFERROR(__xludf.DUMMYFUNCTION("""COMPUTED_VALUE"""),"หญิง")</f>
        <v>หญิง</v>
      </c>
      <c r="F1595" s="5" t="str">
        <f>IFERROR(__xludf.DUMMYFUNCTION("""COMPUTED_VALUE"""),"https://azizstan.net/student_image/24249.jpg")</f>
        <v>https://azizstan.net/student_image/24249.jpg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>
      <c r="A1596" s="3" t="str">
        <f>IFERROR(__xludf.DUMMYFUNCTION("""COMPUTED_VALUE"""),"24250")</f>
        <v>24250</v>
      </c>
      <c r="B1596" s="3" t="str">
        <f>IFERROR(__xludf.DUMMYFUNCTION("""COMPUTED_VALUE"""),"น.ส.นาวัล มีนา")</f>
        <v>น.ส.นาวัล มีนา</v>
      </c>
      <c r="C1596" s="3" t="str">
        <f>IFERROR(__xludf.DUMMYFUNCTION("""COMPUTED_VALUE"""),"ม.4/7")</f>
        <v>ม.4/7</v>
      </c>
      <c r="D1596" s="3" t="str">
        <f>IFERROR(__xludf.DUMMYFUNCTION("""COMPUTED_VALUE"""),"อป.1/7")</f>
        <v>อป.1/7</v>
      </c>
      <c r="E1596" s="2" t="str">
        <f>IFERROR(__xludf.DUMMYFUNCTION("""COMPUTED_VALUE"""),"หญิง")</f>
        <v>หญิง</v>
      </c>
      <c r="F1596" s="5" t="str">
        <f>IFERROR(__xludf.DUMMYFUNCTION("""COMPUTED_VALUE"""),"https://azizstan.net/student_image/24250.jpg")</f>
        <v>https://azizstan.net/student_image/24250.jpg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>
      <c r="A1597" s="3" t="str">
        <f>IFERROR(__xludf.DUMMYFUNCTION("""COMPUTED_VALUE"""),"24261")</f>
        <v>24261</v>
      </c>
      <c r="B1597" s="3" t="str">
        <f>IFERROR(__xludf.DUMMYFUNCTION("""COMPUTED_VALUE"""),"น.ส.รัตติกานต์ จินะ")</f>
        <v>น.ส.รัตติกานต์ จินะ</v>
      </c>
      <c r="C1597" s="3" t="str">
        <f>IFERROR(__xludf.DUMMYFUNCTION("""COMPUTED_VALUE"""),"ม.4/7")</f>
        <v>ม.4/7</v>
      </c>
      <c r="D1597" s="3" t="str">
        <f>IFERROR(__xludf.DUMMYFUNCTION("""COMPUTED_VALUE"""),"อป.1/7")</f>
        <v>อป.1/7</v>
      </c>
      <c r="E1597" s="2" t="str">
        <f>IFERROR(__xludf.DUMMYFUNCTION("""COMPUTED_VALUE"""),"หญิง")</f>
        <v>หญิง</v>
      </c>
      <c r="F1597" s="5" t="str">
        <f>IFERROR(__xludf.DUMMYFUNCTION("""COMPUTED_VALUE"""),"https://azizstan.net/student_image/24261.jpg")</f>
        <v>https://azizstan.net/student_image/24261.jpg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>
      <c r="A1598" s="3" t="str">
        <f>IFERROR(__xludf.DUMMYFUNCTION("""COMPUTED_VALUE"""),"24353")</f>
        <v>24353</v>
      </c>
      <c r="B1598" s="3" t="str">
        <f>IFERROR(__xludf.DUMMYFUNCTION("""COMPUTED_VALUE"""),"น.ส.ฟาราฮา เดชอรัญ")</f>
        <v>น.ส.ฟาราฮา เดชอรัญ</v>
      </c>
      <c r="C1598" s="3" t="str">
        <f>IFERROR(__xludf.DUMMYFUNCTION("""COMPUTED_VALUE"""),"ม.4/7")</f>
        <v>ม.4/7</v>
      </c>
      <c r="D1598" s="3" t="str">
        <f>IFERROR(__xludf.DUMMYFUNCTION("""COMPUTED_VALUE"""),"อป.1/7")</f>
        <v>อป.1/7</v>
      </c>
      <c r="E1598" s="2" t="str">
        <f>IFERROR(__xludf.DUMMYFUNCTION("""COMPUTED_VALUE"""),"หญิง")</f>
        <v>หญิง</v>
      </c>
      <c r="F1598" s="5" t="str">
        <f>IFERROR(__xludf.DUMMYFUNCTION("""COMPUTED_VALUE"""),"https://azizstan.net/student_image/24353.jpg")</f>
        <v>https://azizstan.net/student_image/24353.jpg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>
      <c r="A1599" s="3" t="str">
        <f>IFERROR(__xludf.DUMMYFUNCTION("""COMPUTED_VALUE"""),"24425")</f>
        <v>24425</v>
      </c>
      <c r="B1599" s="3" t="str">
        <f>IFERROR(__xludf.DUMMYFUNCTION("""COMPUTED_VALUE"""),"น.ส.ไลลา ดาแซ")</f>
        <v>น.ส.ไลลา ดาแซ</v>
      </c>
      <c r="C1599" s="3" t="str">
        <f>IFERROR(__xludf.DUMMYFUNCTION("""COMPUTED_VALUE"""),"ม.4/7")</f>
        <v>ม.4/7</v>
      </c>
      <c r="D1599" s="3" t="str">
        <f>IFERROR(__xludf.DUMMYFUNCTION("""COMPUTED_VALUE"""),"อป.1/7")</f>
        <v>อป.1/7</v>
      </c>
      <c r="E1599" s="2" t="str">
        <f>IFERROR(__xludf.DUMMYFUNCTION("""COMPUTED_VALUE"""),"หญิง")</f>
        <v>หญิง</v>
      </c>
      <c r="F1599" s="5" t="str">
        <f>IFERROR(__xludf.DUMMYFUNCTION("""COMPUTED_VALUE"""),"https://azizstan.net/student_image/24425.jpg")</f>
        <v>https://azizstan.net/student_image/24425.jpg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>
      <c r="A1600" s="3" t="str">
        <f>IFERROR(__xludf.DUMMYFUNCTION("""COMPUTED_VALUE"""),"24443")</f>
        <v>24443</v>
      </c>
      <c r="B1600" s="3" t="str">
        <f>IFERROR(__xludf.DUMMYFUNCTION("""COMPUTED_VALUE"""),"น.ส.สีตีมาเรียม มะเซง")</f>
        <v>น.ส.สีตีมาเรียม มะเซง</v>
      </c>
      <c r="C1600" s="3" t="str">
        <f>IFERROR(__xludf.DUMMYFUNCTION("""COMPUTED_VALUE"""),"ม.4/7")</f>
        <v>ม.4/7</v>
      </c>
      <c r="D1600" s="3" t="str">
        <f>IFERROR(__xludf.DUMMYFUNCTION("""COMPUTED_VALUE"""),"อป.1/7")</f>
        <v>อป.1/7</v>
      </c>
      <c r="E1600" s="2" t="str">
        <f>IFERROR(__xludf.DUMMYFUNCTION("""COMPUTED_VALUE"""),"หญิง")</f>
        <v>หญิง</v>
      </c>
      <c r="F1600" s="5" t="str">
        <f>IFERROR(__xludf.DUMMYFUNCTION("""COMPUTED_VALUE"""),"https://azizstan.net/student_image/24443.jpg")</f>
        <v>https://azizstan.net/student_image/24443.jpg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>
      <c r="A1601" s="3" t="str">
        <f>IFERROR(__xludf.DUMMYFUNCTION("""COMPUTED_VALUE"""),"24453")</f>
        <v>24453</v>
      </c>
      <c r="B1601" s="3" t="str">
        <f>IFERROR(__xludf.DUMMYFUNCTION("""COMPUTED_VALUE"""),"น.ส.สีตีอาอีเส๊าะ สุหลง")</f>
        <v>น.ส.สีตีอาอีเส๊าะ สุหลง</v>
      </c>
      <c r="C1601" s="3" t="str">
        <f>IFERROR(__xludf.DUMMYFUNCTION("""COMPUTED_VALUE"""),"ม.4/7")</f>
        <v>ม.4/7</v>
      </c>
      <c r="D1601" s="3" t="str">
        <f>IFERROR(__xludf.DUMMYFUNCTION("""COMPUTED_VALUE"""),"อป.1/7")</f>
        <v>อป.1/7</v>
      </c>
      <c r="E1601" s="2" t="str">
        <f>IFERROR(__xludf.DUMMYFUNCTION("""COMPUTED_VALUE"""),"หญิง")</f>
        <v>หญิง</v>
      </c>
      <c r="F1601" s="5" t="str">
        <f>IFERROR(__xludf.DUMMYFUNCTION("""COMPUTED_VALUE"""),"https://azizstan.net/student_image/24453.jpg")</f>
        <v>https://azizstan.net/student_image/24453.jpg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>
      <c r="A1602" s="3" t="str">
        <f>IFERROR(__xludf.DUMMYFUNCTION("""COMPUTED_VALUE"""),"24577")</f>
        <v>24577</v>
      </c>
      <c r="B1602" s="3" t="str">
        <f>IFERROR(__xludf.DUMMYFUNCTION("""COMPUTED_VALUE"""),"นายอัชรอฟ ยุโสะ")</f>
        <v>นายอัชรอฟ ยุโสะ</v>
      </c>
      <c r="C1602" s="3" t="str">
        <f>IFERROR(__xludf.DUMMYFUNCTION("""COMPUTED_VALUE"""),"ม.4/7")</f>
        <v>ม.4/7</v>
      </c>
      <c r="D1602" s="3" t="str">
        <f>IFERROR(__xludf.DUMMYFUNCTION("""COMPUTED_VALUE"""),"อป.1/7")</f>
        <v>อป.1/7</v>
      </c>
      <c r="E1602" s="2" t="str">
        <f>IFERROR(__xludf.DUMMYFUNCTION("""COMPUTED_VALUE"""),"ชาย")</f>
        <v>ชาย</v>
      </c>
      <c r="F1602" s="5" t="str">
        <f>IFERROR(__xludf.DUMMYFUNCTION("""COMPUTED_VALUE"""),"https://azizstan.net/student_image/24577.jpg")</f>
        <v>https://azizstan.net/student_image/24577.jpg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>
      <c r="A1603" s="3" t="str">
        <f>IFERROR(__xludf.DUMMYFUNCTION("""COMPUTED_VALUE"""),"26095")</f>
        <v>26095</v>
      </c>
      <c r="B1603" s="3" t="str">
        <f>IFERROR(__xludf.DUMMYFUNCTION("""COMPUTED_VALUE"""),"น.ส.นิฮัซวานี บาเหม")</f>
        <v>น.ส.นิฮัซวานี บาเหม</v>
      </c>
      <c r="C1603" s="3" t="str">
        <f>IFERROR(__xludf.DUMMYFUNCTION("""COMPUTED_VALUE"""),"ม.4/7")</f>
        <v>ม.4/7</v>
      </c>
      <c r="D1603" s="3" t="str">
        <f>IFERROR(__xludf.DUMMYFUNCTION("""COMPUTED_VALUE"""),"อป.1/7")</f>
        <v>อป.1/7</v>
      </c>
      <c r="E1603" s="2" t="str">
        <f>IFERROR(__xludf.DUMMYFUNCTION("""COMPUTED_VALUE"""),"หญิง")</f>
        <v>หญิง</v>
      </c>
      <c r="F1603" s="5" t="str">
        <f>IFERROR(__xludf.DUMMYFUNCTION("""COMPUTED_VALUE"""),"https://azizstan.net/student_image/26095.jpg")</f>
        <v>https://azizstan.net/student_image/26095.jpg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>
      <c r="A1604" s="3" t="str">
        <f>IFERROR(__xludf.DUMMYFUNCTION("""COMPUTED_VALUE"""),"26145")</f>
        <v>26145</v>
      </c>
      <c r="B1604" s="3" t="str">
        <f>IFERROR(__xludf.DUMMYFUNCTION("""COMPUTED_VALUE"""),"น.ส.วาฮีดา หมีโดด")</f>
        <v>น.ส.วาฮีดา หมีโดด</v>
      </c>
      <c r="C1604" s="3" t="str">
        <f>IFERROR(__xludf.DUMMYFUNCTION("""COMPUTED_VALUE"""),"ม.4/7")</f>
        <v>ม.4/7</v>
      </c>
      <c r="D1604" s="3" t="str">
        <f>IFERROR(__xludf.DUMMYFUNCTION("""COMPUTED_VALUE"""),"อป.1/7")</f>
        <v>อป.1/7</v>
      </c>
      <c r="E1604" s="2" t="str">
        <f>IFERROR(__xludf.DUMMYFUNCTION("""COMPUTED_VALUE"""),"หญิง")</f>
        <v>หญิง</v>
      </c>
      <c r="F1604" s="5" t="str">
        <f>IFERROR(__xludf.DUMMYFUNCTION("""COMPUTED_VALUE"""),"https://azizstan.net/student_image/26145.jpg")</f>
        <v>https://azizstan.net/student_image/26145.jpg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>
      <c r="A1605" s="3" t="str">
        <f>IFERROR(__xludf.DUMMYFUNCTION("""COMPUTED_VALUE"""),"26212")</f>
        <v>26212</v>
      </c>
      <c r="B1605" s="3" t="str">
        <f>IFERROR(__xludf.DUMMYFUNCTION("""COMPUTED_VALUE"""),"น.ส.ชนันธิดา เขียวสด")</f>
        <v>น.ส.ชนันธิดา เขียวสด</v>
      </c>
      <c r="C1605" s="3" t="str">
        <f>IFERROR(__xludf.DUMMYFUNCTION("""COMPUTED_VALUE"""),"ม.4/7")</f>
        <v>ม.4/7</v>
      </c>
      <c r="D1605" s="3" t="str">
        <f>IFERROR(__xludf.DUMMYFUNCTION("""COMPUTED_VALUE"""),"อป.1/7")</f>
        <v>อป.1/7</v>
      </c>
      <c r="E1605" s="2" t="str">
        <f>IFERROR(__xludf.DUMMYFUNCTION("""COMPUTED_VALUE"""),"หญิง")</f>
        <v>หญิง</v>
      </c>
      <c r="F1605" s="5" t="str">
        <f>IFERROR(__xludf.DUMMYFUNCTION("""COMPUTED_VALUE"""),"https://azizstan.net/student_image/26212.jpg")</f>
        <v>https://azizstan.net/student_image/26212.jpg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>
      <c r="A1606" s="3" t="str">
        <f>IFERROR(__xludf.DUMMYFUNCTION("""COMPUTED_VALUE"""),"26236")</f>
        <v>26236</v>
      </c>
      <c r="B1606" s="3" t="str">
        <f>IFERROR(__xludf.DUMMYFUNCTION("""COMPUTED_VALUE"""),"นายมูฮำหมัดดานิช หะมะ")</f>
        <v>นายมูฮำหมัดดานิช หะมะ</v>
      </c>
      <c r="C1606" s="3" t="str">
        <f>IFERROR(__xludf.DUMMYFUNCTION("""COMPUTED_VALUE"""),"ม.4/7")</f>
        <v>ม.4/7</v>
      </c>
      <c r="D1606" s="3" t="str">
        <f>IFERROR(__xludf.DUMMYFUNCTION("""COMPUTED_VALUE"""),"อป.1/7")</f>
        <v>อป.1/7</v>
      </c>
      <c r="E1606" s="2" t="str">
        <f>IFERROR(__xludf.DUMMYFUNCTION("""COMPUTED_VALUE"""),"ชาย")</f>
        <v>ชาย</v>
      </c>
      <c r="F1606" s="5" t="str">
        <f>IFERROR(__xludf.DUMMYFUNCTION("""COMPUTED_VALUE"""),"https://azizstan.net/student_image/26236.jpg")</f>
        <v>https://azizstan.net/student_image/26236.jpg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>
      <c r="A1607" s="3" t="str">
        <f>IFERROR(__xludf.DUMMYFUNCTION("""COMPUTED_VALUE"""),"26261")</f>
        <v>26261</v>
      </c>
      <c r="B1607" s="3" t="str">
        <f>IFERROR(__xludf.DUMMYFUNCTION("""COMPUTED_VALUE"""),"นายซุบฮาน เจ๊ะเด็ง")</f>
        <v>นายซุบฮาน เจ๊ะเด็ง</v>
      </c>
      <c r="C1607" s="3" t="str">
        <f>IFERROR(__xludf.DUMMYFUNCTION("""COMPUTED_VALUE"""),"ม.4/7")</f>
        <v>ม.4/7</v>
      </c>
      <c r="D1607" s="3" t="str">
        <f>IFERROR(__xludf.DUMMYFUNCTION("""COMPUTED_VALUE"""),"อป.1/7")</f>
        <v>อป.1/7</v>
      </c>
      <c r="E1607" s="2" t="str">
        <f>IFERROR(__xludf.DUMMYFUNCTION("""COMPUTED_VALUE"""),"ชาย")</f>
        <v>ชาย</v>
      </c>
      <c r="F1607" s="5" t="str">
        <f>IFERROR(__xludf.DUMMYFUNCTION("""COMPUTED_VALUE"""),"https://azizstan.net/student_image/26261.jpg")</f>
        <v>https://azizstan.net/student_image/26261.jpg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>
      <c r="A1608" s="3" t="str">
        <f>IFERROR(__xludf.DUMMYFUNCTION("""COMPUTED_VALUE"""),"26342")</f>
        <v>26342</v>
      </c>
      <c r="B1608" s="3" t="str">
        <f>IFERROR(__xludf.DUMMYFUNCTION("""COMPUTED_VALUE"""),"น.ส.ซอลีฮะห์ สาเมาะ")</f>
        <v>น.ส.ซอลีฮะห์ สาเมาะ</v>
      </c>
      <c r="C1608" s="3" t="str">
        <f>IFERROR(__xludf.DUMMYFUNCTION("""COMPUTED_VALUE"""),"ม.4/7")</f>
        <v>ม.4/7</v>
      </c>
      <c r="D1608" s="3" t="str">
        <f>IFERROR(__xludf.DUMMYFUNCTION("""COMPUTED_VALUE"""),"อป.1/7")</f>
        <v>อป.1/7</v>
      </c>
      <c r="E1608" s="2" t="str">
        <f>IFERROR(__xludf.DUMMYFUNCTION("""COMPUTED_VALUE"""),"หญิง")</f>
        <v>หญิง</v>
      </c>
      <c r="F1608" s="5" t="str">
        <f>IFERROR(__xludf.DUMMYFUNCTION("""COMPUTED_VALUE"""),"https://azizstan.net/student_image/26342.jpg")</f>
        <v>https://azizstan.net/student_image/26342.jpg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>
      <c r="A1609" s="3" t="str">
        <f>IFERROR(__xludf.DUMMYFUNCTION("""COMPUTED_VALUE"""),"26344")</f>
        <v>26344</v>
      </c>
      <c r="B1609" s="3" t="str">
        <f>IFERROR(__xludf.DUMMYFUNCTION("""COMPUTED_VALUE"""),"น.ส.สาธิตา ดอแนเล๊าะ")</f>
        <v>น.ส.สาธิตา ดอแนเล๊าะ</v>
      </c>
      <c r="C1609" s="3" t="str">
        <f>IFERROR(__xludf.DUMMYFUNCTION("""COMPUTED_VALUE"""),"ม.4/7")</f>
        <v>ม.4/7</v>
      </c>
      <c r="D1609" s="3" t="str">
        <f>IFERROR(__xludf.DUMMYFUNCTION("""COMPUTED_VALUE"""),"อป.1/7")</f>
        <v>อป.1/7</v>
      </c>
      <c r="E1609" s="2" t="str">
        <f>IFERROR(__xludf.DUMMYFUNCTION("""COMPUTED_VALUE"""),"หญิง")</f>
        <v>หญิง</v>
      </c>
      <c r="F1609" s="5" t="str">
        <f>IFERROR(__xludf.DUMMYFUNCTION("""COMPUTED_VALUE"""),"https://azizstan.net/student_image/26344.jpg")</f>
        <v>https://azizstan.net/student_image/26344.jpg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>
      <c r="A1610" s="3" t="str">
        <f>IFERROR(__xludf.DUMMYFUNCTION("""COMPUTED_VALUE"""),"26522")</f>
        <v>26522</v>
      </c>
      <c r="B1610" s="3" t="str">
        <f>IFERROR(__xludf.DUMMYFUNCTION("""COMPUTED_VALUE"""),"น.ส.นัตตรีเซีย สองเมือง")</f>
        <v>น.ส.นัตตรีเซีย สองเมือง</v>
      </c>
      <c r="C1610" s="3" t="str">
        <f>IFERROR(__xludf.DUMMYFUNCTION("""COMPUTED_VALUE"""),"ม.4/7")</f>
        <v>ม.4/7</v>
      </c>
      <c r="D1610" s="3" t="str">
        <f>IFERROR(__xludf.DUMMYFUNCTION("""COMPUTED_VALUE"""),"อป.1/7")</f>
        <v>อป.1/7</v>
      </c>
      <c r="E1610" s="2" t="str">
        <f>IFERROR(__xludf.DUMMYFUNCTION("""COMPUTED_VALUE"""),"หญิง")</f>
        <v>หญิง</v>
      </c>
      <c r="F1610" s="5" t="str">
        <f>IFERROR(__xludf.DUMMYFUNCTION("""COMPUTED_VALUE"""),"https://azizstan.net/student_image/26522.jpg")</f>
        <v>https://azizstan.net/student_image/26522.jpg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>
      <c r="A1611" s="3" t="str">
        <f>IFERROR(__xludf.DUMMYFUNCTION("""COMPUTED_VALUE"""),"26695")</f>
        <v>26695</v>
      </c>
      <c r="B1611" s="3" t="str">
        <f>IFERROR(__xludf.DUMMYFUNCTION("""COMPUTED_VALUE"""),"น.ส.ลาตีฟะฮ์ โตะลู")</f>
        <v>น.ส.ลาตีฟะฮ์ โตะลู</v>
      </c>
      <c r="C1611" s="3" t="str">
        <f>IFERROR(__xludf.DUMMYFUNCTION("""COMPUTED_VALUE"""),"ม.4/7")</f>
        <v>ม.4/7</v>
      </c>
      <c r="D1611" s="3" t="str">
        <f>IFERROR(__xludf.DUMMYFUNCTION("""COMPUTED_VALUE"""),"อป.1/7")</f>
        <v>อป.1/7</v>
      </c>
      <c r="E1611" s="2" t="str">
        <f>IFERROR(__xludf.DUMMYFUNCTION("""COMPUTED_VALUE"""),"หญิง")</f>
        <v>หญิง</v>
      </c>
      <c r="F1611" s="5" t="str">
        <f>IFERROR(__xludf.DUMMYFUNCTION("""COMPUTED_VALUE"""),"https://azizstan.net/student_image/26695.jpg")</f>
        <v>https://azizstan.net/student_image/26695.jpg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>
      <c r="A1612" s="3" t="str">
        <f>IFERROR(__xludf.DUMMYFUNCTION("""COMPUTED_VALUE"""),"26735")</f>
        <v>26735</v>
      </c>
      <c r="B1612" s="3" t="str">
        <f>IFERROR(__xludf.DUMMYFUNCTION("""COMPUTED_VALUE"""),"น.ส.ร็อยมี เส็นบูหงา")</f>
        <v>น.ส.ร็อยมี เส็นบูหงา</v>
      </c>
      <c r="C1612" s="3" t="str">
        <f>IFERROR(__xludf.DUMMYFUNCTION("""COMPUTED_VALUE"""),"ม.4/7")</f>
        <v>ม.4/7</v>
      </c>
      <c r="D1612" s="3" t="str">
        <f>IFERROR(__xludf.DUMMYFUNCTION("""COMPUTED_VALUE"""),"อป.1/7")</f>
        <v>อป.1/7</v>
      </c>
      <c r="E1612" s="2" t="str">
        <f>IFERROR(__xludf.DUMMYFUNCTION("""COMPUTED_VALUE"""),"หญิง")</f>
        <v>หญิง</v>
      </c>
      <c r="F1612" s="5" t="str">
        <f>IFERROR(__xludf.DUMMYFUNCTION("""COMPUTED_VALUE"""),"https://azizstan.net/student_image/26735.jpg")</f>
        <v>https://azizstan.net/student_image/26735.jpg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>
      <c r="A1613" s="3" t="str">
        <f>IFERROR(__xludf.DUMMYFUNCTION("""COMPUTED_VALUE"""),"26739")</f>
        <v>26739</v>
      </c>
      <c r="B1613" s="3" t="str">
        <f>IFERROR(__xludf.DUMMYFUNCTION("""COMPUTED_VALUE"""),"น.ส.ปุณยวีร์ มะหนิ")</f>
        <v>น.ส.ปุณยวีร์ มะหนิ</v>
      </c>
      <c r="C1613" s="3" t="str">
        <f>IFERROR(__xludf.DUMMYFUNCTION("""COMPUTED_VALUE"""),"ม.4/7")</f>
        <v>ม.4/7</v>
      </c>
      <c r="D1613" s="3" t="str">
        <f>IFERROR(__xludf.DUMMYFUNCTION("""COMPUTED_VALUE"""),"อป.1/7")</f>
        <v>อป.1/7</v>
      </c>
      <c r="E1613" s="2" t="str">
        <f>IFERROR(__xludf.DUMMYFUNCTION("""COMPUTED_VALUE"""),"หญิง")</f>
        <v>หญิง</v>
      </c>
      <c r="F1613" s="5" t="str">
        <f>IFERROR(__xludf.DUMMYFUNCTION("""COMPUTED_VALUE"""),"https://azizstan.net/student_image/26739.jpg")</f>
        <v>https://azizstan.net/student_image/26739.jpg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>
      <c r="A1614" s="3" t="str">
        <f>IFERROR(__xludf.DUMMYFUNCTION("""COMPUTED_VALUE"""),"26795")</f>
        <v>26795</v>
      </c>
      <c r="B1614" s="3" t="str">
        <f>IFERROR(__xludf.DUMMYFUNCTION("""COMPUTED_VALUE"""),"นายอันวา กาเซะ")</f>
        <v>นายอันวา กาเซะ</v>
      </c>
      <c r="C1614" s="3" t="str">
        <f>IFERROR(__xludf.DUMMYFUNCTION("""COMPUTED_VALUE"""),"ม.4/7")</f>
        <v>ม.4/7</v>
      </c>
      <c r="D1614" s="3" t="str">
        <f>IFERROR(__xludf.DUMMYFUNCTION("""COMPUTED_VALUE"""),"อป.1/7")</f>
        <v>อป.1/7</v>
      </c>
      <c r="E1614" s="2" t="str">
        <f>IFERROR(__xludf.DUMMYFUNCTION("""COMPUTED_VALUE"""),"ชาย")</f>
        <v>ชาย</v>
      </c>
      <c r="F1614" s="5" t="str">
        <f>IFERROR(__xludf.DUMMYFUNCTION("""COMPUTED_VALUE"""),"https://azizstan.net/student_image/26795.jpg")</f>
        <v>https://azizstan.net/student_image/26795.jpg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>
      <c r="A1615" s="3" t="str">
        <f>IFERROR(__xludf.DUMMYFUNCTION("""COMPUTED_VALUE"""),"26808")</f>
        <v>26808</v>
      </c>
      <c r="B1615" s="3" t="str">
        <f>IFERROR(__xludf.DUMMYFUNCTION("""COMPUTED_VALUE"""),"น.ส.ฮิลมีย์ สะอะ")</f>
        <v>น.ส.ฮิลมีย์ สะอะ</v>
      </c>
      <c r="C1615" s="3" t="str">
        <f>IFERROR(__xludf.DUMMYFUNCTION("""COMPUTED_VALUE"""),"ม.4/7")</f>
        <v>ม.4/7</v>
      </c>
      <c r="D1615" s="3" t="str">
        <f>IFERROR(__xludf.DUMMYFUNCTION("""COMPUTED_VALUE"""),"อป.1/7")</f>
        <v>อป.1/7</v>
      </c>
      <c r="E1615" s="2" t="str">
        <f>IFERROR(__xludf.DUMMYFUNCTION("""COMPUTED_VALUE"""),"หญิง")</f>
        <v>หญิง</v>
      </c>
      <c r="F1615" s="5" t="str">
        <f>IFERROR(__xludf.DUMMYFUNCTION("""COMPUTED_VALUE"""),"https://azizstan.net/student_image/26808.jpg")</f>
        <v>https://azizstan.net/student_image/26808.jpg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>
      <c r="A1616" s="3" t="str">
        <f>IFERROR(__xludf.DUMMYFUNCTION("""COMPUTED_VALUE"""),"26816")</f>
        <v>26816</v>
      </c>
      <c r="B1616" s="3" t="str">
        <f>IFERROR(__xludf.DUMMYFUNCTION("""COMPUTED_VALUE"""),"นายอามานรูดดีน มะลา")</f>
        <v>นายอามานรูดดีน มะลา</v>
      </c>
      <c r="C1616" s="3" t="str">
        <f>IFERROR(__xludf.DUMMYFUNCTION("""COMPUTED_VALUE"""),"ม.4/7")</f>
        <v>ม.4/7</v>
      </c>
      <c r="D1616" s="3" t="str">
        <f>IFERROR(__xludf.DUMMYFUNCTION("""COMPUTED_VALUE"""),"อป.1/7")</f>
        <v>อป.1/7</v>
      </c>
      <c r="E1616" s="2" t="str">
        <f>IFERROR(__xludf.DUMMYFUNCTION("""COMPUTED_VALUE"""),"ชาย")</f>
        <v>ชาย</v>
      </c>
      <c r="F1616" s="5" t="str">
        <f>IFERROR(__xludf.DUMMYFUNCTION("""COMPUTED_VALUE"""),"https://azizstan.net/student_image/26816.jpg")</f>
        <v>https://azizstan.net/student_image/26816.jpg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>
      <c r="A1617" s="3" t="str">
        <f>IFERROR(__xludf.DUMMYFUNCTION("""COMPUTED_VALUE"""),"24045")</f>
        <v>24045</v>
      </c>
      <c r="B1617" s="3" t="str">
        <f>IFERROR(__xludf.DUMMYFUNCTION("""COMPUTED_VALUE"""),"นายวาฮิด สมอยุโซ๊ะ")</f>
        <v>นายวาฮิด สมอยุโซ๊ะ</v>
      </c>
      <c r="C1617" s="3" t="str">
        <f>IFERROR(__xludf.DUMMYFUNCTION("""COMPUTED_VALUE"""),"ม.4/8")</f>
        <v>ม.4/8</v>
      </c>
      <c r="D1617" s="3" t="str">
        <f>IFERROR(__xludf.DUMMYFUNCTION("""COMPUTED_VALUE"""),"อป.1/8")</f>
        <v>อป.1/8</v>
      </c>
      <c r="E1617" s="2" t="str">
        <f>IFERROR(__xludf.DUMMYFUNCTION("""COMPUTED_VALUE"""),"ชาย")</f>
        <v>ชาย</v>
      </c>
      <c r="F1617" s="5" t="str">
        <f>IFERROR(__xludf.DUMMYFUNCTION("""COMPUTED_VALUE"""),"https://azizstan.net/student_image/24045.jpg")</f>
        <v>https://azizstan.net/student_image/24045.jpg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>
      <c r="A1618" s="3" t="str">
        <f>IFERROR(__xludf.DUMMYFUNCTION("""COMPUTED_VALUE"""),"24065")</f>
        <v>24065</v>
      </c>
      <c r="B1618" s="3" t="str">
        <f>IFERROR(__xludf.DUMMYFUNCTION("""COMPUTED_VALUE"""),"น.ส.นุรฟาติน มาแยปีแน")</f>
        <v>น.ส.นุรฟาติน มาแยปีแน</v>
      </c>
      <c r="C1618" s="3" t="str">
        <f>IFERROR(__xludf.DUMMYFUNCTION("""COMPUTED_VALUE"""),"ม.4/8")</f>
        <v>ม.4/8</v>
      </c>
      <c r="D1618" s="3" t="str">
        <f>IFERROR(__xludf.DUMMYFUNCTION("""COMPUTED_VALUE"""),"อป.1/8")</f>
        <v>อป.1/8</v>
      </c>
      <c r="E1618" s="2" t="str">
        <f>IFERROR(__xludf.DUMMYFUNCTION("""COMPUTED_VALUE"""),"หญิง")</f>
        <v>หญิง</v>
      </c>
      <c r="F1618" s="5" t="str">
        <f>IFERROR(__xludf.DUMMYFUNCTION("""COMPUTED_VALUE"""),"https://azizstan.net/student_image/24065.jpg")</f>
        <v>https://azizstan.net/student_image/24065.jpg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>
      <c r="A1619" s="3" t="str">
        <f>IFERROR(__xludf.DUMMYFUNCTION("""COMPUTED_VALUE"""),"24115")</f>
        <v>24115</v>
      </c>
      <c r="B1619" s="3" t="str">
        <f>IFERROR(__xludf.DUMMYFUNCTION("""COMPUTED_VALUE"""),"น.ส.ฟิรดาวน์ ลาดอ")</f>
        <v>น.ส.ฟิรดาวน์ ลาดอ</v>
      </c>
      <c r="C1619" s="3" t="str">
        <f>IFERROR(__xludf.DUMMYFUNCTION("""COMPUTED_VALUE"""),"ม.4/8")</f>
        <v>ม.4/8</v>
      </c>
      <c r="D1619" s="3" t="str">
        <f>IFERROR(__xludf.DUMMYFUNCTION("""COMPUTED_VALUE"""),"อป.1/8")</f>
        <v>อป.1/8</v>
      </c>
      <c r="E1619" s="2" t="str">
        <f>IFERROR(__xludf.DUMMYFUNCTION("""COMPUTED_VALUE"""),"หญิง")</f>
        <v>หญิง</v>
      </c>
      <c r="F1619" s="5" t="str">
        <f>IFERROR(__xludf.DUMMYFUNCTION("""COMPUTED_VALUE"""),"https://azizstan.net/student_image/24115.jpg")</f>
        <v>https://azizstan.net/student_image/24115.jpg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>
      <c r="A1620" s="3" t="str">
        <f>IFERROR(__xludf.DUMMYFUNCTION("""COMPUTED_VALUE"""),"24122")</f>
        <v>24122</v>
      </c>
      <c r="B1620" s="3" t="str">
        <f>IFERROR(__xludf.DUMMYFUNCTION("""COMPUTED_VALUE"""),"น.ส.กูนาเดียร์ อีแต")</f>
        <v>น.ส.กูนาเดียร์ อีแต</v>
      </c>
      <c r="C1620" s="3" t="str">
        <f>IFERROR(__xludf.DUMMYFUNCTION("""COMPUTED_VALUE"""),"ม.4/8")</f>
        <v>ม.4/8</v>
      </c>
      <c r="D1620" s="3" t="str">
        <f>IFERROR(__xludf.DUMMYFUNCTION("""COMPUTED_VALUE"""),"อป.1/8")</f>
        <v>อป.1/8</v>
      </c>
      <c r="E1620" s="2" t="str">
        <f>IFERROR(__xludf.DUMMYFUNCTION("""COMPUTED_VALUE"""),"หญิง")</f>
        <v>หญิง</v>
      </c>
      <c r="F1620" s="5" t="str">
        <f>IFERROR(__xludf.DUMMYFUNCTION("""COMPUTED_VALUE"""),"https://azizstan.net/student_image/24122.jpg")</f>
        <v>https://azizstan.net/student_image/24122.jpg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>
      <c r="A1621" s="3" t="str">
        <f>IFERROR(__xludf.DUMMYFUNCTION("""COMPUTED_VALUE"""),"24142")</f>
        <v>24142</v>
      </c>
      <c r="B1621" s="3" t="str">
        <f>IFERROR(__xludf.DUMMYFUNCTION("""COMPUTED_VALUE"""),"น.ส.ฟาตีเม๊าะ ดอเลาะ")</f>
        <v>น.ส.ฟาตีเม๊าะ ดอเลาะ</v>
      </c>
      <c r="C1621" s="3" t="str">
        <f>IFERROR(__xludf.DUMMYFUNCTION("""COMPUTED_VALUE"""),"ม.4/8")</f>
        <v>ม.4/8</v>
      </c>
      <c r="D1621" s="3" t="str">
        <f>IFERROR(__xludf.DUMMYFUNCTION("""COMPUTED_VALUE"""),"อป.1/8")</f>
        <v>อป.1/8</v>
      </c>
      <c r="E1621" s="2" t="str">
        <f>IFERROR(__xludf.DUMMYFUNCTION("""COMPUTED_VALUE"""),"หญิง")</f>
        <v>หญิง</v>
      </c>
      <c r="F1621" s="5" t="str">
        <f>IFERROR(__xludf.DUMMYFUNCTION("""COMPUTED_VALUE"""),"https://azizstan.net/student_image/24142.jpg")</f>
        <v>https://azizstan.net/student_image/24142.jpg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>
      <c r="A1622" s="3" t="str">
        <f>IFERROR(__xludf.DUMMYFUNCTION("""COMPUTED_VALUE"""),"24148")</f>
        <v>24148</v>
      </c>
      <c r="B1622" s="3" t="str">
        <f>IFERROR(__xludf.DUMMYFUNCTION("""COMPUTED_VALUE"""),"นายกาดาฟี สาหลำ")</f>
        <v>นายกาดาฟี สาหลำ</v>
      </c>
      <c r="C1622" s="3" t="str">
        <f>IFERROR(__xludf.DUMMYFUNCTION("""COMPUTED_VALUE"""),"ม.4/8")</f>
        <v>ม.4/8</v>
      </c>
      <c r="D1622" s="3" t="str">
        <f>IFERROR(__xludf.DUMMYFUNCTION("""COMPUTED_VALUE"""),"อป.1/8")</f>
        <v>อป.1/8</v>
      </c>
      <c r="E1622" s="2" t="str">
        <f>IFERROR(__xludf.DUMMYFUNCTION("""COMPUTED_VALUE"""),"ชาย")</f>
        <v>ชาย</v>
      </c>
      <c r="F1622" s="5" t="str">
        <f>IFERROR(__xludf.DUMMYFUNCTION("""COMPUTED_VALUE"""),"https://azizstan.net/student_image/24148.jpg")</f>
        <v>https://azizstan.net/student_image/24148.jpg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>
      <c r="A1623" s="3" t="str">
        <f>IFERROR(__xludf.DUMMYFUNCTION("""COMPUTED_VALUE"""),"24175")</f>
        <v>24175</v>
      </c>
      <c r="B1623" s="3" t="str">
        <f>IFERROR(__xludf.DUMMYFUNCTION("""COMPUTED_VALUE"""),"น.ส.ฟิร์ดาว สากา")</f>
        <v>น.ส.ฟิร์ดาว สากา</v>
      </c>
      <c r="C1623" s="3" t="str">
        <f>IFERROR(__xludf.DUMMYFUNCTION("""COMPUTED_VALUE"""),"ม.4/8")</f>
        <v>ม.4/8</v>
      </c>
      <c r="D1623" s="3" t="str">
        <f>IFERROR(__xludf.DUMMYFUNCTION("""COMPUTED_VALUE"""),"อป.1/8")</f>
        <v>อป.1/8</v>
      </c>
      <c r="E1623" s="2" t="str">
        <f>IFERROR(__xludf.DUMMYFUNCTION("""COMPUTED_VALUE"""),"หญิง")</f>
        <v>หญิง</v>
      </c>
      <c r="F1623" s="5" t="str">
        <f>IFERROR(__xludf.DUMMYFUNCTION("""COMPUTED_VALUE"""),"https://azizstan.net/student_image/24175.jpg")</f>
        <v>https://azizstan.net/student_image/24175.jpg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>
      <c r="A1624" s="3" t="str">
        <f>IFERROR(__xludf.DUMMYFUNCTION("""COMPUTED_VALUE"""),"24229")</f>
        <v>24229</v>
      </c>
      <c r="B1624" s="3" t="str">
        <f>IFERROR(__xludf.DUMMYFUNCTION("""COMPUTED_VALUE"""),"น.ส.ซาวิณา เลาะปนสา")</f>
        <v>น.ส.ซาวิณา เลาะปนสา</v>
      </c>
      <c r="C1624" s="3" t="str">
        <f>IFERROR(__xludf.DUMMYFUNCTION("""COMPUTED_VALUE"""),"ม.4/8")</f>
        <v>ม.4/8</v>
      </c>
      <c r="D1624" s="3" t="str">
        <f>IFERROR(__xludf.DUMMYFUNCTION("""COMPUTED_VALUE"""),"อป.1/8")</f>
        <v>อป.1/8</v>
      </c>
      <c r="E1624" s="2" t="str">
        <f>IFERROR(__xludf.DUMMYFUNCTION("""COMPUTED_VALUE"""),"หญิง")</f>
        <v>หญิง</v>
      </c>
      <c r="F1624" s="5" t="str">
        <f>IFERROR(__xludf.DUMMYFUNCTION("""COMPUTED_VALUE"""),"https://azizstan.net/student_image/24229.jpg")</f>
        <v>https://azizstan.net/student_image/24229.jpg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>
      <c r="A1625" s="3" t="str">
        <f>IFERROR(__xludf.DUMMYFUNCTION("""COMPUTED_VALUE"""),"24465")</f>
        <v>24465</v>
      </c>
      <c r="B1625" s="3" t="str">
        <f>IFERROR(__xludf.DUMMYFUNCTION("""COMPUTED_VALUE"""),"น.ส.อิสฟาร ตาเละ")</f>
        <v>น.ส.อิสฟาร ตาเละ</v>
      </c>
      <c r="C1625" s="3" t="str">
        <f>IFERROR(__xludf.DUMMYFUNCTION("""COMPUTED_VALUE"""),"ม.4/8")</f>
        <v>ม.4/8</v>
      </c>
      <c r="D1625" s="3" t="str">
        <f>IFERROR(__xludf.DUMMYFUNCTION("""COMPUTED_VALUE"""),"อป.1/8")</f>
        <v>อป.1/8</v>
      </c>
      <c r="E1625" s="2" t="str">
        <f>IFERROR(__xludf.DUMMYFUNCTION("""COMPUTED_VALUE"""),"หญิง")</f>
        <v>หญิง</v>
      </c>
      <c r="F1625" s="5" t="str">
        <f>IFERROR(__xludf.DUMMYFUNCTION("""COMPUTED_VALUE"""),"https://azizstan.net/student_image/24465.jpg")</f>
        <v>https://azizstan.net/student_image/24465.jpg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>
      <c r="A1626" s="3" t="str">
        <f>IFERROR(__xludf.DUMMYFUNCTION("""COMPUTED_VALUE"""),"24516")</f>
        <v>24516</v>
      </c>
      <c r="B1626" s="3" t="str">
        <f>IFERROR(__xludf.DUMMYFUNCTION("""COMPUTED_VALUE"""),"น.ส.สเตฟาร์มี หลังเตมมี")</f>
        <v>น.ส.สเตฟาร์มี หลังเตมมี</v>
      </c>
      <c r="C1626" s="3" t="str">
        <f>IFERROR(__xludf.DUMMYFUNCTION("""COMPUTED_VALUE"""),"ม.4/8")</f>
        <v>ม.4/8</v>
      </c>
      <c r="D1626" s="3" t="str">
        <f>IFERROR(__xludf.DUMMYFUNCTION("""COMPUTED_VALUE"""),"อป.1/8")</f>
        <v>อป.1/8</v>
      </c>
      <c r="E1626" s="2" t="str">
        <f>IFERROR(__xludf.DUMMYFUNCTION("""COMPUTED_VALUE"""),"หญิง")</f>
        <v>หญิง</v>
      </c>
      <c r="F1626" s="5" t="str">
        <f>IFERROR(__xludf.DUMMYFUNCTION("""COMPUTED_VALUE"""),"https://azizstan.net/student_image/24516.jpg")</f>
        <v>https://azizstan.net/student_image/24516.jpg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>
      <c r="A1627" s="3" t="str">
        <f>IFERROR(__xludf.DUMMYFUNCTION("""COMPUTED_VALUE"""),"26599")</f>
        <v>26599</v>
      </c>
      <c r="B1627" s="3" t="str">
        <f>IFERROR(__xludf.DUMMYFUNCTION("""COMPUTED_VALUE"""),"น.ส.อาซวาณี อามะ")</f>
        <v>น.ส.อาซวาณี อามะ</v>
      </c>
      <c r="C1627" s="3" t="str">
        <f>IFERROR(__xludf.DUMMYFUNCTION("""COMPUTED_VALUE"""),"ม.4/8")</f>
        <v>ม.4/8</v>
      </c>
      <c r="D1627" s="3" t="str">
        <f>IFERROR(__xludf.DUMMYFUNCTION("""COMPUTED_VALUE"""),"อป.1/8")</f>
        <v>อป.1/8</v>
      </c>
      <c r="E1627" s="2" t="str">
        <f>IFERROR(__xludf.DUMMYFUNCTION("""COMPUTED_VALUE"""),"หญิง")</f>
        <v>หญิง</v>
      </c>
      <c r="F1627" s="5" t="str">
        <f>IFERROR(__xludf.DUMMYFUNCTION("""COMPUTED_VALUE"""),"https://azizstan.net/student_image/26599.jpg")</f>
        <v>https://azizstan.net/student_image/26599.jpg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>
      <c r="A1628" s="3" t="str">
        <f>IFERROR(__xludf.DUMMYFUNCTION("""COMPUTED_VALUE"""),"26657")</f>
        <v>26657</v>
      </c>
      <c r="B1628" s="3" t="str">
        <f>IFERROR(__xludf.DUMMYFUNCTION("""COMPUTED_VALUE"""),"น.ส.อิมตีนาน อารง")</f>
        <v>น.ส.อิมตีนาน อารง</v>
      </c>
      <c r="C1628" s="3" t="str">
        <f>IFERROR(__xludf.DUMMYFUNCTION("""COMPUTED_VALUE"""),"ม.4/8")</f>
        <v>ม.4/8</v>
      </c>
      <c r="D1628" s="3" t="str">
        <f>IFERROR(__xludf.DUMMYFUNCTION("""COMPUTED_VALUE"""),"อป.1/8")</f>
        <v>อป.1/8</v>
      </c>
      <c r="E1628" s="2" t="str">
        <f>IFERROR(__xludf.DUMMYFUNCTION("""COMPUTED_VALUE"""),"หญิง")</f>
        <v>หญิง</v>
      </c>
      <c r="F1628" s="5" t="str">
        <f>IFERROR(__xludf.DUMMYFUNCTION("""COMPUTED_VALUE"""),"https://azizstan.net/student_image/26657.jpg")</f>
        <v>https://azizstan.net/student_image/26657.jpg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>
      <c r="A1629" s="3" t="str">
        <f>IFERROR(__xludf.DUMMYFUNCTION("""COMPUTED_VALUE"""),"26749")</f>
        <v>26749</v>
      </c>
      <c r="B1629" s="3" t="str">
        <f>IFERROR(__xludf.DUMMYFUNCTION("""COMPUTED_VALUE"""),"น.ส.นุชสรี หมัดสะมัน")</f>
        <v>น.ส.นุชสรี หมัดสะมัน</v>
      </c>
      <c r="C1629" s="3" t="str">
        <f>IFERROR(__xludf.DUMMYFUNCTION("""COMPUTED_VALUE"""),"ม.4/8")</f>
        <v>ม.4/8</v>
      </c>
      <c r="D1629" s="3" t="str">
        <f>IFERROR(__xludf.DUMMYFUNCTION("""COMPUTED_VALUE"""),"อป.1/8")</f>
        <v>อป.1/8</v>
      </c>
      <c r="E1629" s="2" t="str">
        <f>IFERROR(__xludf.DUMMYFUNCTION("""COMPUTED_VALUE"""),"หญิง")</f>
        <v>หญิง</v>
      </c>
      <c r="F1629" s="5" t="str">
        <f>IFERROR(__xludf.DUMMYFUNCTION("""COMPUTED_VALUE"""),"https://azizstan.net/student_image/26749.jpg")</f>
        <v>https://azizstan.net/student_image/26749.jpg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>
      <c r="A1630" s="3" t="str">
        <f>IFERROR(__xludf.DUMMYFUNCTION("""COMPUTED_VALUE"""),"26774")</f>
        <v>26774</v>
      </c>
      <c r="B1630" s="3" t="str">
        <f>IFERROR(__xludf.DUMMYFUNCTION("""COMPUTED_VALUE"""),"นายอาฮานาฟ ฮาแวปูเตะ")</f>
        <v>นายอาฮานาฟ ฮาแวปูเตะ</v>
      </c>
      <c r="C1630" s="3" t="str">
        <f>IFERROR(__xludf.DUMMYFUNCTION("""COMPUTED_VALUE"""),"ม.4/8")</f>
        <v>ม.4/8</v>
      </c>
      <c r="D1630" s="3" t="str">
        <f>IFERROR(__xludf.DUMMYFUNCTION("""COMPUTED_VALUE"""),"อป.1/8")</f>
        <v>อป.1/8</v>
      </c>
      <c r="E1630" s="2" t="str">
        <f>IFERROR(__xludf.DUMMYFUNCTION("""COMPUTED_VALUE"""),"ชาย")</f>
        <v>ชาย</v>
      </c>
      <c r="F1630" s="5" t="str">
        <f>IFERROR(__xludf.DUMMYFUNCTION("""COMPUTED_VALUE"""),"https://azizstan.net/student_image/26774.jpg")</f>
        <v>https://azizstan.net/student_image/26774.jpg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>
      <c r="A1631" s="3" t="str">
        <f>IFERROR(__xludf.DUMMYFUNCTION("""COMPUTED_VALUE"""),"26787")</f>
        <v>26787</v>
      </c>
      <c r="B1631" s="3" t="str">
        <f>IFERROR(__xludf.DUMMYFUNCTION("""COMPUTED_VALUE"""),"นายรอมฎอน โสะเบ็ญอาหลี")</f>
        <v>นายรอมฎอน โสะเบ็ญอาหลี</v>
      </c>
      <c r="C1631" s="3" t="str">
        <f>IFERROR(__xludf.DUMMYFUNCTION("""COMPUTED_VALUE"""),"ม.4/8")</f>
        <v>ม.4/8</v>
      </c>
      <c r="D1631" s="3" t="str">
        <f>IFERROR(__xludf.DUMMYFUNCTION("""COMPUTED_VALUE"""),"อป.1/8")</f>
        <v>อป.1/8</v>
      </c>
      <c r="E1631" s="2" t="str">
        <f>IFERROR(__xludf.DUMMYFUNCTION("""COMPUTED_VALUE"""),"ชาย")</f>
        <v>ชาย</v>
      </c>
      <c r="F1631" s="5" t="str">
        <f>IFERROR(__xludf.DUMMYFUNCTION("""COMPUTED_VALUE"""),"https://azizstan.net/student_image/26787.jpg")</f>
        <v>https://azizstan.net/student_image/26787.jpg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>
      <c r="A1632" s="3" t="str">
        <f>IFERROR(__xludf.DUMMYFUNCTION("""COMPUTED_VALUE"""),"23507")</f>
        <v>23507</v>
      </c>
      <c r="B1632" s="3" t="str">
        <f>IFERROR(__xludf.DUMMYFUNCTION("""COMPUTED_VALUE"""),"น.ส.นิซุลฟาร์ เปาะแม")</f>
        <v>น.ส.นิซุลฟาร์ เปาะแม</v>
      </c>
      <c r="C1632" s="3" t="str">
        <f>IFERROR(__xludf.DUMMYFUNCTION("""COMPUTED_VALUE"""),"ม.4/9")</f>
        <v>ม.4/9</v>
      </c>
      <c r="D1632" s="3" t="str">
        <f>IFERROR(__xludf.DUMMYFUNCTION("""COMPUTED_VALUE"""),"อก.2/13")</f>
        <v>อก.2/13</v>
      </c>
      <c r="E1632" s="2" t="str">
        <f>IFERROR(__xludf.DUMMYFUNCTION("""COMPUTED_VALUE"""),"หญิง")</f>
        <v>หญิง</v>
      </c>
      <c r="F1632" s="5" t="str">
        <f>IFERROR(__xludf.DUMMYFUNCTION("""COMPUTED_VALUE"""),"https://azizstan.net/student_image/23507.jpg")</f>
        <v>https://azizstan.net/student_image/23507.jpg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>
      <c r="A1633" s="3" t="str">
        <f>IFERROR(__xludf.DUMMYFUNCTION("""COMPUTED_VALUE"""),"23592")</f>
        <v>23592</v>
      </c>
      <c r="B1633" s="3" t="str">
        <f>IFERROR(__xludf.DUMMYFUNCTION("""COMPUTED_VALUE"""),"น.ส.นุรฟาติน ยาวอ")</f>
        <v>น.ส.นุรฟาติน ยาวอ</v>
      </c>
      <c r="C1633" s="3" t="str">
        <f>IFERROR(__xludf.DUMMYFUNCTION("""COMPUTED_VALUE"""),"ม.4/9")</f>
        <v>ม.4/9</v>
      </c>
      <c r="D1633" s="3" t="str">
        <f>IFERROR(__xludf.DUMMYFUNCTION("""COMPUTED_VALUE"""),"อก.2/13")</f>
        <v>อก.2/13</v>
      </c>
      <c r="E1633" s="2" t="str">
        <f>IFERROR(__xludf.DUMMYFUNCTION("""COMPUTED_VALUE"""),"หญิง")</f>
        <v>หญิง</v>
      </c>
      <c r="F1633" s="5" t="str">
        <f>IFERROR(__xludf.DUMMYFUNCTION("""COMPUTED_VALUE"""),"https://azizstan.net/student_image/23592.jpg")</f>
        <v>https://azizstan.net/student_image/23592.jpg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>
      <c r="A1634" s="3" t="str">
        <f>IFERROR(__xludf.DUMMYFUNCTION("""COMPUTED_VALUE"""),"23879")</f>
        <v>23879</v>
      </c>
      <c r="B1634" s="3" t="str">
        <f>IFERROR(__xludf.DUMMYFUNCTION("""COMPUTED_VALUE"""),"น.ส.นัสรียา เจะเงาะ")</f>
        <v>น.ส.นัสรียา เจะเงาะ</v>
      </c>
      <c r="C1634" s="3" t="str">
        <f>IFERROR(__xludf.DUMMYFUNCTION("""COMPUTED_VALUE"""),"ม.4/9")</f>
        <v>ม.4/9</v>
      </c>
      <c r="D1634" s="3" t="str">
        <f>IFERROR(__xludf.DUMMYFUNCTION("""COMPUTED_VALUE"""),"อก.3/13")</f>
        <v>อก.3/13</v>
      </c>
      <c r="E1634" s="2" t="str">
        <f>IFERROR(__xludf.DUMMYFUNCTION("""COMPUTED_VALUE"""),"หญิง")</f>
        <v>หญิง</v>
      </c>
      <c r="F1634" s="5" t="str">
        <f>IFERROR(__xludf.DUMMYFUNCTION("""COMPUTED_VALUE"""),"https://azizstan.net/student_image/23879.jpg")</f>
        <v>https://azizstan.net/student_image/23879.jpg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>
      <c r="A1635" s="3" t="str">
        <f>IFERROR(__xludf.DUMMYFUNCTION("""COMPUTED_VALUE"""),"23996")</f>
        <v>23996</v>
      </c>
      <c r="B1635" s="3" t="str">
        <f>IFERROR(__xludf.DUMMYFUNCTION("""COMPUTED_VALUE"""),"น.ส.ดาเวียร์ บูงอสะนอ")</f>
        <v>น.ส.ดาเวียร์ บูงอสะนอ</v>
      </c>
      <c r="C1635" s="3" t="str">
        <f>IFERROR(__xludf.DUMMYFUNCTION("""COMPUTED_VALUE"""),"ม.4/9")</f>
        <v>ม.4/9</v>
      </c>
      <c r="D1635" s="3" t="str">
        <f>IFERROR(__xludf.DUMMYFUNCTION("""COMPUTED_VALUE"""),"อก.3/15")</f>
        <v>อก.3/15</v>
      </c>
      <c r="E1635" s="2" t="str">
        <f>IFERROR(__xludf.DUMMYFUNCTION("""COMPUTED_VALUE"""),"หญิง")</f>
        <v>หญิง</v>
      </c>
      <c r="F1635" s="5" t="str">
        <f>IFERROR(__xludf.DUMMYFUNCTION("""COMPUTED_VALUE"""),"https://azizstan.net/student_image/23996.jpg")</f>
        <v>https://azizstan.net/student_image/23996.jpg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>
      <c r="A1636" s="3" t="str">
        <f>IFERROR(__xludf.DUMMYFUNCTION("""COMPUTED_VALUE"""),"24005")</f>
        <v>24005</v>
      </c>
      <c r="B1636" s="3" t="str">
        <f>IFERROR(__xludf.DUMMYFUNCTION("""COMPUTED_VALUE"""),"น.ส.ซูฟียะห์ สามาแอ")</f>
        <v>น.ส.ซูฟียะห์ สามาแอ</v>
      </c>
      <c r="C1636" s="3" t="str">
        <f>IFERROR(__xludf.DUMMYFUNCTION("""COMPUTED_VALUE"""),"ม.4/9")</f>
        <v>ม.4/9</v>
      </c>
      <c r="D1636" s="3" t="str">
        <f>IFERROR(__xludf.DUMMYFUNCTION("""COMPUTED_VALUE"""),"อก.3/13")</f>
        <v>อก.3/13</v>
      </c>
      <c r="E1636" s="2" t="str">
        <f>IFERROR(__xludf.DUMMYFUNCTION("""COMPUTED_VALUE"""),"หญิง")</f>
        <v>หญิง</v>
      </c>
      <c r="F1636" s="5" t="str">
        <f>IFERROR(__xludf.DUMMYFUNCTION("""COMPUTED_VALUE"""),"https://azizstan.net/student_image/24005.jpg")</f>
        <v>https://azizstan.net/student_image/24005.jpg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>
      <c r="A1637" s="3" t="str">
        <f>IFERROR(__xludf.DUMMYFUNCTION("""COMPUTED_VALUE"""),"24012")</f>
        <v>24012</v>
      </c>
      <c r="B1637" s="3" t="str">
        <f>IFERROR(__xludf.DUMMYFUNCTION("""COMPUTED_VALUE"""),"น.ส.ซีตีนูรียะตี ปูชู")</f>
        <v>น.ส.ซีตีนูรียะตี ปูชู</v>
      </c>
      <c r="C1637" s="3" t="str">
        <f>IFERROR(__xludf.DUMMYFUNCTION("""COMPUTED_VALUE"""),"ม.4/9")</f>
        <v>ม.4/9</v>
      </c>
      <c r="D1637" s="3" t="str">
        <f>IFERROR(__xludf.DUMMYFUNCTION("""COMPUTED_VALUE"""),"อก.3/15")</f>
        <v>อก.3/15</v>
      </c>
      <c r="E1637" s="2" t="str">
        <f>IFERROR(__xludf.DUMMYFUNCTION("""COMPUTED_VALUE"""),"หญิง")</f>
        <v>หญิง</v>
      </c>
      <c r="F1637" s="5" t="str">
        <f>IFERROR(__xludf.DUMMYFUNCTION("""COMPUTED_VALUE"""),"https://azizstan.net/student_image/24012.jpg")</f>
        <v>https://azizstan.net/student_image/24012.jpg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>
      <c r="A1638" s="3" t="str">
        <f>IFERROR(__xludf.DUMMYFUNCTION("""COMPUTED_VALUE"""),"24017")</f>
        <v>24017</v>
      </c>
      <c r="B1638" s="3" t="str">
        <f>IFERROR(__xludf.DUMMYFUNCTION("""COMPUTED_VALUE"""),"น.ส.นูรฮายาตี แวหามะ")</f>
        <v>น.ส.นูรฮายาตี แวหามะ</v>
      </c>
      <c r="C1638" s="3" t="str">
        <f>IFERROR(__xludf.DUMMYFUNCTION("""COMPUTED_VALUE"""),"ม.4/9")</f>
        <v>ม.4/9</v>
      </c>
      <c r="D1638" s="3" t="str">
        <f>IFERROR(__xludf.DUMMYFUNCTION("""COMPUTED_VALUE"""),"อก.3/9")</f>
        <v>อก.3/9</v>
      </c>
      <c r="E1638" s="2" t="str">
        <f>IFERROR(__xludf.DUMMYFUNCTION("""COMPUTED_VALUE"""),"หญิง")</f>
        <v>หญิง</v>
      </c>
      <c r="F1638" s="5" t="str">
        <f>IFERROR(__xludf.DUMMYFUNCTION("""COMPUTED_VALUE"""),"https://azizstan.net/student_image/24017.jpg")</f>
        <v>https://azizstan.net/student_image/24017.jpg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>
      <c r="A1639" s="3" t="str">
        <f>IFERROR(__xludf.DUMMYFUNCTION("""COMPUTED_VALUE"""),"24024")</f>
        <v>24024</v>
      </c>
      <c r="B1639" s="3" t="str">
        <f>IFERROR(__xludf.DUMMYFUNCTION("""COMPUTED_VALUE"""),"น.ส.นูรีดา บาตูขาเด็ง")</f>
        <v>น.ส.นูรีดา บาตูขาเด็ง</v>
      </c>
      <c r="C1639" s="3" t="str">
        <f>IFERROR(__xludf.DUMMYFUNCTION("""COMPUTED_VALUE"""),"ม.4/9")</f>
        <v>ม.4/9</v>
      </c>
      <c r="D1639" s="3" t="str">
        <f>IFERROR(__xludf.DUMMYFUNCTION("""COMPUTED_VALUE"""),"อก.3/15")</f>
        <v>อก.3/15</v>
      </c>
      <c r="E1639" s="2" t="str">
        <f>IFERROR(__xludf.DUMMYFUNCTION("""COMPUTED_VALUE"""),"หญิง")</f>
        <v>หญิง</v>
      </c>
      <c r="F1639" s="5" t="str">
        <f>IFERROR(__xludf.DUMMYFUNCTION("""COMPUTED_VALUE"""),"https://azizstan.net/student_image/24024.jpg")</f>
        <v>https://azizstan.net/student_image/24024.jpg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>
      <c r="A1640" s="3" t="str">
        <f>IFERROR(__xludf.DUMMYFUNCTION("""COMPUTED_VALUE"""),"24035")</f>
        <v>24035</v>
      </c>
      <c r="B1640" s="3" t="str">
        <f>IFERROR(__xludf.DUMMYFUNCTION("""COMPUTED_VALUE"""),"น.ส.ฮัซวานี ยือรา")</f>
        <v>น.ส.ฮัซวานี ยือรา</v>
      </c>
      <c r="C1640" s="3" t="str">
        <f>IFERROR(__xludf.DUMMYFUNCTION("""COMPUTED_VALUE"""),"ม.4/9")</f>
        <v>ม.4/9</v>
      </c>
      <c r="D1640" s="3" t="str">
        <f>IFERROR(__xludf.DUMMYFUNCTION("""COMPUTED_VALUE"""),"อก.3/13")</f>
        <v>อก.3/13</v>
      </c>
      <c r="E1640" s="2" t="str">
        <f>IFERROR(__xludf.DUMMYFUNCTION("""COMPUTED_VALUE"""),"หญิง")</f>
        <v>หญิง</v>
      </c>
      <c r="F1640" s="5" t="str">
        <f>IFERROR(__xludf.DUMMYFUNCTION("""COMPUTED_VALUE"""),"https://azizstan.net/student_image/24035.jpg")</f>
        <v>https://azizstan.net/student_image/24035.jpg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>
      <c r="A1641" s="3" t="str">
        <f>IFERROR(__xludf.DUMMYFUNCTION("""COMPUTED_VALUE"""),"24040")</f>
        <v>24040</v>
      </c>
      <c r="B1641" s="3" t="str">
        <f>IFERROR(__xludf.DUMMYFUNCTION("""COMPUTED_VALUE"""),"น.ส.ณารีตา มะตอมะ")</f>
        <v>น.ส.ณารีตา มะตอมะ</v>
      </c>
      <c r="C1641" s="3" t="str">
        <f>IFERROR(__xludf.DUMMYFUNCTION("""COMPUTED_VALUE"""),"ม.4/9")</f>
        <v>ม.4/9</v>
      </c>
      <c r="D1641" s="3" t="str">
        <f>IFERROR(__xludf.DUMMYFUNCTION("""COMPUTED_VALUE"""),"อก.3/13")</f>
        <v>อก.3/13</v>
      </c>
      <c r="E1641" s="2" t="str">
        <f>IFERROR(__xludf.DUMMYFUNCTION("""COMPUTED_VALUE"""),"หญิง")</f>
        <v>หญิง</v>
      </c>
      <c r="F1641" s="5" t="str">
        <f>IFERROR(__xludf.DUMMYFUNCTION("""COMPUTED_VALUE"""),"https://azizstan.net/student_image/24040.jpg")</f>
        <v>https://azizstan.net/student_image/24040.jpg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>
      <c r="A1642" s="3" t="str">
        <f>IFERROR(__xludf.DUMMYFUNCTION("""COMPUTED_VALUE"""),"24079")</f>
        <v>24079</v>
      </c>
      <c r="B1642" s="3" t="str">
        <f>IFERROR(__xludf.DUMMYFUNCTION("""COMPUTED_VALUE"""),"น.ส.นาซูฮา วานิ")</f>
        <v>น.ส.นาซูฮา วานิ</v>
      </c>
      <c r="C1642" s="3" t="str">
        <f>IFERROR(__xludf.DUMMYFUNCTION("""COMPUTED_VALUE"""),"ม.4/9")</f>
        <v>ม.4/9</v>
      </c>
      <c r="D1642" s="3" t="str">
        <f>IFERROR(__xludf.DUMMYFUNCTION("""COMPUTED_VALUE"""),"อก.3/9")</f>
        <v>อก.3/9</v>
      </c>
      <c r="E1642" s="2" t="str">
        <f>IFERROR(__xludf.DUMMYFUNCTION("""COMPUTED_VALUE"""),"หญิง")</f>
        <v>หญิง</v>
      </c>
      <c r="F1642" s="5" t="str">
        <f>IFERROR(__xludf.DUMMYFUNCTION("""COMPUTED_VALUE"""),"https://azizstan.net/student_image/24079.jpg")</f>
        <v>https://azizstan.net/student_image/24079.jpg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>
      <c r="A1643" s="3" t="str">
        <f>IFERROR(__xludf.DUMMYFUNCTION("""COMPUTED_VALUE"""),"24080")</f>
        <v>24080</v>
      </c>
      <c r="B1643" s="3" t="str">
        <f>IFERROR(__xludf.DUMMYFUNCTION("""COMPUTED_VALUE"""),"น.ส.ดาลีลา สลำยาตี")</f>
        <v>น.ส.ดาลีลา สลำยาตี</v>
      </c>
      <c r="C1643" s="3" t="str">
        <f>IFERROR(__xludf.DUMMYFUNCTION("""COMPUTED_VALUE"""),"ม.4/9")</f>
        <v>ม.4/9</v>
      </c>
      <c r="D1643" s="3" t="str">
        <f>IFERROR(__xludf.DUMMYFUNCTION("""COMPUTED_VALUE"""),"อก.3/15")</f>
        <v>อก.3/15</v>
      </c>
      <c r="E1643" s="2" t="str">
        <f>IFERROR(__xludf.DUMMYFUNCTION("""COMPUTED_VALUE"""),"หญิง")</f>
        <v>หญิง</v>
      </c>
      <c r="F1643" s="5" t="str">
        <f>IFERROR(__xludf.DUMMYFUNCTION("""COMPUTED_VALUE"""),"https://azizstan.net/student_image/24080.jpg")</f>
        <v>https://azizstan.net/student_image/24080.jpg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>
      <c r="A1644" s="3" t="str">
        <f>IFERROR(__xludf.DUMMYFUNCTION("""COMPUTED_VALUE"""),"24091")</f>
        <v>24091</v>
      </c>
      <c r="B1644" s="3" t="str">
        <f>IFERROR(__xludf.DUMMYFUNCTION("""COMPUTED_VALUE"""),"น.ส.ชดารัตน์ หลีล่าสัน")</f>
        <v>น.ส.ชดารัตน์ หลีล่าสัน</v>
      </c>
      <c r="C1644" s="3" t="str">
        <f>IFERROR(__xludf.DUMMYFUNCTION("""COMPUTED_VALUE"""),"ม.4/9")</f>
        <v>ม.4/9</v>
      </c>
      <c r="D1644" s="3" t="str">
        <f>IFERROR(__xludf.DUMMYFUNCTION("""COMPUTED_VALUE"""),"อก.3/13")</f>
        <v>อก.3/13</v>
      </c>
      <c r="E1644" s="2" t="str">
        <f>IFERROR(__xludf.DUMMYFUNCTION("""COMPUTED_VALUE"""),"หญิง")</f>
        <v>หญิง</v>
      </c>
      <c r="F1644" s="5" t="str">
        <f>IFERROR(__xludf.DUMMYFUNCTION("""COMPUTED_VALUE"""),"https://azizstan.net/student_image/24091.jpg")</f>
        <v>https://azizstan.net/student_image/24091.jpg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>
      <c r="A1645" s="3" t="str">
        <f>IFERROR(__xludf.DUMMYFUNCTION("""COMPUTED_VALUE"""),"24132")</f>
        <v>24132</v>
      </c>
      <c r="B1645" s="3" t="str">
        <f>IFERROR(__xludf.DUMMYFUNCTION("""COMPUTED_VALUE"""),"น.ส.สุนิดา ดาหมิ")</f>
        <v>น.ส.สุนิดา ดาหมิ</v>
      </c>
      <c r="C1645" s="3" t="str">
        <f>IFERROR(__xludf.DUMMYFUNCTION("""COMPUTED_VALUE"""),"ม.4/9")</f>
        <v>ม.4/9</v>
      </c>
      <c r="D1645" s="3" t="str">
        <f>IFERROR(__xludf.DUMMYFUNCTION("""COMPUTED_VALUE"""),"อก.3/15")</f>
        <v>อก.3/15</v>
      </c>
      <c r="E1645" s="2" t="str">
        <f>IFERROR(__xludf.DUMMYFUNCTION("""COMPUTED_VALUE"""),"หญิง")</f>
        <v>หญิง</v>
      </c>
      <c r="F1645" s="5" t="str">
        <f>IFERROR(__xludf.DUMMYFUNCTION("""COMPUTED_VALUE"""),"https://azizstan.net/student_image/24132.jpg")</f>
        <v>https://azizstan.net/student_image/24132.jpg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>
      <c r="A1646" s="3" t="str">
        <f>IFERROR(__xludf.DUMMYFUNCTION("""COMPUTED_VALUE"""),"24163")</f>
        <v>24163</v>
      </c>
      <c r="B1646" s="3" t="str">
        <f>IFERROR(__xludf.DUMMYFUNCTION("""COMPUTED_VALUE"""),"น.ส.ตัสลีมะห์ เหล็บ")</f>
        <v>น.ส.ตัสลีมะห์ เหล็บ</v>
      </c>
      <c r="C1646" s="3" t="str">
        <f>IFERROR(__xludf.DUMMYFUNCTION("""COMPUTED_VALUE"""),"ม.4/9")</f>
        <v>ม.4/9</v>
      </c>
      <c r="D1646" s="3" t="str">
        <f>IFERROR(__xludf.DUMMYFUNCTION("""COMPUTED_VALUE"""),"อก.3/15")</f>
        <v>อก.3/15</v>
      </c>
      <c r="E1646" s="2" t="str">
        <f>IFERROR(__xludf.DUMMYFUNCTION("""COMPUTED_VALUE"""),"หญิง")</f>
        <v>หญิง</v>
      </c>
      <c r="F1646" s="5" t="str">
        <f>IFERROR(__xludf.DUMMYFUNCTION("""COMPUTED_VALUE"""),"https://azizstan.net/student_image/24163.jpg")</f>
        <v>https://azizstan.net/student_image/24163.jpg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>
      <c r="A1647" s="3" t="str">
        <f>IFERROR(__xludf.DUMMYFUNCTION("""COMPUTED_VALUE"""),"24193")</f>
        <v>24193</v>
      </c>
      <c r="B1647" s="3" t="str">
        <f>IFERROR(__xludf.DUMMYFUNCTION("""COMPUTED_VALUE"""),"น.ส.อัสมี มะเละ")</f>
        <v>น.ส.อัสมี มะเละ</v>
      </c>
      <c r="C1647" s="3" t="str">
        <f>IFERROR(__xludf.DUMMYFUNCTION("""COMPUTED_VALUE"""),"ม.4/9")</f>
        <v>ม.4/9</v>
      </c>
      <c r="D1647" s="3" t="str">
        <f>IFERROR(__xludf.DUMMYFUNCTION("""COMPUTED_VALUE"""),"อก.3/15")</f>
        <v>อก.3/15</v>
      </c>
      <c r="E1647" s="2" t="str">
        <f>IFERROR(__xludf.DUMMYFUNCTION("""COMPUTED_VALUE"""),"หญิง")</f>
        <v>หญิง</v>
      </c>
      <c r="F1647" s="5" t="str">
        <f>IFERROR(__xludf.DUMMYFUNCTION("""COMPUTED_VALUE"""),"https://azizstan.net/student_image/24193.jpg")</f>
        <v>https://azizstan.net/student_image/24193.jpg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>
      <c r="A1648" s="3" t="str">
        <f>IFERROR(__xludf.DUMMYFUNCTION("""COMPUTED_VALUE"""),"24231")</f>
        <v>24231</v>
      </c>
      <c r="B1648" s="3" t="str">
        <f>IFERROR(__xludf.DUMMYFUNCTION("""COMPUTED_VALUE"""),"น.ส.ฟาฏอนียะห์ ปอสา")</f>
        <v>น.ส.ฟาฏอนียะห์ ปอสา</v>
      </c>
      <c r="C1648" s="3" t="str">
        <f>IFERROR(__xludf.DUMMYFUNCTION("""COMPUTED_VALUE"""),"ม.4/9")</f>
        <v>ม.4/9</v>
      </c>
      <c r="D1648" s="3" t="str">
        <f>IFERROR(__xludf.DUMMYFUNCTION("""COMPUTED_VALUE"""),"อก.3/15")</f>
        <v>อก.3/15</v>
      </c>
      <c r="E1648" s="2" t="str">
        <f>IFERROR(__xludf.DUMMYFUNCTION("""COMPUTED_VALUE"""),"หญิง")</f>
        <v>หญิง</v>
      </c>
      <c r="F1648" s="5" t="str">
        <f>IFERROR(__xludf.DUMMYFUNCTION("""COMPUTED_VALUE"""),"https://azizstan.net/student_image/24231.jpg")</f>
        <v>https://azizstan.net/student_image/24231.jpg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>
      <c r="A1649" s="3" t="str">
        <f>IFERROR(__xludf.DUMMYFUNCTION("""COMPUTED_VALUE"""),"24243")</f>
        <v>24243</v>
      </c>
      <c r="B1649" s="3" t="str">
        <f>IFERROR(__xludf.DUMMYFUNCTION("""COMPUTED_VALUE"""),"น.ส.นูรอัยริณ สะแม")</f>
        <v>น.ส.นูรอัยริณ สะแม</v>
      </c>
      <c r="C1649" s="3" t="str">
        <f>IFERROR(__xludf.DUMMYFUNCTION("""COMPUTED_VALUE"""),"ม.4/9")</f>
        <v>ม.4/9</v>
      </c>
      <c r="D1649" s="3" t="str">
        <f>IFERROR(__xludf.DUMMYFUNCTION("""COMPUTED_VALUE"""),"อก.3/15")</f>
        <v>อก.3/15</v>
      </c>
      <c r="E1649" s="2" t="str">
        <f>IFERROR(__xludf.DUMMYFUNCTION("""COMPUTED_VALUE"""),"หญิง")</f>
        <v>หญิง</v>
      </c>
      <c r="F1649" s="5" t="str">
        <f>IFERROR(__xludf.DUMMYFUNCTION("""COMPUTED_VALUE"""),"https://azizstan.net/student_image/24243.jpg")</f>
        <v>https://azizstan.net/student_image/24243.jpg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>
      <c r="A1650" s="3" t="str">
        <f>IFERROR(__xludf.DUMMYFUNCTION("""COMPUTED_VALUE"""),"24299")</f>
        <v>24299</v>
      </c>
      <c r="B1650" s="3" t="str">
        <f>IFERROR(__xludf.DUMMYFUNCTION("""COMPUTED_VALUE"""),"น.ส.นุรอินตีนา สะมะแอ")</f>
        <v>น.ส.นุรอินตีนา สะมะแอ</v>
      </c>
      <c r="C1650" s="3" t="str">
        <f>IFERROR(__xludf.DUMMYFUNCTION("""COMPUTED_VALUE"""),"ม.4/9")</f>
        <v>ม.4/9</v>
      </c>
      <c r="D1650" s="3" t="str">
        <f>IFERROR(__xludf.DUMMYFUNCTION("""COMPUTED_VALUE"""),"อก.3/15")</f>
        <v>อก.3/15</v>
      </c>
      <c r="E1650" s="2" t="str">
        <f>IFERROR(__xludf.DUMMYFUNCTION("""COMPUTED_VALUE"""),"หญิง")</f>
        <v>หญิง</v>
      </c>
      <c r="F1650" s="5" t="str">
        <f>IFERROR(__xludf.DUMMYFUNCTION("""COMPUTED_VALUE"""),"https://azizstan.net/student_image/24299.jpg")</f>
        <v>https://azizstan.net/student_image/24299.jpg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>
      <c r="A1651" s="3" t="str">
        <f>IFERROR(__xludf.DUMMYFUNCTION("""COMPUTED_VALUE"""),"24311")</f>
        <v>24311</v>
      </c>
      <c r="B1651" s="3" t="str">
        <f>IFERROR(__xludf.DUMMYFUNCTION("""COMPUTED_VALUE"""),"น.ส.ตัศนิม เขียวเล")</f>
        <v>น.ส.ตัศนิม เขียวเล</v>
      </c>
      <c r="C1651" s="3" t="str">
        <f>IFERROR(__xludf.DUMMYFUNCTION("""COMPUTED_VALUE"""),"ม.4/9")</f>
        <v>ม.4/9</v>
      </c>
      <c r="D1651" s="3" t="str">
        <f>IFERROR(__xludf.DUMMYFUNCTION("""COMPUTED_VALUE"""),"อก.3/13")</f>
        <v>อก.3/13</v>
      </c>
      <c r="E1651" s="2" t="str">
        <f>IFERROR(__xludf.DUMMYFUNCTION("""COMPUTED_VALUE"""),"หญิง")</f>
        <v>หญิง</v>
      </c>
      <c r="F1651" s="5" t="str">
        <f>IFERROR(__xludf.DUMMYFUNCTION("""COMPUTED_VALUE"""),"https://azizstan.net/student_image/24311.jpg")</f>
        <v>https://azizstan.net/student_image/24311.jpg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>
      <c r="A1652" s="3" t="str">
        <f>IFERROR(__xludf.DUMMYFUNCTION("""COMPUTED_VALUE"""),"24320")</f>
        <v>24320</v>
      </c>
      <c r="B1652" s="3" t="str">
        <f>IFERROR(__xludf.DUMMYFUNCTION("""COMPUTED_VALUE"""),"น.ส.นุรอัยนี อิปะมะแอน")</f>
        <v>น.ส.นุรอัยนี อิปะมะแอน</v>
      </c>
      <c r="C1652" s="3" t="str">
        <f>IFERROR(__xludf.DUMMYFUNCTION("""COMPUTED_VALUE"""),"ม.4/9")</f>
        <v>ม.4/9</v>
      </c>
      <c r="D1652" s="3" t="str">
        <f>IFERROR(__xludf.DUMMYFUNCTION("""COMPUTED_VALUE"""),"อก.3/15")</f>
        <v>อก.3/15</v>
      </c>
      <c r="E1652" s="2" t="str">
        <f>IFERROR(__xludf.DUMMYFUNCTION("""COMPUTED_VALUE"""),"หญิง")</f>
        <v>หญิง</v>
      </c>
      <c r="F1652" s="5" t="str">
        <f>IFERROR(__xludf.DUMMYFUNCTION("""COMPUTED_VALUE"""),"https://azizstan.net/student_image/24320.jpg")</f>
        <v>https://azizstan.net/student_image/24320.jpg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>
      <c r="A1653" s="3" t="str">
        <f>IFERROR(__xludf.DUMMYFUNCTION("""COMPUTED_VALUE"""),"24328")</f>
        <v>24328</v>
      </c>
      <c r="B1653" s="3" t="str">
        <f>IFERROR(__xludf.DUMMYFUNCTION("""COMPUTED_VALUE"""),"น.ส.ดานิช บุญสนิท")</f>
        <v>น.ส.ดานิช บุญสนิท</v>
      </c>
      <c r="C1653" s="3" t="str">
        <f>IFERROR(__xludf.DUMMYFUNCTION("""COMPUTED_VALUE"""),"ม.4/9")</f>
        <v>ม.4/9</v>
      </c>
      <c r="D1653" s="3" t="str">
        <f>IFERROR(__xludf.DUMMYFUNCTION("""COMPUTED_VALUE"""),"อก.3/15")</f>
        <v>อก.3/15</v>
      </c>
      <c r="E1653" s="2" t="str">
        <f>IFERROR(__xludf.DUMMYFUNCTION("""COMPUTED_VALUE"""),"หญิง")</f>
        <v>หญิง</v>
      </c>
      <c r="F1653" s="5" t="str">
        <f>IFERROR(__xludf.DUMMYFUNCTION("""COMPUTED_VALUE"""),"https://azizstan.net/student_image/24328.jpg")</f>
        <v>https://azizstan.net/student_image/24328.jpg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>
      <c r="A1654" s="3" t="str">
        <f>IFERROR(__xludf.DUMMYFUNCTION("""COMPUTED_VALUE"""),"24332")</f>
        <v>24332</v>
      </c>
      <c r="B1654" s="3" t="str">
        <f>IFERROR(__xludf.DUMMYFUNCTION("""COMPUTED_VALUE"""),"น.ส.อิลญานา สาและ")</f>
        <v>น.ส.อิลญานา สาและ</v>
      </c>
      <c r="C1654" s="3" t="str">
        <f>IFERROR(__xludf.DUMMYFUNCTION("""COMPUTED_VALUE"""),"ม.4/9")</f>
        <v>ม.4/9</v>
      </c>
      <c r="D1654" s="3" t="str">
        <f>IFERROR(__xludf.DUMMYFUNCTION("""COMPUTED_VALUE"""),"อก.3/15")</f>
        <v>อก.3/15</v>
      </c>
      <c r="E1654" s="2" t="str">
        <f>IFERROR(__xludf.DUMMYFUNCTION("""COMPUTED_VALUE"""),"หญิง")</f>
        <v>หญิง</v>
      </c>
      <c r="F1654" s="5" t="str">
        <f>IFERROR(__xludf.DUMMYFUNCTION("""COMPUTED_VALUE"""),"https://azizstan.net/student_image/24332.jpg")</f>
        <v>https://azizstan.net/student_image/24332.jpg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>
      <c r="A1655" s="3" t="str">
        <f>IFERROR(__xludf.DUMMYFUNCTION("""COMPUTED_VALUE"""),"24418")</f>
        <v>24418</v>
      </c>
      <c r="B1655" s="3" t="str">
        <f>IFERROR(__xludf.DUMMYFUNCTION("""COMPUTED_VALUE"""),"น.ส.วีอาม ลาเต๊ะ")</f>
        <v>น.ส.วีอาม ลาเต๊ะ</v>
      </c>
      <c r="C1655" s="3" t="str">
        <f>IFERROR(__xludf.DUMMYFUNCTION("""COMPUTED_VALUE"""),"ม.4/9")</f>
        <v>ม.4/9</v>
      </c>
      <c r="D1655" s="3" t="str">
        <f>IFERROR(__xludf.DUMMYFUNCTION("""COMPUTED_VALUE"""),"อก.3/15")</f>
        <v>อก.3/15</v>
      </c>
      <c r="E1655" s="2" t="str">
        <f>IFERROR(__xludf.DUMMYFUNCTION("""COMPUTED_VALUE"""),"หญิง")</f>
        <v>หญิง</v>
      </c>
      <c r="F1655" s="5" t="str">
        <f>IFERROR(__xludf.DUMMYFUNCTION("""COMPUTED_VALUE"""),"https://azizstan.net/student_image/24418.jpg")</f>
        <v>https://azizstan.net/student_image/24418.jpg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>
      <c r="A1656" s="3" t="str">
        <f>IFERROR(__xludf.DUMMYFUNCTION("""COMPUTED_VALUE"""),"24471")</f>
        <v>24471</v>
      </c>
      <c r="B1656" s="3" t="str">
        <f>IFERROR(__xludf.DUMMYFUNCTION("""COMPUTED_VALUE"""),"น.ส.มารีญาณี เมาะอะ")</f>
        <v>น.ส.มารีญาณี เมาะอะ</v>
      </c>
      <c r="C1656" s="3" t="str">
        <f>IFERROR(__xludf.DUMMYFUNCTION("""COMPUTED_VALUE"""),"ม.4/9")</f>
        <v>ม.4/9</v>
      </c>
      <c r="D1656" s="3" t="str">
        <f>IFERROR(__xludf.DUMMYFUNCTION("""COMPUTED_VALUE"""),"อก.3/15")</f>
        <v>อก.3/15</v>
      </c>
      <c r="E1656" s="2" t="str">
        <f>IFERROR(__xludf.DUMMYFUNCTION("""COMPUTED_VALUE"""),"หญิง")</f>
        <v>หญิง</v>
      </c>
      <c r="F1656" s="5" t="str">
        <f>IFERROR(__xludf.DUMMYFUNCTION("""COMPUTED_VALUE"""),"https://azizstan.net/student_image/24471.jpg")</f>
        <v>https://azizstan.net/student_image/24471.jpg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>
      <c r="A1657" s="3" t="str">
        <f>IFERROR(__xludf.DUMMYFUNCTION("""COMPUTED_VALUE"""),"24485")</f>
        <v>24485</v>
      </c>
      <c r="B1657" s="3" t="str">
        <f>IFERROR(__xludf.DUMMYFUNCTION("""COMPUTED_VALUE"""),"น.ส.กัสมีรีย์ ยุโซะ")</f>
        <v>น.ส.กัสมีรีย์ ยุโซะ</v>
      </c>
      <c r="C1657" s="3" t="str">
        <f>IFERROR(__xludf.DUMMYFUNCTION("""COMPUTED_VALUE"""),"ม.4/9")</f>
        <v>ม.4/9</v>
      </c>
      <c r="D1657" s="3" t="str">
        <f>IFERROR(__xludf.DUMMYFUNCTION("""COMPUTED_VALUE"""),"อก.3/9")</f>
        <v>อก.3/9</v>
      </c>
      <c r="E1657" s="2" t="str">
        <f>IFERROR(__xludf.DUMMYFUNCTION("""COMPUTED_VALUE"""),"หญิง")</f>
        <v>หญิง</v>
      </c>
      <c r="F1657" s="5" t="str">
        <f>IFERROR(__xludf.DUMMYFUNCTION("""COMPUTED_VALUE"""),"https://azizstan.net/student_image/24485.jpg")</f>
        <v>https://azizstan.net/student_image/24485.jpg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>
      <c r="A1658" s="3" t="str">
        <f>IFERROR(__xludf.DUMMYFUNCTION("""COMPUTED_VALUE"""),"24496")</f>
        <v>24496</v>
      </c>
      <c r="B1658" s="3" t="str">
        <f>IFERROR(__xludf.DUMMYFUNCTION("""COMPUTED_VALUE"""),"น.ส.ซาฟียะห์ เจะแต")</f>
        <v>น.ส.ซาฟียะห์ เจะแต</v>
      </c>
      <c r="C1658" s="3" t="str">
        <f>IFERROR(__xludf.DUMMYFUNCTION("""COMPUTED_VALUE"""),"ม.4/9")</f>
        <v>ม.4/9</v>
      </c>
      <c r="D1658" s="3" t="str">
        <f>IFERROR(__xludf.DUMMYFUNCTION("""COMPUTED_VALUE"""),"อก.3/13")</f>
        <v>อก.3/13</v>
      </c>
      <c r="E1658" s="2" t="str">
        <f>IFERROR(__xludf.DUMMYFUNCTION("""COMPUTED_VALUE"""),"หญิง")</f>
        <v>หญิง</v>
      </c>
      <c r="F1658" s="5" t="str">
        <f>IFERROR(__xludf.DUMMYFUNCTION("""COMPUTED_VALUE"""),"https://azizstan.net/student_image/24496.jpg")</f>
        <v>https://azizstan.net/student_image/24496.jpg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>
      <c r="A1659" s="3" t="str">
        <f>IFERROR(__xludf.DUMMYFUNCTION("""COMPUTED_VALUE"""),"24509")</f>
        <v>24509</v>
      </c>
      <c r="B1659" s="3" t="str">
        <f>IFERROR(__xludf.DUMMYFUNCTION("""COMPUTED_VALUE"""),"น.ส.นุรฟาดีลา ดาโอ๊ะมุสอ")</f>
        <v>น.ส.นุรฟาดีลา ดาโอ๊ะมุสอ</v>
      </c>
      <c r="C1659" s="3" t="str">
        <f>IFERROR(__xludf.DUMMYFUNCTION("""COMPUTED_VALUE"""),"ม.4/9")</f>
        <v>ม.4/9</v>
      </c>
      <c r="D1659" s="3" t="str">
        <f>IFERROR(__xludf.DUMMYFUNCTION("""COMPUTED_VALUE"""),"อก.3/15")</f>
        <v>อก.3/15</v>
      </c>
      <c r="E1659" s="2" t="str">
        <f>IFERROR(__xludf.DUMMYFUNCTION("""COMPUTED_VALUE"""),"หญิง")</f>
        <v>หญิง</v>
      </c>
      <c r="F1659" s="5" t="str">
        <f>IFERROR(__xludf.DUMMYFUNCTION("""COMPUTED_VALUE"""),"https://azizstan.net/student_image/24509.jpg")</f>
        <v>https://azizstan.net/student_image/24509.jpg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>
      <c r="A1660" s="3" t="str">
        <f>IFERROR(__xludf.DUMMYFUNCTION("""COMPUTED_VALUE"""),"24523")</f>
        <v>24523</v>
      </c>
      <c r="B1660" s="3" t="str">
        <f>IFERROR(__xludf.DUMMYFUNCTION("""COMPUTED_VALUE"""),"น.ส.นูรูลนีซา มะลี")</f>
        <v>น.ส.นูรูลนีซา มะลี</v>
      </c>
      <c r="C1660" s="3" t="str">
        <f>IFERROR(__xludf.DUMMYFUNCTION("""COMPUTED_VALUE"""),"ม.4/9")</f>
        <v>ม.4/9</v>
      </c>
      <c r="D1660" s="3" t="str">
        <f>IFERROR(__xludf.DUMMYFUNCTION("""COMPUTED_VALUE"""),"อก.3/9")</f>
        <v>อก.3/9</v>
      </c>
      <c r="E1660" s="2" t="str">
        <f>IFERROR(__xludf.DUMMYFUNCTION("""COMPUTED_VALUE"""),"หญิง")</f>
        <v>หญิง</v>
      </c>
      <c r="F1660" s="5" t="str">
        <f>IFERROR(__xludf.DUMMYFUNCTION("""COMPUTED_VALUE"""),"https://azizstan.net/student_image/24523.jpg")</f>
        <v>https://azizstan.net/student_image/24523.jpg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>
      <c r="A1661" s="3" t="str">
        <f>IFERROR(__xludf.DUMMYFUNCTION("""COMPUTED_VALUE"""),"24555")</f>
        <v>24555</v>
      </c>
      <c r="B1661" s="3" t="str">
        <f>IFERROR(__xludf.DUMMYFUNCTION("""COMPUTED_VALUE"""),"น.ส.นาตีเกาะห์ ยะซิง")</f>
        <v>น.ส.นาตีเกาะห์ ยะซิง</v>
      </c>
      <c r="C1661" s="3" t="str">
        <f>IFERROR(__xludf.DUMMYFUNCTION("""COMPUTED_VALUE"""),"ม.4/9")</f>
        <v>ม.4/9</v>
      </c>
      <c r="D1661" s="3" t="str">
        <f>IFERROR(__xludf.DUMMYFUNCTION("""COMPUTED_VALUE"""),"อก.3/15")</f>
        <v>อก.3/15</v>
      </c>
      <c r="E1661" s="2" t="str">
        <f>IFERROR(__xludf.DUMMYFUNCTION("""COMPUTED_VALUE"""),"หญิง")</f>
        <v>หญิง</v>
      </c>
      <c r="F1661" s="5" t="str">
        <f>IFERROR(__xludf.DUMMYFUNCTION("""COMPUTED_VALUE"""),"https://azizstan.net/student_image/24555.jpg")</f>
        <v>https://azizstan.net/student_image/24555.jpg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>
      <c r="A1662" s="3" t="str">
        <f>IFERROR(__xludf.DUMMYFUNCTION("""COMPUTED_VALUE"""),"25311")</f>
        <v>25311</v>
      </c>
      <c r="B1662" s="3" t="str">
        <f>IFERROR(__xludf.DUMMYFUNCTION("""COMPUTED_VALUE"""),"น.ส.นาซูฮา ดอเลาะ")</f>
        <v>น.ส.นาซูฮา ดอเลาะ</v>
      </c>
      <c r="C1662" s="3" t="str">
        <f>IFERROR(__xludf.DUMMYFUNCTION("""COMPUTED_VALUE"""),"ม.4/9")</f>
        <v>ม.4/9</v>
      </c>
      <c r="D1662" s="3" t="str">
        <f>IFERROR(__xludf.DUMMYFUNCTION("""COMPUTED_VALUE"""),"อก.3/13")</f>
        <v>อก.3/13</v>
      </c>
      <c r="E1662" s="2" t="str">
        <f>IFERROR(__xludf.DUMMYFUNCTION("""COMPUTED_VALUE"""),"หญิง")</f>
        <v>หญิง</v>
      </c>
      <c r="F1662" s="5" t="str">
        <f>IFERROR(__xludf.DUMMYFUNCTION("""COMPUTED_VALUE"""),"https://azizstan.net/student_image/25311.jpg")</f>
        <v>https://azizstan.net/student_image/25311.jpg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>
      <c r="A1663" s="3" t="str">
        <f>IFERROR(__xludf.DUMMYFUNCTION("""COMPUTED_VALUE"""),"26109")</f>
        <v>26109</v>
      </c>
      <c r="B1663" s="3" t="str">
        <f>IFERROR(__xludf.DUMMYFUNCTION("""COMPUTED_VALUE"""),"น.ส.ตัซนีม มุสอ")</f>
        <v>น.ส.ตัซนีม มุสอ</v>
      </c>
      <c r="C1663" s="3" t="str">
        <f>IFERROR(__xludf.DUMMYFUNCTION("""COMPUTED_VALUE"""),"ม.4/9")</f>
        <v>ม.4/9</v>
      </c>
      <c r="D1663" s="3" t="str">
        <f>IFERROR(__xludf.DUMMYFUNCTION("""COMPUTED_VALUE"""),"อป.1/3")</f>
        <v>อป.1/3</v>
      </c>
      <c r="E1663" s="2" t="str">
        <f>IFERROR(__xludf.DUMMYFUNCTION("""COMPUTED_VALUE"""),"หญิง")</f>
        <v>หญิง</v>
      </c>
      <c r="F1663" s="5" t="str">
        <f>IFERROR(__xludf.DUMMYFUNCTION("""COMPUTED_VALUE"""),"https://azizstan.net/student_image/26109.jpg")</f>
        <v>https://azizstan.net/student_image/26109.jpg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>
      <c r="A1664" s="3" t="str">
        <f>IFERROR(__xludf.DUMMYFUNCTION("""COMPUTED_VALUE"""),"26307")</f>
        <v>26307</v>
      </c>
      <c r="B1664" s="3" t="str">
        <f>IFERROR(__xludf.DUMMYFUNCTION("""COMPUTED_VALUE"""),"น.ส.บัณฑิตา หมีนเส็น")</f>
        <v>น.ส.บัณฑิตา หมีนเส็น</v>
      </c>
      <c r="C1664" s="3" t="str">
        <f>IFERROR(__xludf.DUMMYFUNCTION("""COMPUTED_VALUE"""),"ม.4/9")</f>
        <v>ม.4/9</v>
      </c>
      <c r="D1664" s="3" t="str">
        <f>IFERROR(__xludf.DUMMYFUNCTION("""COMPUTED_VALUE"""),"อป.1/3")</f>
        <v>อป.1/3</v>
      </c>
      <c r="E1664" s="2" t="str">
        <f>IFERROR(__xludf.DUMMYFUNCTION("""COMPUTED_VALUE"""),"หญิง")</f>
        <v>หญิง</v>
      </c>
      <c r="F1664" s="5" t="str">
        <f>IFERROR(__xludf.DUMMYFUNCTION("""COMPUTED_VALUE"""),"https://azizstan.net/student_image/26307.jpg")</f>
        <v>https://azizstan.net/student_image/26307.jpg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>
      <c r="A1665" s="3" t="str">
        <f>IFERROR(__xludf.DUMMYFUNCTION("""COMPUTED_VALUE"""),"26347")</f>
        <v>26347</v>
      </c>
      <c r="B1665" s="3" t="str">
        <f>IFERROR(__xludf.DUMMYFUNCTION("""COMPUTED_VALUE"""),"น.ส.นุฟาตีมี หะมิดง")</f>
        <v>น.ส.นุฟาตีมี หะมิดง</v>
      </c>
      <c r="C1665" s="3" t="str">
        <f>IFERROR(__xludf.DUMMYFUNCTION("""COMPUTED_VALUE"""),"ม.4/9")</f>
        <v>ม.4/9</v>
      </c>
      <c r="D1665" s="3" t="str">
        <f>IFERROR(__xludf.DUMMYFUNCTION("""COMPUTED_VALUE"""),"อก.3/13")</f>
        <v>อก.3/13</v>
      </c>
      <c r="E1665" s="2" t="str">
        <f>IFERROR(__xludf.DUMMYFUNCTION("""COMPUTED_VALUE"""),"หญิง")</f>
        <v>หญิง</v>
      </c>
      <c r="F1665" s="5" t="str">
        <f>IFERROR(__xludf.DUMMYFUNCTION("""COMPUTED_VALUE"""),"https://azizstan.net/student_image/26347.jpg")</f>
        <v>https://azizstan.net/student_image/26347.jpg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>
      <c r="A1666" s="3" t="str">
        <f>IFERROR(__xludf.DUMMYFUNCTION("""COMPUTED_VALUE"""),"26350")</f>
        <v>26350</v>
      </c>
      <c r="B1666" s="3" t="str">
        <f>IFERROR(__xludf.DUMMYFUNCTION("""COMPUTED_VALUE"""),"น.ส.นุสนานี หมัดหยัน")</f>
        <v>น.ส.นุสนานี หมัดหยัน</v>
      </c>
      <c r="C1666" s="3" t="str">
        <f>IFERROR(__xludf.DUMMYFUNCTION("""COMPUTED_VALUE"""),"ม.4/9")</f>
        <v>ม.4/9</v>
      </c>
      <c r="D1666" s="3" t="str">
        <f>IFERROR(__xludf.DUMMYFUNCTION("""COMPUTED_VALUE"""),"อป.1/3")</f>
        <v>อป.1/3</v>
      </c>
      <c r="E1666" s="2" t="str">
        <f>IFERROR(__xludf.DUMMYFUNCTION("""COMPUTED_VALUE"""),"หญิง")</f>
        <v>หญิง</v>
      </c>
      <c r="F1666" s="5" t="str">
        <f>IFERROR(__xludf.DUMMYFUNCTION("""COMPUTED_VALUE"""),"https://azizstan.net/student_image/26350.jpg")</f>
        <v>https://azizstan.net/student_image/26350.jpg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>
      <c r="A1667" s="3" t="str">
        <f>IFERROR(__xludf.DUMMYFUNCTION("""COMPUTED_VALUE"""),"26396")</f>
        <v>26396</v>
      </c>
      <c r="B1667" s="3" t="str">
        <f>IFERROR(__xludf.DUMMYFUNCTION("""COMPUTED_VALUE"""),"น.ส.นิฟาระห์ วายีเกา")</f>
        <v>น.ส.นิฟาระห์ วายีเกา</v>
      </c>
      <c r="C1667" s="3" t="str">
        <f>IFERROR(__xludf.DUMMYFUNCTION("""COMPUTED_VALUE"""),"ม.4/9")</f>
        <v>ม.4/9</v>
      </c>
      <c r="D1667" s="3" t="str">
        <f>IFERROR(__xludf.DUMMYFUNCTION("""COMPUTED_VALUE"""),"อป.1/3")</f>
        <v>อป.1/3</v>
      </c>
      <c r="E1667" s="2" t="str">
        <f>IFERROR(__xludf.DUMMYFUNCTION("""COMPUTED_VALUE"""),"หญิง")</f>
        <v>หญิง</v>
      </c>
      <c r="F1667" s="5" t="str">
        <f>IFERROR(__xludf.DUMMYFUNCTION("""COMPUTED_VALUE"""),"https://azizstan.net/student_image/26396.jpg")</f>
        <v>https://azizstan.net/student_image/26396.jpg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>
      <c r="A1668" s="3" t="str">
        <f>IFERROR(__xludf.DUMMYFUNCTION("""COMPUTED_VALUE"""),"26442")</f>
        <v>26442</v>
      </c>
      <c r="B1668" s="3" t="str">
        <f>IFERROR(__xludf.DUMMYFUNCTION("""COMPUTED_VALUE"""),"น.ส.ฟิรดาวซ์ ลีบอ")</f>
        <v>น.ส.ฟิรดาวซ์ ลีบอ</v>
      </c>
      <c r="C1668" s="3" t="str">
        <f>IFERROR(__xludf.DUMMYFUNCTION("""COMPUTED_VALUE"""),"ม.4/9")</f>
        <v>ม.4/9</v>
      </c>
      <c r="D1668" s="3" t="str">
        <f>IFERROR(__xludf.DUMMYFUNCTION("""COMPUTED_VALUE"""),"อก.2/13")</f>
        <v>อก.2/13</v>
      </c>
      <c r="E1668" s="2" t="str">
        <f>IFERROR(__xludf.DUMMYFUNCTION("""COMPUTED_VALUE"""),"หญิง")</f>
        <v>หญิง</v>
      </c>
      <c r="F1668" s="5" t="str">
        <f>IFERROR(__xludf.DUMMYFUNCTION("""COMPUTED_VALUE"""),"https://azizstan.net/student_image/26442.jpg")</f>
        <v>https://azizstan.net/student_image/26442.jpg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>
      <c r="A1669" s="3" t="str">
        <f>IFERROR(__xludf.DUMMYFUNCTION("""COMPUTED_VALUE"""),"26516")</f>
        <v>26516</v>
      </c>
      <c r="B1669" s="3" t="str">
        <f>IFERROR(__xludf.DUMMYFUNCTION("""COMPUTED_VALUE"""),"น.ส.ตัสนีม ใจมันดี")</f>
        <v>น.ส.ตัสนีม ใจมันดี</v>
      </c>
      <c r="C1669" s="3" t="str">
        <f>IFERROR(__xludf.DUMMYFUNCTION("""COMPUTED_VALUE"""),"ม.4/9")</f>
        <v>ม.4/9</v>
      </c>
      <c r="D1669" s="3" t="str">
        <f>IFERROR(__xludf.DUMMYFUNCTION("""COMPUTED_VALUE"""),"อก.3/13")</f>
        <v>อก.3/13</v>
      </c>
      <c r="E1669" s="2" t="str">
        <f>IFERROR(__xludf.DUMMYFUNCTION("""COMPUTED_VALUE"""),"หญิง")</f>
        <v>หญิง</v>
      </c>
      <c r="F1669" s="5" t="str">
        <f>IFERROR(__xludf.DUMMYFUNCTION("""COMPUTED_VALUE"""),"https://azizstan.net/student_image/26516.jpg")</f>
        <v>https://azizstan.net/student_image/26516.jpg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>
      <c r="A1670" s="3" t="str">
        <f>IFERROR(__xludf.DUMMYFUNCTION("""COMPUTED_VALUE"""),"26572")</f>
        <v>26572</v>
      </c>
      <c r="B1670" s="3" t="str">
        <f>IFERROR(__xludf.DUMMYFUNCTION("""COMPUTED_VALUE"""),"น.ส.มุมีนี มะเย็ง")</f>
        <v>น.ส.มุมีนี มะเย็ง</v>
      </c>
      <c r="C1670" s="3" t="str">
        <f>IFERROR(__xludf.DUMMYFUNCTION("""COMPUTED_VALUE"""),"ม.4/9")</f>
        <v>ม.4/9</v>
      </c>
      <c r="D1670" s="3" t="str">
        <f>IFERROR(__xludf.DUMMYFUNCTION("""COMPUTED_VALUE"""),"อป.1/3")</f>
        <v>อป.1/3</v>
      </c>
      <c r="E1670" s="2" t="str">
        <f>IFERROR(__xludf.DUMMYFUNCTION("""COMPUTED_VALUE"""),"หญิง")</f>
        <v>หญิง</v>
      </c>
      <c r="F1670" s="5" t="str">
        <f>IFERROR(__xludf.DUMMYFUNCTION("""COMPUTED_VALUE"""),"https://azizstan.net/student_image/26572.jpg")</f>
        <v>https://azizstan.net/student_image/26572.jpg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>
      <c r="A1671" s="3" t="str">
        <f>IFERROR(__xludf.DUMMYFUNCTION("""COMPUTED_VALUE"""),"26578")</f>
        <v>26578</v>
      </c>
      <c r="B1671" s="3" t="str">
        <f>IFERROR(__xludf.DUMMYFUNCTION("""COMPUTED_VALUE"""),"น.ส.วาสนา กอรอมอ")</f>
        <v>น.ส.วาสนา กอรอมอ</v>
      </c>
      <c r="C1671" s="3" t="str">
        <f>IFERROR(__xludf.DUMMYFUNCTION("""COMPUTED_VALUE"""),"ม.4/9")</f>
        <v>ม.4/9</v>
      </c>
      <c r="D1671" s="3" t="str">
        <f>IFERROR(__xludf.DUMMYFUNCTION("""COMPUTED_VALUE"""),"อก.3/15")</f>
        <v>อก.3/15</v>
      </c>
      <c r="E1671" s="2" t="str">
        <f>IFERROR(__xludf.DUMMYFUNCTION("""COMPUTED_VALUE"""),"หญิง")</f>
        <v>หญิง</v>
      </c>
      <c r="F1671" s="5" t="str">
        <f>IFERROR(__xludf.DUMMYFUNCTION("""COMPUTED_VALUE"""),"https://azizstan.net/student_image/26578.jpg")</f>
        <v>https://azizstan.net/student_image/26578.jpg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>
      <c r="A1672" s="3" t="str">
        <f>IFERROR(__xludf.DUMMYFUNCTION("""COMPUTED_VALUE"""),"26583")</f>
        <v>26583</v>
      </c>
      <c r="B1672" s="3" t="str">
        <f>IFERROR(__xludf.DUMMYFUNCTION("""COMPUTED_VALUE"""),"น.ส.รุ่งนภา ดอเล๊าะ")</f>
        <v>น.ส.รุ่งนภา ดอเล๊าะ</v>
      </c>
      <c r="C1672" s="3" t="str">
        <f>IFERROR(__xludf.DUMMYFUNCTION("""COMPUTED_VALUE"""),"ม.4/9")</f>
        <v>ม.4/9</v>
      </c>
      <c r="D1672" s="3" t="str">
        <f>IFERROR(__xludf.DUMMYFUNCTION("""COMPUTED_VALUE"""),"อก.2/13")</f>
        <v>อก.2/13</v>
      </c>
      <c r="E1672" s="2" t="str">
        <f>IFERROR(__xludf.DUMMYFUNCTION("""COMPUTED_VALUE"""),"หญิง")</f>
        <v>หญิง</v>
      </c>
      <c r="F1672" s="5" t="str">
        <f>IFERROR(__xludf.DUMMYFUNCTION("""COMPUTED_VALUE"""),"https://azizstan.net/student_image/26583.jpg")</f>
        <v>https://azizstan.net/student_image/26583.jpg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>
      <c r="A1673" s="3" t="str">
        <f>IFERROR(__xludf.DUMMYFUNCTION("""COMPUTED_VALUE"""),"26641")</f>
        <v>26641</v>
      </c>
      <c r="B1673" s="3" t="str">
        <f>IFERROR(__xludf.DUMMYFUNCTION("""COMPUTED_VALUE"""),"น.ส.ตัซนีม กาซอ")</f>
        <v>น.ส.ตัซนีม กาซอ</v>
      </c>
      <c r="C1673" s="3" t="str">
        <f>IFERROR(__xludf.DUMMYFUNCTION("""COMPUTED_VALUE"""),"ม.4/9")</f>
        <v>ม.4/9</v>
      </c>
      <c r="D1673" s="3" t="str">
        <f>IFERROR(__xludf.DUMMYFUNCTION("""COMPUTED_VALUE"""),"อป.1/3")</f>
        <v>อป.1/3</v>
      </c>
      <c r="E1673" s="2" t="str">
        <f>IFERROR(__xludf.DUMMYFUNCTION("""COMPUTED_VALUE"""),"หญิง")</f>
        <v>หญิง</v>
      </c>
      <c r="F1673" s="5" t="str">
        <f>IFERROR(__xludf.DUMMYFUNCTION("""COMPUTED_VALUE"""),"https://azizstan.net/student_image/26641.jpg")</f>
        <v>https://azizstan.net/student_image/26641.jpg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>
      <c r="A1674" s="3" t="str">
        <f>IFERROR(__xludf.DUMMYFUNCTION("""COMPUTED_VALUE"""),"26713")</f>
        <v>26713</v>
      </c>
      <c r="B1674" s="3" t="str">
        <f>IFERROR(__xludf.DUMMYFUNCTION("""COMPUTED_VALUE"""),"น.ส.ซัลวา ยะโก๊ะ")</f>
        <v>น.ส.ซัลวา ยะโก๊ะ</v>
      </c>
      <c r="C1674" s="3" t="str">
        <f>IFERROR(__xludf.DUMMYFUNCTION("""COMPUTED_VALUE"""),"ม.4/9")</f>
        <v>ม.4/9</v>
      </c>
      <c r="D1674" s="3" t="str">
        <f>IFERROR(__xludf.DUMMYFUNCTION("""COMPUTED_VALUE"""),"อก.3/15")</f>
        <v>อก.3/15</v>
      </c>
      <c r="E1674" s="2" t="str">
        <f>IFERROR(__xludf.DUMMYFUNCTION("""COMPUTED_VALUE"""),"หญิง")</f>
        <v>หญิง</v>
      </c>
      <c r="F1674" s="5" t="str">
        <f>IFERROR(__xludf.DUMMYFUNCTION("""COMPUTED_VALUE"""),"https://azizstan.net/student_image/26713.jpg")</f>
        <v>https://azizstan.net/student_image/26713.jpg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>
      <c r="A1675" s="3" t="str">
        <f>IFERROR(__xludf.DUMMYFUNCTION("""COMPUTED_VALUE"""),"26714")</f>
        <v>26714</v>
      </c>
      <c r="B1675" s="3" t="str">
        <f>IFERROR(__xludf.DUMMYFUNCTION("""COMPUTED_VALUE"""),"น.ส.วีอาม มะแซจะแหน")</f>
        <v>น.ส.วีอาม มะแซจะแหน</v>
      </c>
      <c r="C1675" s="3" t="str">
        <f>IFERROR(__xludf.DUMMYFUNCTION("""COMPUTED_VALUE"""),"ม.4/9")</f>
        <v>ม.4/9</v>
      </c>
      <c r="D1675" s="3" t="str">
        <f>IFERROR(__xludf.DUMMYFUNCTION("""COMPUTED_VALUE"""),"อก.3/13")</f>
        <v>อก.3/13</v>
      </c>
      <c r="E1675" s="2" t="str">
        <f>IFERROR(__xludf.DUMMYFUNCTION("""COMPUTED_VALUE"""),"หญิง")</f>
        <v>หญิง</v>
      </c>
      <c r="F1675" s="5" t="str">
        <f>IFERROR(__xludf.DUMMYFUNCTION("""COMPUTED_VALUE"""),"https://azizstan.net/student_image/26714.jpg")</f>
        <v>https://azizstan.net/student_image/26714.jpg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>
      <c r="A1676" s="3" t="str">
        <f>IFERROR(__xludf.DUMMYFUNCTION("""COMPUTED_VALUE"""),"26720")</f>
        <v>26720</v>
      </c>
      <c r="B1676" s="3" t="str">
        <f>IFERROR(__xludf.DUMMYFUNCTION("""COMPUTED_VALUE"""),"น.ส.นูรอาซีกีน มามะเร")</f>
        <v>น.ส.นูรอาซีกีน มามะเร</v>
      </c>
      <c r="C1676" s="3" t="str">
        <f>IFERROR(__xludf.DUMMYFUNCTION("""COMPUTED_VALUE"""),"ม.4/9")</f>
        <v>ม.4/9</v>
      </c>
      <c r="D1676" s="3" t="str">
        <f>IFERROR(__xludf.DUMMYFUNCTION("""COMPUTED_VALUE"""),"อป.1/3")</f>
        <v>อป.1/3</v>
      </c>
      <c r="E1676" s="2" t="str">
        <f>IFERROR(__xludf.DUMMYFUNCTION("""COMPUTED_VALUE"""),"หญิง")</f>
        <v>หญิง</v>
      </c>
      <c r="F1676" s="5" t="str">
        <f>IFERROR(__xludf.DUMMYFUNCTION("""COMPUTED_VALUE"""),"https://azizstan.net/student_image/26720.jpg")</f>
        <v>https://azizstan.net/student_image/26720.jpg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>
      <c r="A1677" s="3" t="str">
        <f>IFERROR(__xludf.DUMMYFUNCTION("""COMPUTED_VALUE"""),"26745")</f>
        <v>26745</v>
      </c>
      <c r="B1677" s="3" t="str">
        <f>IFERROR(__xludf.DUMMYFUNCTION("""COMPUTED_VALUE"""),"น.ส.นุรอาติน ฮะมะ")</f>
        <v>น.ส.นุรอาติน ฮะมะ</v>
      </c>
      <c r="C1677" s="3" t="str">
        <f>IFERROR(__xludf.DUMMYFUNCTION("""COMPUTED_VALUE"""),"ม.4/9")</f>
        <v>ม.4/9</v>
      </c>
      <c r="D1677" s="3" t="str">
        <f>IFERROR(__xludf.DUMMYFUNCTION("""COMPUTED_VALUE"""),"อป.1/3")</f>
        <v>อป.1/3</v>
      </c>
      <c r="E1677" s="2" t="str">
        <f>IFERROR(__xludf.DUMMYFUNCTION("""COMPUTED_VALUE"""),"หญิง")</f>
        <v>หญิง</v>
      </c>
      <c r="F1677" s="5" t="str">
        <f>IFERROR(__xludf.DUMMYFUNCTION("""COMPUTED_VALUE"""),"https://azizstan.net/student_image/26745.jpg")</f>
        <v>https://azizstan.net/student_image/26745.jpg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>
      <c r="A1678" s="3" t="str">
        <f>IFERROR(__xludf.DUMMYFUNCTION("""COMPUTED_VALUE"""),"26772")</f>
        <v>26772</v>
      </c>
      <c r="B1678" s="3" t="str">
        <f>IFERROR(__xludf.DUMMYFUNCTION("""COMPUTED_VALUE"""),"น.ส.นัสซูวีย์ ดือเระ")</f>
        <v>น.ส.นัสซูวีย์ ดือเระ</v>
      </c>
      <c r="C1678" s="3" t="str">
        <f>IFERROR(__xludf.DUMMYFUNCTION("""COMPUTED_VALUE"""),"ม.4/9")</f>
        <v>ม.4/9</v>
      </c>
      <c r="D1678" s="3" t="str">
        <f>IFERROR(__xludf.DUMMYFUNCTION("""COMPUTED_VALUE"""),"อป.1/3")</f>
        <v>อป.1/3</v>
      </c>
      <c r="E1678" s="2" t="str">
        <f>IFERROR(__xludf.DUMMYFUNCTION("""COMPUTED_VALUE"""),"หญิง")</f>
        <v>หญิง</v>
      </c>
      <c r="F1678" s="5" t="str">
        <f>IFERROR(__xludf.DUMMYFUNCTION("""COMPUTED_VALUE"""),"https://azizstan.net/student_image/26772.jpg")</f>
        <v>https://azizstan.net/student_image/26772.jpg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>
      <c r="A1679" s="3" t="str">
        <f>IFERROR(__xludf.DUMMYFUNCTION("""COMPUTED_VALUE"""),"24011")</f>
        <v>24011</v>
      </c>
      <c r="B1679" s="3" t="str">
        <f>IFERROR(__xludf.DUMMYFUNCTION("""COMPUTED_VALUE"""),"น.ส.นูรมี ลือโมะ")</f>
        <v>น.ส.นูรมี ลือโมะ</v>
      </c>
      <c r="C1679" s="3" t="str">
        <f>IFERROR(__xludf.DUMMYFUNCTION("""COMPUTED_VALUE"""),"ม.4/10")</f>
        <v>ม.4/10</v>
      </c>
      <c r="D1679" s="3" t="str">
        <f>IFERROR(__xludf.DUMMYFUNCTION("""COMPUTED_VALUE"""),"อก.3/16")</f>
        <v>อก.3/16</v>
      </c>
      <c r="E1679" s="2" t="str">
        <f>IFERROR(__xludf.DUMMYFUNCTION("""COMPUTED_VALUE"""),"หญิง")</f>
        <v>หญิง</v>
      </c>
      <c r="F1679" s="5" t="str">
        <f>IFERROR(__xludf.DUMMYFUNCTION("""COMPUTED_VALUE"""),"https://azizstan.net/student_image/24011.jpg")</f>
        <v>https://azizstan.net/student_image/24011.jpg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>
      <c r="A1680" s="3" t="str">
        <f>IFERROR(__xludf.DUMMYFUNCTION("""COMPUTED_VALUE"""),"24047")</f>
        <v>24047</v>
      </c>
      <c r="B1680" s="3" t="str">
        <f>IFERROR(__xludf.DUMMYFUNCTION("""COMPUTED_VALUE"""),"น.ส.นิฮาณีฟา ตาเยะ")</f>
        <v>น.ส.นิฮาณีฟา ตาเยะ</v>
      </c>
      <c r="C1680" s="3" t="str">
        <f>IFERROR(__xludf.DUMMYFUNCTION("""COMPUTED_VALUE"""),"ม.4/10")</f>
        <v>ม.4/10</v>
      </c>
      <c r="D1680" s="3" t="str">
        <f>IFERROR(__xludf.DUMMYFUNCTION("""COMPUTED_VALUE"""),"อก.3/14")</f>
        <v>อก.3/14</v>
      </c>
      <c r="E1680" s="2" t="str">
        <f>IFERROR(__xludf.DUMMYFUNCTION("""COMPUTED_VALUE"""),"หญิง")</f>
        <v>หญิง</v>
      </c>
      <c r="F1680" s="5" t="str">
        <f>IFERROR(__xludf.DUMMYFUNCTION("""COMPUTED_VALUE"""),"https://azizstan.net/student_image/24047.jpg")</f>
        <v>https://azizstan.net/student_image/24047.jpg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>
      <c r="A1681" s="3" t="str">
        <f>IFERROR(__xludf.DUMMYFUNCTION("""COMPUTED_VALUE"""),"24069")</f>
        <v>24069</v>
      </c>
      <c r="B1681" s="3" t="str">
        <f>IFERROR(__xludf.DUMMYFUNCTION("""COMPUTED_VALUE"""),"น.ส.นุรฟาติน เล็มเส็น")</f>
        <v>น.ส.นุรฟาติน เล็มเส็น</v>
      </c>
      <c r="C1681" s="3" t="str">
        <f>IFERROR(__xludf.DUMMYFUNCTION("""COMPUTED_VALUE"""),"ม.4/10")</f>
        <v>ม.4/10</v>
      </c>
      <c r="D1681" s="3" t="str">
        <f>IFERROR(__xludf.DUMMYFUNCTION("""COMPUTED_VALUE"""),"อก.3/14")</f>
        <v>อก.3/14</v>
      </c>
      <c r="E1681" s="2" t="str">
        <f>IFERROR(__xludf.DUMMYFUNCTION("""COMPUTED_VALUE"""),"หญิง")</f>
        <v>หญิง</v>
      </c>
      <c r="F1681" s="5" t="str">
        <f>IFERROR(__xludf.DUMMYFUNCTION("""COMPUTED_VALUE"""),"https://azizstan.net/student_image/24069.jpg")</f>
        <v>https://azizstan.net/student_image/24069.jpg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>
      <c r="A1682" s="3" t="str">
        <f>IFERROR(__xludf.DUMMYFUNCTION("""COMPUTED_VALUE"""),"24078")</f>
        <v>24078</v>
      </c>
      <c r="B1682" s="3" t="str">
        <f>IFERROR(__xludf.DUMMYFUNCTION("""COMPUTED_VALUE"""),"น.ส.นูรีมาล มะนอสะ")</f>
        <v>น.ส.นูรีมาล มะนอสะ</v>
      </c>
      <c r="C1682" s="3" t="str">
        <f>IFERROR(__xludf.DUMMYFUNCTION("""COMPUTED_VALUE"""),"ม.4/10")</f>
        <v>ม.4/10</v>
      </c>
      <c r="D1682" s="3" t="str">
        <f>IFERROR(__xludf.DUMMYFUNCTION("""COMPUTED_VALUE"""),"อก.3/14")</f>
        <v>อก.3/14</v>
      </c>
      <c r="E1682" s="2" t="str">
        <f>IFERROR(__xludf.DUMMYFUNCTION("""COMPUTED_VALUE"""),"หญิง")</f>
        <v>หญิง</v>
      </c>
      <c r="F1682" s="5" t="str">
        <f>IFERROR(__xludf.DUMMYFUNCTION("""COMPUTED_VALUE"""),"https://azizstan.net/student_image/24078.jpg")</f>
        <v>https://azizstan.net/student_image/24078.jpg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>
      <c r="A1683" s="3" t="str">
        <f>IFERROR(__xludf.DUMMYFUNCTION("""COMPUTED_VALUE"""),"24085")</f>
        <v>24085</v>
      </c>
      <c r="B1683" s="3" t="str">
        <f>IFERROR(__xludf.DUMMYFUNCTION("""COMPUTED_VALUE"""),"น.ส.รุลนะฎา เส็นสะนา")</f>
        <v>น.ส.รุลนะฎา เส็นสะนา</v>
      </c>
      <c r="C1683" s="3" t="str">
        <f>IFERROR(__xludf.DUMMYFUNCTION("""COMPUTED_VALUE"""),"ม.4/10")</f>
        <v>ม.4/10</v>
      </c>
      <c r="D1683" s="3" t="str">
        <f>IFERROR(__xludf.DUMMYFUNCTION("""COMPUTED_VALUE"""),"อก.3/16")</f>
        <v>อก.3/16</v>
      </c>
      <c r="E1683" s="2" t="str">
        <f>IFERROR(__xludf.DUMMYFUNCTION("""COMPUTED_VALUE"""),"หญิง")</f>
        <v>หญิง</v>
      </c>
      <c r="F1683" s="5" t="str">
        <f>IFERROR(__xludf.DUMMYFUNCTION("""COMPUTED_VALUE"""),"https://azizstan.net/student_image/24085.jpg")</f>
        <v>https://azizstan.net/student_image/24085.jpg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>
      <c r="A1684" s="3" t="str">
        <f>IFERROR(__xludf.DUMMYFUNCTION("""COMPUTED_VALUE"""),"24111")</f>
        <v>24111</v>
      </c>
      <c r="B1684" s="3" t="str">
        <f>IFERROR(__xludf.DUMMYFUNCTION("""COMPUTED_VALUE"""),"น.ส.นุรไอริน สะแม")</f>
        <v>น.ส.นุรไอริน สะแม</v>
      </c>
      <c r="C1684" s="3" t="str">
        <f>IFERROR(__xludf.DUMMYFUNCTION("""COMPUTED_VALUE"""),"ม.4/10")</f>
        <v>ม.4/10</v>
      </c>
      <c r="D1684" s="3" t="str">
        <f>IFERROR(__xludf.DUMMYFUNCTION("""COMPUTED_VALUE"""),"อก.3/16")</f>
        <v>อก.3/16</v>
      </c>
      <c r="E1684" s="2" t="str">
        <f>IFERROR(__xludf.DUMMYFUNCTION("""COMPUTED_VALUE"""),"หญิง")</f>
        <v>หญิง</v>
      </c>
      <c r="F1684" s="5" t="str">
        <f>IFERROR(__xludf.DUMMYFUNCTION("""COMPUTED_VALUE"""),"https://azizstan.net/student_image/24111.jpg")</f>
        <v>https://azizstan.net/student_image/24111.jpg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>
      <c r="A1685" s="3" t="str">
        <f>IFERROR(__xludf.DUMMYFUNCTION("""COMPUTED_VALUE"""),"24189")</f>
        <v>24189</v>
      </c>
      <c r="B1685" s="3" t="str">
        <f>IFERROR(__xludf.DUMMYFUNCTION("""COMPUTED_VALUE"""),"น.ส.ฮานีซะฮ์ หลีกา")</f>
        <v>น.ส.ฮานีซะฮ์ หลีกา</v>
      </c>
      <c r="C1685" s="3" t="str">
        <f>IFERROR(__xludf.DUMMYFUNCTION("""COMPUTED_VALUE"""),"ม.4/10")</f>
        <v>ม.4/10</v>
      </c>
      <c r="D1685" s="3" t="str">
        <f>IFERROR(__xludf.DUMMYFUNCTION("""COMPUTED_VALUE"""),"อก.3/16")</f>
        <v>อก.3/16</v>
      </c>
      <c r="E1685" s="2" t="str">
        <f>IFERROR(__xludf.DUMMYFUNCTION("""COMPUTED_VALUE"""),"หญิง")</f>
        <v>หญิง</v>
      </c>
      <c r="F1685" s="5" t="str">
        <f>IFERROR(__xludf.DUMMYFUNCTION("""COMPUTED_VALUE"""),"https://azizstan.net/student_image/24189.jpg")</f>
        <v>https://azizstan.net/student_image/24189.jpg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>
      <c r="A1686" s="3" t="str">
        <f>IFERROR(__xludf.DUMMYFUNCTION("""COMPUTED_VALUE"""),"24255")</f>
        <v>24255</v>
      </c>
      <c r="B1686" s="3" t="str">
        <f>IFERROR(__xludf.DUMMYFUNCTION("""COMPUTED_VALUE"""),"น.ส.ฟิตรียะห์ ดือราแม")</f>
        <v>น.ส.ฟิตรียะห์ ดือราแม</v>
      </c>
      <c r="C1686" s="3" t="str">
        <f>IFERROR(__xludf.DUMMYFUNCTION("""COMPUTED_VALUE"""),"ม.4/10")</f>
        <v>ม.4/10</v>
      </c>
      <c r="D1686" s="3" t="str">
        <f>IFERROR(__xludf.DUMMYFUNCTION("""COMPUTED_VALUE"""),"อก.3/14")</f>
        <v>อก.3/14</v>
      </c>
      <c r="E1686" s="2" t="str">
        <f>IFERROR(__xludf.DUMMYFUNCTION("""COMPUTED_VALUE"""),"หญิง")</f>
        <v>หญิง</v>
      </c>
      <c r="F1686" s="5" t="str">
        <f>IFERROR(__xludf.DUMMYFUNCTION("""COMPUTED_VALUE"""),"https://azizstan.net/student_image/24255.jpg")</f>
        <v>https://azizstan.net/student_image/24255.jpg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>
      <c r="A1687" s="3" t="str">
        <f>IFERROR(__xludf.DUMMYFUNCTION("""COMPUTED_VALUE"""),"24296")</f>
        <v>24296</v>
      </c>
      <c r="B1687" s="3" t="str">
        <f>IFERROR(__xludf.DUMMYFUNCTION("""COMPUTED_VALUE"""),"น.ส.นูรไอนี มะลี")</f>
        <v>น.ส.นูรไอนี มะลี</v>
      </c>
      <c r="C1687" s="3" t="str">
        <f>IFERROR(__xludf.DUMMYFUNCTION("""COMPUTED_VALUE"""),"ม.4/10")</f>
        <v>ม.4/10</v>
      </c>
      <c r="D1687" s="3" t="str">
        <f>IFERROR(__xludf.DUMMYFUNCTION("""COMPUTED_VALUE"""),"อก.3/14")</f>
        <v>อก.3/14</v>
      </c>
      <c r="E1687" s="2" t="str">
        <f>IFERROR(__xludf.DUMMYFUNCTION("""COMPUTED_VALUE"""),"หญิง")</f>
        <v>หญิง</v>
      </c>
      <c r="F1687" s="5" t="str">
        <f>IFERROR(__xludf.DUMMYFUNCTION("""COMPUTED_VALUE"""),"https://azizstan.net/student_image/24296.jpg")</f>
        <v>https://azizstan.net/student_image/24296.jpg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>
      <c r="A1688" s="3" t="str">
        <f>IFERROR(__xludf.DUMMYFUNCTION("""COMPUTED_VALUE"""),"24314")</f>
        <v>24314</v>
      </c>
      <c r="B1688" s="3" t="str">
        <f>IFERROR(__xludf.DUMMYFUNCTION("""COMPUTED_VALUE"""),"น.ส.นูรีฮัน ยูโซะ")</f>
        <v>น.ส.นูรีฮัน ยูโซะ</v>
      </c>
      <c r="C1688" s="3" t="str">
        <f>IFERROR(__xludf.DUMMYFUNCTION("""COMPUTED_VALUE"""),"ม.4/10")</f>
        <v>ม.4/10</v>
      </c>
      <c r="D1688" s="3" t="str">
        <f>IFERROR(__xludf.DUMMYFUNCTION("""COMPUTED_VALUE"""),"อก.3/16")</f>
        <v>อก.3/16</v>
      </c>
      <c r="E1688" s="2" t="str">
        <f>IFERROR(__xludf.DUMMYFUNCTION("""COMPUTED_VALUE"""),"หญิง")</f>
        <v>หญิง</v>
      </c>
      <c r="F1688" s="5" t="str">
        <f>IFERROR(__xludf.DUMMYFUNCTION("""COMPUTED_VALUE"""),"https://azizstan.net/student_image/24314.jpg")</f>
        <v>https://azizstan.net/student_image/24314.jpg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>
      <c r="A1689" s="3" t="str">
        <f>IFERROR(__xludf.DUMMYFUNCTION("""COMPUTED_VALUE"""),"24358")</f>
        <v>24358</v>
      </c>
      <c r="B1689" s="3" t="str">
        <f>IFERROR(__xludf.DUMMYFUNCTION("""COMPUTED_VALUE"""),"น.ส.นูรีน สะแปอิง")</f>
        <v>น.ส.นูรีน สะแปอิง</v>
      </c>
      <c r="C1689" s="3" t="str">
        <f>IFERROR(__xludf.DUMMYFUNCTION("""COMPUTED_VALUE"""),"ม.4/10")</f>
        <v>ม.4/10</v>
      </c>
      <c r="D1689" s="3" t="str">
        <f>IFERROR(__xludf.DUMMYFUNCTION("""COMPUTED_VALUE"""),"อก.3/14")</f>
        <v>อก.3/14</v>
      </c>
      <c r="E1689" s="2" t="str">
        <f>IFERROR(__xludf.DUMMYFUNCTION("""COMPUTED_VALUE"""),"หญิง")</f>
        <v>หญิง</v>
      </c>
      <c r="F1689" s="5" t="str">
        <f>IFERROR(__xludf.DUMMYFUNCTION("""COMPUTED_VALUE"""),"https://azizstan.net/student_image/24358.jpg")</f>
        <v>https://azizstan.net/student_image/24358.jpg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>
      <c r="A1690" s="3" t="str">
        <f>IFERROR(__xludf.DUMMYFUNCTION("""COMPUTED_VALUE"""),"24363")</f>
        <v>24363</v>
      </c>
      <c r="B1690" s="3" t="str">
        <f>IFERROR(__xludf.DUMMYFUNCTION("""COMPUTED_VALUE"""),"น.ส.รอฟีดะห์ บาฮา")</f>
        <v>น.ส.รอฟีดะห์ บาฮา</v>
      </c>
      <c r="C1690" s="3" t="str">
        <f>IFERROR(__xludf.DUMMYFUNCTION("""COMPUTED_VALUE"""),"ม.4/10")</f>
        <v>ม.4/10</v>
      </c>
      <c r="D1690" s="3" t="str">
        <f>IFERROR(__xludf.DUMMYFUNCTION("""COMPUTED_VALUE"""),"อก.3/16")</f>
        <v>อก.3/16</v>
      </c>
      <c r="E1690" s="2" t="str">
        <f>IFERROR(__xludf.DUMMYFUNCTION("""COMPUTED_VALUE"""),"หญิง")</f>
        <v>หญิง</v>
      </c>
      <c r="F1690" s="5" t="str">
        <f>IFERROR(__xludf.DUMMYFUNCTION("""COMPUTED_VALUE"""),"https://azizstan.net/student_image/24363.jpg")</f>
        <v>https://azizstan.net/student_image/24363.jpg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>
      <c r="A1691" s="3" t="str">
        <f>IFERROR(__xludf.DUMMYFUNCTION("""COMPUTED_VALUE"""),"24396")</f>
        <v>24396</v>
      </c>
      <c r="B1691" s="3" t="str">
        <f>IFERROR(__xludf.DUMMYFUNCTION("""COMPUTED_VALUE"""),"น.ส.การีมะห์ มะเซ็ง")</f>
        <v>น.ส.การีมะห์ มะเซ็ง</v>
      </c>
      <c r="C1691" s="3" t="str">
        <f>IFERROR(__xludf.DUMMYFUNCTION("""COMPUTED_VALUE"""),"ม.4/10")</f>
        <v>ม.4/10</v>
      </c>
      <c r="D1691" s="3" t="str">
        <f>IFERROR(__xludf.DUMMYFUNCTION("""COMPUTED_VALUE"""),"อก.3/18")</f>
        <v>อก.3/18</v>
      </c>
      <c r="E1691" s="2" t="str">
        <f>IFERROR(__xludf.DUMMYFUNCTION("""COMPUTED_VALUE"""),"หญิง")</f>
        <v>หญิง</v>
      </c>
      <c r="F1691" s="5" t="str">
        <f>IFERROR(__xludf.DUMMYFUNCTION("""COMPUTED_VALUE"""),"https://azizstan.net/student_image/24396.jpg")</f>
        <v>https://azizstan.net/student_image/24396.jpg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>
      <c r="A1692" s="3" t="str">
        <f>IFERROR(__xludf.DUMMYFUNCTION("""COMPUTED_VALUE"""),"24402")</f>
        <v>24402</v>
      </c>
      <c r="B1692" s="3" t="str">
        <f>IFERROR(__xludf.DUMMYFUNCTION("""COMPUTED_VALUE"""),"น.ส.อิบตีซาม บาเหม")</f>
        <v>น.ส.อิบตีซาม บาเหม</v>
      </c>
      <c r="C1692" s="3" t="str">
        <f>IFERROR(__xludf.DUMMYFUNCTION("""COMPUTED_VALUE"""),"ม.4/10")</f>
        <v>ม.4/10</v>
      </c>
      <c r="D1692" s="3" t="str">
        <f>IFERROR(__xludf.DUMMYFUNCTION("""COMPUTED_VALUE"""),"อก.3/14")</f>
        <v>อก.3/14</v>
      </c>
      <c r="E1692" s="2" t="str">
        <f>IFERROR(__xludf.DUMMYFUNCTION("""COMPUTED_VALUE"""),"หญิง")</f>
        <v>หญิง</v>
      </c>
      <c r="F1692" s="5" t="str">
        <f>IFERROR(__xludf.DUMMYFUNCTION("""COMPUTED_VALUE"""),"https://azizstan.net/student_image/24402.jpg")</f>
        <v>https://azizstan.net/student_image/24402.jpg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>
      <c r="A1693" s="3" t="str">
        <f>IFERROR(__xludf.DUMMYFUNCTION("""COMPUTED_VALUE"""),"24412")</f>
        <v>24412</v>
      </c>
      <c r="B1693" s="3" t="str">
        <f>IFERROR(__xludf.DUMMYFUNCTION("""COMPUTED_VALUE"""),"น.ส.นุสเราะห์ มะกูวิง")</f>
        <v>น.ส.นุสเราะห์ มะกูวิง</v>
      </c>
      <c r="C1693" s="3" t="str">
        <f>IFERROR(__xludf.DUMMYFUNCTION("""COMPUTED_VALUE"""),"ม.4/10")</f>
        <v>ม.4/10</v>
      </c>
      <c r="D1693" s="3" t="str">
        <f>IFERROR(__xludf.DUMMYFUNCTION("""COMPUTED_VALUE"""),"อก.3/14")</f>
        <v>อก.3/14</v>
      </c>
      <c r="E1693" s="2" t="str">
        <f>IFERROR(__xludf.DUMMYFUNCTION("""COMPUTED_VALUE"""),"หญิง")</f>
        <v>หญิง</v>
      </c>
      <c r="F1693" s="5" t="str">
        <f>IFERROR(__xludf.DUMMYFUNCTION("""COMPUTED_VALUE"""),"https://azizstan.net/student_image/24412.jpg")</f>
        <v>https://azizstan.net/student_image/24412.jpg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>
      <c r="A1694" s="3" t="str">
        <f>IFERROR(__xludf.DUMMYFUNCTION("""COMPUTED_VALUE"""),"24419")</f>
        <v>24419</v>
      </c>
      <c r="B1694" s="3" t="str">
        <f>IFERROR(__xludf.DUMMYFUNCTION("""COMPUTED_VALUE"""),"น.ส.นูรมี บูดี")</f>
        <v>น.ส.นูรมี บูดี</v>
      </c>
      <c r="C1694" s="3" t="str">
        <f>IFERROR(__xludf.DUMMYFUNCTION("""COMPUTED_VALUE"""),"ม.4/10")</f>
        <v>ม.4/10</v>
      </c>
      <c r="D1694" s="3" t="str">
        <f>IFERROR(__xludf.DUMMYFUNCTION("""COMPUTED_VALUE"""),"อก.3/14")</f>
        <v>อก.3/14</v>
      </c>
      <c r="E1694" s="2" t="str">
        <f>IFERROR(__xludf.DUMMYFUNCTION("""COMPUTED_VALUE"""),"หญิง")</f>
        <v>หญิง</v>
      </c>
      <c r="F1694" s="5" t="str">
        <f>IFERROR(__xludf.DUMMYFUNCTION("""COMPUTED_VALUE"""),"https://azizstan.net/student_image/24419.jpg")</f>
        <v>https://azizstan.net/student_image/24419.jpg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>
      <c r="A1695" s="3" t="str">
        <f>IFERROR(__xludf.DUMMYFUNCTION("""COMPUTED_VALUE"""),"24476")</f>
        <v>24476</v>
      </c>
      <c r="B1695" s="3" t="str">
        <f>IFERROR(__xludf.DUMMYFUNCTION("""COMPUTED_VALUE"""),"น.ส.นัซมี ดือราแม")</f>
        <v>น.ส.นัซมี ดือราแม</v>
      </c>
      <c r="C1695" s="3" t="str">
        <f>IFERROR(__xludf.DUMMYFUNCTION("""COMPUTED_VALUE"""),"ม.4/10")</f>
        <v>ม.4/10</v>
      </c>
      <c r="D1695" s="3" t="str">
        <f>IFERROR(__xludf.DUMMYFUNCTION("""COMPUTED_VALUE"""),"อก.3/18")</f>
        <v>อก.3/18</v>
      </c>
      <c r="E1695" s="2" t="str">
        <f>IFERROR(__xludf.DUMMYFUNCTION("""COMPUTED_VALUE"""),"หญิง")</f>
        <v>หญิง</v>
      </c>
      <c r="F1695" s="5" t="str">
        <f>IFERROR(__xludf.DUMMYFUNCTION("""COMPUTED_VALUE"""),"https://azizstan.net/student_image/24476.jpg")</f>
        <v>https://azizstan.net/student_image/24476.jpg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>
      <c r="A1696" s="3" t="str">
        <f>IFERROR(__xludf.DUMMYFUNCTION("""COMPUTED_VALUE"""),"24480")</f>
        <v>24480</v>
      </c>
      <c r="B1696" s="3" t="str">
        <f>IFERROR(__xludf.DUMMYFUNCTION("""COMPUTED_VALUE"""),"น.ส.ซาฟาเนียร์ สะอะ")</f>
        <v>น.ส.ซาฟาเนียร์ สะอะ</v>
      </c>
      <c r="C1696" s="3" t="str">
        <f>IFERROR(__xludf.DUMMYFUNCTION("""COMPUTED_VALUE"""),"ม.4/10")</f>
        <v>ม.4/10</v>
      </c>
      <c r="D1696" s="3" t="str">
        <f>IFERROR(__xludf.DUMMYFUNCTION("""COMPUTED_VALUE"""),"อก.3/14")</f>
        <v>อก.3/14</v>
      </c>
      <c r="E1696" s="2" t="str">
        <f>IFERROR(__xludf.DUMMYFUNCTION("""COMPUTED_VALUE"""),"หญิง")</f>
        <v>หญิง</v>
      </c>
      <c r="F1696" s="5" t="str">
        <f>IFERROR(__xludf.DUMMYFUNCTION("""COMPUTED_VALUE"""),"https://azizstan.net/student_image/24480.jpg")</f>
        <v>https://azizstan.net/student_image/24480.jpg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>
      <c r="A1697" s="3" t="str">
        <f>IFERROR(__xludf.DUMMYFUNCTION("""COMPUTED_VALUE"""),"24490")</f>
        <v>24490</v>
      </c>
      <c r="B1697" s="3" t="str">
        <f>IFERROR(__xludf.DUMMYFUNCTION("""COMPUTED_VALUE"""),"น.ส.ฮุสนา ดาเรง")</f>
        <v>น.ส.ฮุสนา ดาเรง</v>
      </c>
      <c r="C1697" s="3" t="str">
        <f>IFERROR(__xludf.DUMMYFUNCTION("""COMPUTED_VALUE"""),"ม.4/10")</f>
        <v>ม.4/10</v>
      </c>
      <c r="D1697" s="3" t="str">
        <f>IFERROR(__xludf.DUMMYFUNCTION("""COMPUTED_VALUE"""),"อก.3/18")</f>
        <v>อก.3/18</v>
      </c>
      <c r="E1697" s="2" t="str">
        <f>IFERROR(__xludf.DUMMYFUNCTION("""COMPUTED_VALUE"""),"หญิง")</f>
        <v>หญิง</v>
      </c>
      <c r="F1697" s="5" t="str">
        <f>IFERROR(__xludf.DUMMYFUNCTION("""COMPUTED_VALUE"""),"https://azizstan.net/student_image/24490.jpg")</f>
        <v>https://azizstan.net/student_image/24490.jpg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>
      <c r="A1698" s="3" t="str">
        <f>IFERROR(__xludf.DUMMYFUNCTION("""COMPUTED_VALUE"""),"24503")</f>
        <v>24503</v>
      </c>
      <c r="B1698" s="3" t="str">
        <f>IFERROR(__xludf.DUMMYFUNCTION("""COMPUTED_VALUE"""),"น.ส.โนรบัยซูรา สูหลง")</f>
        <v>น.ส.โนรบัยซูรา สูหลง</v>
      </c>
      <c r="C1698" s="3" t="str">
        <f>IFERROR(__xludf.DUMMYFUNCTION("""COMPUTED_VALUE"""),"ม.4/10")</f>
        <v>ม.4/10</v>
      </c>
      <c r="D1698" s="3" t="str">
        <f>IFERROR(__xludf.DUMMYFUNCTION("""COMPUTED_VALUE"""),"อก.3/14")</f>
        <v>อก.3/14</v>
      </c>
      <c r="E1698" s="2" t="str">
        <f>IFERROR(__xludf.DUMMYFUNCTION("""COMPUTED_VALUE"""),"หญิง")</f>
        <v>หญิง</v>
      </c>
      <c r="F1698" s="5" t="str">
        <f>IFERROR(__xludf.DUMMYFUNCTION("""COMPUTED_VALUE"""),"https://azizstan.net/student_image/24503.jpg")</f>
        <v>https://azizstan.net/student_image/24503.jpg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>
      <c r="A1699" s="3" t="str">
        <f>IFERROR(__xludf.DUMMYFUNCTION("""COMPUTED_VALUE"""),"24512")</f>
        <v>24512</v>
      </c>
      <c r="B1699" s="3" t="str">
        <f>IFERROR(__xludf.DUMMYFUNCTION("""COMPUTED_VALUE"""),"น.ส.บิสมี สาและ")</f>
        <v>น.ส.บิสมี สาและ</v>
      </c>
      <c r="C1699" s="3" t="str">
        <f>IFERROR(__xludf.DUMMYFUNCTION("""COMPUTED_VALUE"""),"ม.4/10")</f>
        <v>ม.4/10</v>
      </c>
      <c r="D1699" s="3" t="str">
        <f>IFERROR(__xludf.DUMMYFUNCTION("""COMPUTED_VALUE"""),"อก.3/14")</f>
        <v>อก.3/14</v>
      </c>
      <c r="E1699" s="2" t="str">
        <f>IFERROR(__xludf.DUMMYFUNCTION("""COMPUTED_VALUE"""),"หญิง")</f>
        <v>หญิง</v>
      </c>
      <c r="F1699" s="5" t="str">
        <f>IFERROR(__xludf.DUMMYFUNCTION("""COMPUTED_VALUE"""),"https://azizstan.net/student_image/24512.jpg")</f>
        <v>https://azizstan.net/student_image/24512.jpg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>
      <c r="A1700" s="3" t="str">
        <f>IFERROR(__xludf.DUMMYFUNCTION("""COMPUTED_VALUE"""),"25317")</f>
        <v>25317</v>
      </c>
      <c r="B1700" s="3" t="str">
        <f>IFERROR(__xludf.DUMMYFUNCTION("""COMPUTED_VALUE"""),"น.ส.อิบตีฮาน อีซอ")</f>
        <v>น.ส.อิบตีฮาน อีซอ</v>
      </c>
      <c r="C1700" s="3" t="str">
        <f>IFERROR(__xludf.DUMMYFUNCTION("""COMPUTED_VALUE"""),"ม.4/10")</f>
        <v>ม.4/10</v>
      </c>
      <c r="D1700" s="3" t="str">
        <f>IFERROR(__xludf.DUMMYFUNCTION("""COMPUTED_VALUE"""),"อก.3/16")</f>
        <v>อก.3/16</v>
      </c>
      <c r="E1700" s="2" t="str">
        <f>IFERROR(__xludf.DUMMYFUNCTION("""COMPUTED_VALUE"""),"หญิง")</f>
        <v>หญิง</v>
      </c>
      <c r="F1700" s="5" t="str">
        <f>IFERROR(__xludf.DUMMYFUNCTION("""COMPUTED_VALUE"""),"https://azizstan.net/student_image/25317.jpg")</f>
        <v>https://azizstan.net/student_image/25317.jpg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>
      <c r="A1701" s="3" t="str">
        <f>IFERROR(__xludf.DUMMYFUNCTION("""COMPUTED_VALUE"""),"25829")</f>
        <v>25829</v>
      </c>
      <c r="B1701" s="3" t="str">
        <f>IFERROR(__xludf.DUMMYFUNCTION("""COMPUTED_VALUE"""),"น.ส.ฮัซวานี มะกาเซ็ม")</f>
        <v>น.ส.ฮัซวานี มะกาเซ็ม</v>
      </c>
      <c r="C1701" s="3" t="str">
        <f>IFERROR(__xludf.DUMMYFUNCTION("""COMPUTED_VALUE"""),"ม.4/10")</f>
        <v>ม.4/10</v>
      </c>
      <c r="D1701" s="3" t="str">
        <f>IFERROR(__xludf.DUMMYFUNCTION("""COMPUTED_VALUE"""),"อก.2/2")</f>
        <v>อก.2/2</v>
      </c>
      <c r="E1701" s="2" t="str">
        <f>IFERROR(__xludf.DUMMYFUNCTION("""COMPUTED_VALUE"""),"หญิง")</f>
        <v>หญิง</v>
      </c>
      <c r="F1701" s="5" t="str">
        <f>IFERROR(__xludf.DUMMYFUNCTION("""COMPUTED_VALUE"""),"https://azizstan.net/student_image/25829.jpg")</f>
        <v>https://azizstan.net/student_image/25829.jpg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>
      <c r="A1702" s="3" t="str">
        <f>IFERROR(__xludf.DUMMYFUNCTION("""COMPUTED_VALUE"""),"26015")</f>
        <v>26015</v>
      </c>
      <c r="B1702" s="3" t="str">
        <f>IFERROR(__xludf.DUMMYFUNCTION("""COMPUTED_VALUE"""),"น.ส.ดารุณี มะเย๊าะ")</f>
        <v>น.ส.ดารุณี มะเย๊าะ</v>
      </c>
      <c r="C1702" s="3" t="str">
        <f>IFERROR(__xludf.DUMMYFUNCTION("""COMPUTED_VALUE"""),"ม.4/10")</f>
        <v>ม.4/10</v>
      </c>
      <c r="D1702" s="3" t="str">
        <f>IFERROR(__xludf.DUMMYFUNCTION("""COMPUTED_VALUE"""),"อก.2/2")</f>
        <v>อก.2/2</v>
      </c>
      <c r="E1702" s="2" t="str">
        <f>IFERROR(__xludf.DUMMYFUNCTION("""COMPUTED_VALUE"""),"หญิง")</f>
        <v>หญิง</v>
      </c>
      <c r="F1702" s="5" t="str">
        <f>IFERROR(__xludf.DUMMYFUNCTION("""COMPUTED_VALUE"""),"https://azizstan.net/student_image/26015.jpg")</f>
        <v>https://azizstan.net/student_image/26015.jpg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>
      <c r="A1703" s="3" t="str">
        <f>IFERROR(__xludf.DUMMYFUNCTION("""COMPUTED_VALUE"""),"26078")</f>
        <v>26078</v>
      </c>
      <c r="B1703" s="3" t="str">
        <f>IFERROR(__xludf.DUMMYFUNCTION("""COMPUTED_VALUE"""),"น.ส.เอมิกา ฮามะ")</f>
        <v>น.ส.เอมิกา ฮามะ</v>
      </c>
      <c r="C1703" s="3" t="str">
        <f>IFERROR(__xludf.DUMMYFUNCTION("""COMPUTED_VALUE"""),"ม.4/10")</f>
        <v>ม.4/10</v>
      </c>
      <c r="D1703" s="3" t="str">
        <f>IFERROR(__xludf.DUMMYFUNCTION("""COMPUTED_VALUE"""),"อก.1/14")</f>
        <v>อก.1/14</v>
      </c>
      <c r="E1703" s="2" t="str">
        <f>IFERROR(__xludf.DUMMYFUNCTION("""COMPUTED_VALUE"""),"หญิง")</f>
        <v>หญิง</v>
      </c>
      <c r="F1703" s="5" t="str">
        <f>IFERROR(__xludf.DUMMYFUNCTION("""COMPUTED_VALUE"""),"https://azizstan.net/student_image/26078.jpg")</f>
        <v>https://azizstan.net/student_image/26078.jpg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>
      <c r="A1704" s="3" t="str">
        <f>IFERROR(__xludf.DUMMYFUNCTION("""COMPUTED_VALUE"""),"26287")</f>
        <v>26287</v>
      </c>
      <c r="B1704" s="3" t="str">
        <f>IFERROR(__xludf.DUMMYFUNCTION("""COMPUTED_VALUE"""),"น.ส.มุสลีฮา ตาเยะ")</f>
        <v>น.ส.มุสลีฮา ตาเยะ</v>
      </c>
      <c r="C1704" s="3" t="str">
        <f>IFERROR(__xludf.DUMMYFUNCTION("""COMPUTED_VALUE"""),"ม.4/10")</f>
        <v>ม.4/10</v>
      </c>
      <c r="D1704" s="3" t="str">
        <f>IFERROR(__xludf.DUMMYFUNCTION("""COMPUTED_VALUE"""),"อก.1/14")</f>
        <v>อก.1/14</v>
      </c>
      <c r="E1704" s="2" t="str">
        <f>IFERROR(__xludf.DUMMYFUNCTION("""COMPUTED_VALUE"""),"หญิง")</f>
        <v>หญิง</v>
      </c>
      <c r="F1704" s="5" t="str">
        <f>IFERROR(__xludf.DUMMYFUNCTION("""COMPUTED_VALUE"""),"https://azizstan.net/student_image/26287.jpg")</f>
        <v>https://azizstan.net/student_image/26287.jpg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>
      <c r="A1705" s="3" t="str">
        <f>IFERROR(__xludf.DUMMYFUNCTION("""COMPUTED_VALUE"""),"26424")</f>
        <v>26424</v>
      </c>
      <c r="B1705" s="3" t="str">
        <f>IFERROR(__xludf.DUMMYFUNCTION("""COMPUTED_VALUE"""),"น.ส.นัสริน หะมะ")</f>
        <v>น.ส.นัสริน หะมะ</v>
      </c>
      <c r="C1705" s="3" t="str">
        <f>IFERROR(__xludf.DUMMYFUNCTION("""COMPUTED_VALUE"""),"ม.4/10")</f>
        <v>ม.4/10</v>
      </c>
      <c r="D1705" s="3" t="str">
        <f>IFERROR(__xludf.DUMMYFUNCTION("""COMPUTED_VALUE"""),"อก.1/14")</f>
        <v>อก.1/14</v>
      </c>
      <c r="E1705" s="2" t="str">
        <f>IFERROR(__xludf.DUMMYFUNCTION("""COMPUTED_VALUE"""),"หญิง")</f>
        <v>หญิง</v>
      </c>
      <c r="F1705" s="5" t="str">
        <f>IFERROR(__xludf.DUMMYFUNCTION("""COMPUTED_VALUE"""),"https://azizstan.net/student_image/26424.jpg")</f>
        <v>https://azizstan.net/student_image/26424.jpg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>
      <c r="A1706" s="3" t="str">
        <f>IFERROR(__xludf.DUMMYFUNCTION("""COMPUTED_VALUE"""),"26464")</f>
        <v>26464</v>
      </c>
      <c r="B1706" s="3" t="str">
        <f>IFERROR(__xludf.DUMMYFUNCTION("""COMPUTED_VALUE"""),"น.ส.นูรตัสนีม มะแอ")</f>
        <v>น.ส.นูรตัสนีม มะแอ</v>
      </c>
      <c r="C1706" s="3" t="str">
        <f>IFERROR(__xludf.DUMMYFUNCTION("""COMPUTED_VALUE"""),"ม.4/10")</f>
        <v>ม.4/10</v>
      </c>
      <c r="D1706" s="3" t="str">
        <f>IFERROR(__xludf.DUMMYFUNCTION("""COMPUTED_VALUE"""),"อก.1/14")</f>
        <v>อก.1/14</v>
      </c>
      <c r="E1706" s="2" t="str">
        <f>IFERROR(__xludf.DUMMYFUNCTION("""COMPUTED_VALUE"""),"หญิง")</f>
        <v>หญิง</v>
      </c>
      <c r="F1706" s="5" t="str">
        <f>IFERROR(__xludf.DUMMYFUNCTION("""COMPUTED_VALUE"""),"https://azizstan.net/student_image/26464.jpg")</f>
        <v>https://azizstan.net/student_image/26464.jpg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>
      <c r="A1707" s="3" t="str">
        <f>IFERROR(__xludf.DUMMYFUNCTION("""COMPUTED_VALUE"""),"26502")</f>
        <v>26502</v>
      </c>
      <c r="B1707" s="3" t="str">
        <f>IFERROR(__xludf.DUMMYFUNCTION("""COMPUTED_VALUE"""),"น.ส.ฟาฏิน มูซอ")</f>
        <v>น.ส.ฟาฏิน มูซอ</v>
      </c>
      <c r="C1707" s="3" t="str">
        <f>IFERROR(__xludf.DUMMYFUNCTION("""COMPUTED_VALUE"""),"ม.4/10")</f>
        <v>ม.4/10</v>
      </c>
      <c r="D1707" s="3" t="str">
        <f>IFERROR(__xludf.DUMMYFUNCTION("""COMPUTED_VALUE"""),"อป.1/4")</f>
        <v>อป.1/4</v>
      </c>
      <c r="E1707" s="2" t="str">
        <f>IFERROR(__xludf.DUMMYFUNCTION("""COMPUTED_VALUE"""),"หญิง")</f>
        <v>หญิง</v>
      </c>
      <c r="F1707" s="5" t="str">
        <f>IFERROR(__xludf.DUMMYFUNCTION("""COMPUTED_VALUE"""),"https://azizstan.net/student_image/26502.jpg")</f>
        <v>https://azizstan.net/student_image/26502.jpg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>
      <c r="A1708" s="3" t="str">
        <f>IFERROR(__xludf.DUMMYFUNCTION("""COMPUTED_VALUE"""),"26525")</f>
        <v>26525</v>
      </c>
      <c r="B1708" s="3" t="str">
        <f>IFERROR(__xludf.DUMMYFUNCTION("""COMPUTED_VALUE"""),"น.ส.ฟะห์มี การิง")</f>
        <v>น.ส.ฟะห์มี การิง</v>
      </c>
      <c r="C1708" s="3" t="str">
        <f>IFERROR(__xludf.DUMMYFUNCTION("""COMPUTED_VALUE"""),"ม.4/10")</f>
        <v>ม.4/10</v>
      </c>
      <c r="D1708" s="3" t="str">
        <f>IFERROR(__xludf.DUMMYFUNCTION("""COMPUTED_VALUE"""),"อก.1/14")</f>
        <v>อก.1/14</v>
      </c>
      <c r="E1708" s="2" t="str">
        <f>IFERROR(__xludf.DUMMYFUNCTION("""COMPUTED_VALUE"""),"หญิง")</f>
        <v>หญิง</v>
      </c>
      <c r="F1708" s="5" t="str">
        <f>IFERROR(__xludf.DUMMYFUNCTION("""COMPUTED_VALUE"""),"https://azizstan.net/student_image/26525.jpg")</f>
        <v>https://azizstan.net/student_image/26525.jpg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>
      <c r="A1709" s="3" t="str">
        <f>IFERROR(__xludf.DUMMYFUNCTION("""COMPUTED_VALUE"""),"26544")</f>
        <v>26544</v>
      </c>
      <c r="B1709" s="3" t="str">
        <f>IFERROR(__xludf.DUMMYFUNCTION("""COMPUTED_VALUE"""),"น.ส.อาวาติฟ บาตูขาเด็ง")</f>
        <v>น.ส.อาวาติฟ บาตูขาเด็ง</v>
      </c>
      <c r="C1709" s="3" t="str">
        <f>IFERROR(__xludf.DUMMYFUNCTION("""COMPUTED_VALUE"""),"ม.4/10")</f>
        <v>ม.4/10</v>
      </c>
      <c r="D1709" s="3" t="str">
        <f>IFERROR(__xludf.DUMMYFUNCTION("""COMPUTED_VALUE"""),"อก.1/14")</f>
        <v>อก.1/14</v>
      </c>
      <c r="E1709" s="2" t="str">
        <f>IFERROR(__xludf.DUMMYFUNCTION("""COMPUTED_VALUE"""),"หญิง")</f>
        <v>หญิง</v>
      </c>
      <c r="F1709" s="5" t="str">
        <f>IFERROR(__xludf.DUMMYFUNCTION("""COMPUTED_VALUE"""),"https://azizstan.net/student_image/26544.jpg")</f>
        <v>https://azizstan.net/student_image/26544.jpg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>
      <c r="A1710" s="3" t="str">
        <f>IFERROR(__xludf.DUMMYFUNCTION("""COMPUTED_VALUE"""),"26562")</f>
        <v>26562</v>
      </c>
      <c r="B1710" s="3" t="str">
        <f>IFERROR(__xludf.DUMMYFUNCTION("""COMPUTED_VALUE"""),"น.ส.อิลฮัม อารง")</f>
        <v>น.ส.อิลฮัม อารง</v>
      </c>
      <c r="C1710" s="3" t="str">
        <f>IFERROR(__xludf.DUMMYFUNCTION("""COMPUTED_VALUE"""),"ม.4/10")</f>
        <v>ม.4/10</v>
      </c>
      <c r="D1710" s="3" t="str">
        <f>IFERROR(__xludf.DUMMYFUNCTION("""COMPUTED_VALUE"""),"อก.1/14")</f>
        <v>อก.1/14</v>
      </c>
      <c r="E1710" s="2" t="str">
        <f>IFERROR(__xludf.DUMMYFUNCTION("""COMPUTED_VALUE"""),"หญิง")</f>
        <v>หญิง</v>
      </c>
      <c r="F1710" s="5" t="str">
        <f>IFERROR(__xludf.DUMMYFUNCTION("""COMPUTED_VALUE"""),"https://azizstan.net/student_image/26562.jpg")</f>
        <v>https://azizstan.net/student_image/26562.jpg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>
      <c r="A1711" s="3" t="str">
        <f>IFERROR(__xludf.DUMMYFUNCTION("""COMPUTED_VALUE"""),"26565")</f>
        <v>26565</v>
      </c>
      <c r="B1711" s="3" t="str">
        <f>IFERROR(__xludf.DUMMYFUNCTION("""COMPUTED_VALUE"""),"น.ส.ยุสมี สาเหาะ")</f>
        <v>น.ส.ยุสมี สาเหาะ</v>
      </c>
      <c r="C1711" s="3" t="str">
        <f>IFERROR(__xludf.DUMMYFUNCTION("""COMPUTED_VALUE"""),"ม.4/10")</f>
        <v>ม.4/10</v>
      </c>
      <c r="D1711" s="3" t="str">
        <f>IFERROR(__xludf.DUMMYFUNCTION("""COMPUTED_VALUE"""),"อก.3/16")</f>
        <v>อก.3/16</v>
      </c>
      <c r="E1711" s="2" t="str">
        <f>IFERROR(__xludf.DUMMYFUNCTION("""COMPUTED_VALUE"""),"หญิง")</f>
        <v>หญิง</v>
      </c>
      <c r="F1711" s="5" t="str">
        <f>IFERROR(__xludf.DUMMYFUNCTION("""COMPUTED_VALUE"""),"https://azizstan.net/student_image/26565.jpg")</f>
        <v>https://azizstan.net/student_image/26565.jpg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>
      <c r="A1712" s="3" t="str">
        <f>IFERROR(__xludf.DUMMYFUNCTION("""COMPUTED_VALUE"""),"26579")</f>
        <v>26579</v>
      </c>
      <c r="B1712" s="3" t="str">
        <f>IFERROR(__xludf.DUMMYFUNCTION("""COMPUTED_VALUE"""),"น.ส.นุรอัยมาน ดอเล๊าะ")</f>
        <v>น.ส.นุรอัยมาน ดอเล๊าะ</v>
      </c>
      <c r="C1712" s="3" t="str">
        <f>IFERROR(__xludf.DUMMYFUNCTION("""COMPUTED_VALUE"""),"ม.4/10")</f>
        <v>ม.4/10</v>
      </c>
      <c r="D1712" s="3" t="str">
        <f>IFERROR(__xludf.DUMMYFUNCTION("""COMPUTED_VALUE"""),"อก.1/14")</f>
        <v>อก.1/14</v>
      </c>
      <c r="E1712" s="2" t="str">
        <f>IFERROR(__xludf.DUMMYFUNCTION("""COMPUTED_VALUE"""),"หญิง")</f>
        <v>หญิง</v>
      </c>
      <c r="F1712" s="5" t="str">
        <f>IFERROR(__xludf.DUMMYFUNCTION("""COMPUTED_VALUE"""),"https://azizstan.net/student_image/26579.jpg")</f>
        <v>https://azizstan.net/student_image/26579.jpg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>
      <c r="A1713" s="3" t="str">
        <f>IFERROR(__xludf.DUMMYFUNCTION("""COMPUTED_VALUE"""),"26582")</f>
        <v>26582</v>
      </c>
      <c r="B1713" s="3" t="str">
        <f>IFERROR(__xludf.DUMMYFUNCTION("""COMPUTED_VALUE"""),"น.ส.อามานี กียะ")</f>
        <v>น.ส.อามานี กียะ</v>
      </c>
      <c r="C1713" s="3" t="str">
        <f>IFERROR(__xludf.DUMMYFUNCTION("""COMPUTED_VALUE"""),"ม.4/10")</f>
        <v>ม.4/10</v>
      </c>
      <c r="D1713" s="3" t="str">
        <f>IFERROR(__xludf.DUMMYFUNCTION("""COMPUTED_VALUE"""),"อก.2/2")</f>
        <v>อก.2/2</v>
      </c>
      <c r="E1713" s="2" t="str">
        <f>IFERROR(__xludf.DUMMYFUNCTION("""COMPUTED_VALUE"""),"หญิง")</f>
        <v>หญิง</v>
      </c>
      <c r="F1713" s="5" t="str">
        <f>IFERROR(__xludf.DUMMYFUNCTION("""COMPUTED_VALUE"""),"https://azizstan.net/student_image/26582.jpg")</f>
        <v>https://azizstan.net/student_image/26582.jpg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>
      <c r="A1714" s="3" t="str">
        <f>IFERROR(__xludf.DUMMYFUNCTION("""COMPUTED_VALUE"""),"26606")</f>
        <v>26606</v>
      </c>
      <c r="B1714" s="3" t="str">
        <f>IFERROR(__xludf.DUMMYFUNCTION("""COMPUTED_VALUE"""),"น.ส.สูฟียา เจ๊ะอูมา")</f>
        <v>น.ส.สูฟียา เจ๊ะอูมา</v>
      </c>
      <c r="C1714" s="3" t="str">
        <f>IFERROR(__xludf.DUMMYFUNCTION("""COMPUTED_VALUE"""),"ม.4/10")</f>
        <v>ม.4/10</v>
      </c>
      <c r="D1714" s="3" t="str">
        <f>IFERROR(__xludf.DUMMYFUNCTION("""COMPUTED_VALUE"""),"อก.1/14")</f>
        <v>อก.1/14</v>
      </c>
      <c r="E1714" s="2" t="str">
        <f>IFERROR(__xludf.DUMMYFUNCTION("""COMPUTED_VALUE"""),"หญิง")</f>
        <v>หญิง</v>
      </c>
      <c r="F1714" s="5" t="str">
        <f>IFERROR(__xludf.DUMMYFUNCTION("""COMPUTED_VALUE"""),"https://azizstan.net/student_image/26606.jpg")</f>
        <v>https://azizstan.net/student_image/26606.jpg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>
      <c r="A1715" s="3" t="str">
        <f>IFERROR(__xludf.DUMMYFUNCTION("""COMPUTED_VALUE"""),"26626")</f>
        <v>26626</v>
      </c>
      <c r="B1715" s="3" t="str">
        <f>IFERROR(__xludf.DUMMYFUNCTION("""COMPUTED_VALUE"""),"น.ส.ศิสิลา แขมคำภา")</f>
        <v>น.ส.ศิสิลา แขมคำภา</v>
      </c>
      <c r="C1715" s="3" t="str">
        <f>IFERROR(__xludf.DUMMYFUNCTION("""COMPUTED_VALUE"""),"ม.4/10")</f>
        <v>ม.4/10</v>
      </c>
      <c r="D1715" s="3" t="str">
        <f>IFERROR(__xludf.DUMMYFUNCTION("""COMPUTED_VALUE"""),"อก.3/16")</f>
        <v>อก.3/16</v>
      </c>
      <c r="E1715" s="2" t="str">
        <f>IFERROR(__xludf.DUMMYFUNCTION("""COMPUTED_VALUE"""),"หญิง")</f>
        <v>หญิง</v>
      </c>
      <c r="F1715" s="5" t="str">
        <f>IFERROR(__xludf.DUMMYFUNCTION("""COMPUTED_VALUE"""),"https://azizstan.net/student_image/26626.jpg")</f>
        <v>https://azizstan.net/student_image/26626.jpg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>
      <c r="A1716" s="3" t="str">
        <f>IFERROR(__xludf.DUMMYFUNCTION("""COMPUTED_VALUE"""),"26649")</f>
        <v>26649</v>
      </c>
      <c r="B1716" s="3" t="str">
        <f>IFERROR(__xludf.DUMMYFUNCTION("""COMPUTED_VALUE"""),"น.ส.อาอีดะห์ มะสาแม")</f>
        <v>น.ส.อาอีดะห์ มะสาแม</v>
      </c>
      <c r="C1716" s="3" t="str">
        <f>IFERROR(__xludf.DUMMYFUNCTION("""COMPUTED_VALUE"""),"ม.4/10")</f>
        <v>ม.4/10</v>
      </c>
      <c r="D1716" s="3" t="str">
        <f>IFERROR(__xludf.DUMMYFUNCTION("""COMPUTED_VALUE"""),"อก.1/14")</f>
        <v>อก.1/14</v>
      </c>
      <c r="E1716" s="2" t="str">
        <f>IFERROR(__xludf.DUMMYFUNCTION("""COMPUTED_VALUE"""),"หญิง")</f>
        <v>หญิง</v>
      </c>
      <c r="F1716" s="5" t="str">
        <f>IFERROR(__xludf.DUMMYFUNCTION("""COMPUTED_VALUE"""),"https://azizstan.net/student_image/26649.jpg")</f>
        <v>https://azizstan.net/student_image/26649.jpg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>
      <c r="A1717" s="3" t="str">
        <f>IFERROR(__xludf.DUMMYFUNCTION("""COMPUTED_VALUE"""),"26668")</f>
        <v>26668</v>
      </c>
      <c r="B1717" s="3" t="str">
        <f>IFERROR(__xludf.DUMMYFUNCTION("""COMPUTED_VALUE"""),"น.ส.นาดียา โอล่า")</f>
        <v>น.ส.นาดียา โอล่า</v>
      </c>
      <c r="C1717" s="3" t="str">
        <f>IFERROR(__xludf.DUMMYFUNCTION("""COMPUTED_VALUE"""),"ม.4/10")</f>
        <v>ม.4/10</v>
      </c>
      <c r="D1717" s="3" t="str">
        <f>IFERROR(__xludf.DUMMYFUNCTION("""COMPUTED_VALUE"""),"อป.1/4")</f>
        <v>อป.1/4</v>
      </c>
      <c r="E1717" s="2" t="str">
        <f>IFERROR(__xludf.DUMMYFUNCTION("""COMPUTED_VALUE"""),"หญิง")</f>
        <v>หญิง</v>
      </c>
      <c r="F1717" s="5" t="str">
        <f>IFERROR(__xludf.DUMMYFUNCTION("""COMPUTED_VALUE"""),"https://azizstan.net/student_image/26668.jpg")</f>
        <v>https://azizstan.net/student_image/26668.jpg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>
      <c r="A1718" s="3" t="str">
        <f>IFERROR(__xludf.DUMMYFUNCTION("""COMPUTED_VALUE"""),"26674")</f>
        <v>26674</v>
      </c>
      <c r="B1718" s="3" t="str">
        <f>IFERROR(__xludf.DUMMYFUNCTION("""COMPUTED_VALUE"""),"น.ส.ตัสนีม สาอะ")</f>
        <v>น.ส.ตัสนีม สาอะ</v>
      </c>
      <c r="C1718" s="3" t="str">
        <f>IFERROR(__xludf.DUMMYFUNCTION("""COMPUTED_VALUE"""),"ม.4/10")</f>
        <v>ม.4/10</v>
      </c>
      <c r="D1718" s="3" t="str">
        <f>IFERROR(__xludf.DUMMYFUNCTION("""COMPUTED_VALUE"""),"อก.3/18")</f>
        <v>อก.3/18</v>
      </c>
      <c r="E1718" s="2" t="str">
        <f>IFERROR(__xludf.DUMMYFUNCTION("""COMPUTED_VALUE"""),"หญิง")</f>
        <v>หญิง</v>
      </c>
      <c r="F1718" s="5" t="str">
        <f>IFERROR(__xludf.DUMMYFUNCTION("""COMPUTED_VALUE"""),"https://azizstan.net/student_image/26674.jpg")</f>
        <v>https://azizstan.net/student_image/26674.jpg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>
      <c r="A1719" s="3" t="str">
        <f>IFERROR(__xludf.DUMMYFUNCTION("""COMPUTED_VALUE"""),"26677")</f>
        <v>26677</v>
      </c>
      <c r="B1719" s="3" t="str">
        <f>IFERROR(__xludf.DUMMYFUNCTION("""COMPUTED_VALUE"""),"น.ส.ฮิลมี และแย")</f>
        <v>น.ส.ฮิลมี และแย</v>
      </c>
      <c r="C1719" s="3" t="str">
        <f>IFERROR(__xludf.DUMMYFUNCTION("""COMPUTED_VALUE"""),"ม.4/10")</f>
        <v>ม.4/10</v>
      </c>
      <c r="D1719" s="3" t="str">
        <f>IFERROR(__xludf.DUMMYFUNCTION("""COMPUTED_VALUE"""),"อป.1/4")</f>
        <v>อป.1/4</v>
      </c>
      <c r="E1719" s="2" t="str">
        <f>IFERROR(__xludf.DUMMYFUNCTION("""COMPUTED_VALUE"""),"หญิง")</f>
        <v>หญิง</v>
      </c>
      <c r="F1719" s="5" t="str">
        <f>IFERROR(__xludf.DUMMYFUNCTION("""COMPUTED_VALUE"""),"https://azizstan.net/student_image/26677.jpg")</f>
        <v>https://azizstan.net/student_image/26677.jpg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>
      <c r="A1720" s="3" t="str">
        <f>IFERROR(__xludf.DUMMYFUNCTION("""COMPUTED_VALUE"""),"26737")</f>
        <v>26737</v>
      </c>
      <c r="B1720" s="3" t="str">
        <f>IFERROR(__xludf.DUMMYFUNCTION("""COMPUTED_VALUE"""),"น.ส.ตัสนีม ผมพยับ")</f>
        <v>น.ส.ตัสนีม ผมพยับ</v>
      </c>
      <c r="C1720" s="3" t="str">
        <f>IFERROR(__xludf.DUMMYFUNCTION("""COMPUTED_VALUE"""),"ม.4/10")</f>
        <v>ม.4/10</v>
      </c>
      <c r="D1720" s="3" t="str">
        <f>IFERROR(__xludf.DUMMYFUNCTION("""COMPUTED_VALUE"""),"อก.1/14")</f>
        <v>อก.1/14</v>
      </c>
      <c r="E1720" s="2" t="str">
        <f>IFERROR(__xludf.DUMMYFUNCTION("""COMPUTED_VALUE"""),"หญิง")</f>
        <v>หญิง</v>
      </c>
      <c r="F1720" s="5" t="str">
        <f>IFERROR(__xludf.DUMMYFUNCTION("""COMPUTED_VALUE"""),"https://azizstan.net/student_image/26737.jpg")</f>
        <v>https://azizstan.net/student_image/26737.jpg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>
      <c r="A1721" s="3" t="str">
        <f>IFERROR(__xludf.DUMMYFUNCTION("""COMPUTED_VALUE"""),"26757")</f>
        <v>26757</v>
      </c>
      <c r="B1721" s="3" t="str">
        <f>IFERROR(__xludf.DUMMYFUNCTION("""COMPUTED_VALUE"""),"น.ส.สุไรฮา ดอเลาะ")</f>
        <v>น.ส.สุไรฮา ดอเลาะ</v>
      </c>
      <c r="C1721" s="3" t="str">
        <f>IFERROR(__xludf.DUMMYFUNCTION("""COMPUTED_VALUE"""),"ม.4/10")</f>
        <v>ม.4/10</v>
      </c>
      <c r="D1721" s="3" t="str">
        <f>IFERROR(__xludf.DUMMYFUNCTION("""COMPUTED_VALUE"""),"อก.1/14")</f>
        <v>อก.1/14</v>
      </c>
      <c r="E1721" s="2" t="str">
        <f>IFERROR(__xludf.DUMMYFUNCTION("""COMPUTED_VALUE"""),"หญิง")</f>
        <v>หญิง</v>
      </c>
      <c r="F1721" s="5" t="str">
        <f>IFERROR(__xludf.DUMMYFUNCTION("""COMPUTED_VALUE"""),"https://azizstan.net/student_image/26757.jpg")</f>
        <v>https://azizstan.net/student_image/26757.jpg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>
      <c r="A1722" s="3" t="str">
        <f>IFERROR(__xludf.DUMMYFUNCTION("""COMPUTED_VALUE"""),"26758")</f>
        <v>26758</v>
      </c>
      <c r="B1722" s="3" t="str">
        <f>IFERROR(__xludf.DUMMYFUNCTION("""COMPUTED_VALUE"""),"น.ส.ซอฟียะห์ บระอาซัน")</f>
        <v>น.ส.ซอฟียะห์ บระอาซัน</v>
      </c>
      <c r="C1722" s="3" t="str">
        <f>IFERROR(__xludf.DUMMYFUNCTION("""COMPUTED_VALUE"""),"ม.4/10")</f>
        <v>ม.4/10</v>
      </c>
      <c r="D1722" s="3" t="str">
        <f>IFERROR(__xludf.DUMMYFUNCTION("""COMPUTED_VALUE"""),"อก.1/14")</f>
        <v>อก.1/14</v>
      </c>
      <c r="E1722" s="2" t="str">
        <f>IFERROR(__xludf.DUMMYFUNCTION("""COMPUTED_VALUE"""),"หญิง")</f>
        <v>หญิง</v>
      </c>
      <c r="F1722" s="5" t="str">
        <f>IFERROR(__xludf.DUMMYFUNCTION("""COMPUTED_VALUE"""),"https://azizstan.net/student_image/26758.jpg")</f>
        <v>https://azizstan.net/student_image/26758.jpg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>
      <c r="A1723" s="3" t="str">
        <f>IFERROR(__xludf.DUMMYFUNCTION("""COMPUTED_VALUE"""),"26783")</f>
        <v>26783</v>
      </c>
      <c r="B1723" s="3" t="str">
        <f>IFERROR(__xludf.DUMMYFUNCTION("""COMPUTED_VALUE"""),"น.ส.นุรอาซียะห์ มะกองอ")</f>
        <v>น.ส.นุรอาซียะห์ มะกองอ</v>
      </c>
      <c r="C1723" s="3" t="str">
        <f>IFERROR(__xludf.DUMMYFUNCTION("""COMPUTED_VALUE"""),"ม.4/10")</f>
        <v>ม.4/10</v>
      </c>
      <c r="D1723" s="3" t="str">
        <f>IFERROR(__xludf.DUMMYFUNCTION("""COMPUTED_VALUE"""),"อก.1/14")</f>
        <v>อก.1/14</v>
      </c>
      <c r="E1723" s="2" t="str">
        <f>IFERROR(__xludf.DUMMYFUNCTION("""COMPUTED_VALUE"""),"หญิง")</f>
        <v>หญิง</v>
      </c>
      <c r="F1723" s="5" t="str">
        <f>IFERROR(__xludf.DUMMYFUNCTION("""COMPUTED_VALUE"""),"https://azizstan.net/student_image/26783.jpg")</f>
        <v>https://azizstan.net/student_image/26783.jpg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>
      <c r="A1724" s="3" t="str">
        <f>IFERROR(__xludf.DUMMYFUNCTION("""COMPUTED_VALUE"""),"26797")</f>
        <v>26797</v>
      </c>
      <c r="B1724" s="3" t="str">
        <f>IFERROR(__xludf.DUMMYFUNCTION("""COMPUTED_VALUE"""),"น.ส.นูฮานียา หาดแก้ว")</f>
        <v>น.ส.นูฮานียา หาดแก้ว</v>
      </c>
      <c r="C1724" s="3" t="str">
        <f>IFERROR(__xludf.DUMMYFUNCTION("""COMPUTED_VALUE"""),"ม.4/10")</f>
        <v>ม.4/10</v>
      </c>
      <c r="D1724" s="3" t="str">
        <f>IFERROR(__xludf.DUMMYFUNCTION("""COMPUTED_VALUE"""),"อก.3/18")</f>
        <v>อก.3/18</v>
      </c>
      <c r="E1724" s="2" t="str">
        <f>IFERROR(__xludf.DUMMYFUNCTION("""COMPUTED_VALUE"""),"หญิง")</f>
        <v>หญิง</v>
      </c>
      <c r="F1724" s="5" t="str">
        <f>IFERROR(__xludf.DUMMYFUNCTION("""COMPUTED_VALUE"""),"https://azizstan.net/student_image/26797.jpg")</f>
        <v>https://azizstan.net/student_image/26797.jpg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>
      <c r="A1725" s="3" t="str">
        <f>IFERROR(__xludf.DUMMYFUNCTION("""COMPUTED_VALUE"""),"26801")</f>
        <v>26801</v>
      </c>
      <c r="B1725" s="3" t="str">
        <f>IFERROR(__xludf.DUMMYFUNCTION("""COMPUTED_VALUE"""),"น.ส.แวตัสณีม สาเหม๊าะ")</f>
        <v>น.ส.แวตัสณีม สาเหม๊าะ</v>
      </c>
      <c r="C1725" s="3" t="str">
        <f>IFERROR(__xludf.DUMMYFUNCTION("""COMPUTED_VALUE"""),"ม.4/10")</f>
        <v>ม.4/10</v>
      </c>
      <c r="D1725" s="3" t="str">
        <f>IFERROR(__xludf.DUMMYFUNCTION("""COMPUTED_VALUE"""),"อก.1/14")</f>
        <v>อก.1/14</v>
      </c>
      <c r="E1725" s="2" t="str">
        <f>IFERROR(__xludf.DUMMYFUNCTION("""COMPUTED_VALUE"""),"หญิง")</f>
        <v>หญิง</v>
      </c>
      <c r="F1725" s="5" t="str">
        <f>IFERROR(__xludf.DUMMYFUNCTION("""COMPUTED_VALUE"""),"https://azizstan.net/student_image/26801.jpg")</f>
        <v>https://azizstan.net/student_image/26801.jpg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>
      <c r="A1726" s="3" t="str">
        <f>IFERROR(__xludf.DUMMYFUNCTION("""COMPUTED_VALUE"""),"23396")</f>
        <v>23396</v>
      </c>
      <c r="B1726" s="3" t="str">
        <f>IFERROR(__xludf.DUMMYFUNCTION("""COMPUTED_VALUE"""),"นายอลีฟ สิริเต๊ะ")</f>
        <v>นายอลีฟ สิริเต๊ะ</v>
      </c>
      <c r="C1726" s="3" t="str">
        <f>IFERROR(__xludf.DUMMYFUNCTION("""COMPUTED_VALUE"""),"ม.5/1")</f>
        <v>ม.5/1</v>
      </c>
      <c r="D1726" s="3" t="str">
        <f>IFERROR(__xludf.DUMMYFUNCTION("""COMPUTED_VALUE"""),"อป.1/1")</f>
        <v>อป.1/1</v>
      </c>
      <c r="E1726" s="2" t="str">
        <f>IFERROR(__xludf.DUMMYFUNCTION("""COMPUTED_VALUE"""),"ชาย")</f>
        <v>ชาย</v>
      </c>
      <c r="F1726" s="5" t="str">
        <f>IFERROR(__xludf.DUMMYFUNCTION("""COMPUTED_VALUE"""),"https://azizstan.net/student_image/23396.jpg")</f>
        <v>https://azizstan.net/student_image/23396.jpg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>
      <c r="A1727" s="3" t="str">
        <f>IFERROR(__xludf.DUMMYFUNCTION("""COMPUTED_VALUE"""),"23427")</f>
        <v>23427</v>
      </c>
      <c r="B1727" s="3" t="str">
        <f>IFERROR(__xludf.DUMMYFUNCTION("""COMPUTED_VALUE"""),"นายมูฮัมหมัดฟิรดาว อาแวกือจิ")</f>
        <v>นายมูฮัมหมัดฟิรดาว อาแวกือจิ</v>
      </c>
      <c r="C1727" s="3" t="str">
        <f>IFERROR(__xludf.DUMMYFUNCTION("""COMPUTED_VALUE"""),"ม.5/1")</f>
        <v>ม.5/1</v>
      </c>
      <c r="D1727" s="3" t="str">
        <f>IFERROR(__xludf.DUMMYFUNCTION("""COMPUTED_VALUE"""),"อก.3/1")</f>
        <v>อก.3/1</v>
      </c>
      <c r="E1727" s="2" t="str">
        <f>IFERROR(__xludf.DUMMYFUNCTION("""COMPUTED_VALUE"""),"ชาย")</f>
        <v>ชาย</v>
      </c>
      <c r="F1727" s="5" t="str">
        <f>IFERROR(__xludf.DUMMYFUNCTION("""COMPUTED_VALUE"""),"https://azizstan.net/student_image/23427.jpg")</f>
        <v>https://azizstan.net/student_image/23427.jpg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>
      <c r="A1728" s="3" t="str">
        <f>IFERROR(__xludf.DUMMYFUNCTION("""COMPUTED_VALUE"""),"23433")</f>
        <v>23433</v>
      </c>
      <c r="B1728" s="3" t="str">
        <f>IFERROR(__xludf.DUMMYFUNCTION("""COMPUTED_VALUE"""),"นายมนัส สาและ")</f>
        <v>นายมนัส สาและ</v>
      </c>
      <c r="C1728" s="3" t="str">
        <f>IFERROR(__xludf.DUMMYFUNCTION("""COMPUTED_VALUE"""),"ม.5/1")</f>
        <v>ม.5/1</v>
      </c>
      <c r="D1728" s="3" t="str">
        <f>IFERROR(__xludf.DUMMYFUNCTION("""COMPUTED_VALUE"""),"อก.3/1")</f>
        <v>อก.3/1</v>
      </c>
      <c r="E1728" s="2" t="str">
        <f>IFERROR(__xludf.DUMMYFUNCTION("""COMPUTED_VALUE"""),"ชาย")</f>
        <v>ชาย</v>
      </c>
      <c r="F1728" s="5" t="str">
        <f>IFERROR(__xludf.DUMMYFUNCTION("""COMPUTED_VALUE"""),"https://azizstan.net/student_image/23433.jpg")</f>
        <v>https://azizstan.net/student_image/23433.jpg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>
      <c r="A1729" s="3" t="str">
        <f>IFERROR(__xludf.DUMMYFUNCTION("""COMPUTED_VALUE"""),"23443")</f>
        <v>23443</v>
      </c>
      <c r="B1729" s="3" t="str">
        <f>IFERROR(__xludf.DUMMYFUNCTION("""COMPUTED_VALUE"""),"นายอิสกันดาร์ ลาเตะ")</f>
        <v>นายอิสกันดาร์ ลาเตะ</v>
      </c>
      <c r="C1729" s="3" t="str">
        <f>IFERROR(__xludf.DUMMYFUNCTION("""COMPUTED_VALUE"""),"ม.5/1")</f>
        <v>ม.5/1</v>
      </c>
      <c r="D1729" s="3" t="str">
        <f>IFERROR(__xludf.DUMMYFUNCTION("""COMPUTED_VALUE"""),"อก.3/1")</f>
        <v>อก.3/1</v>
      </c>
      <c r="E1729" s="2" t="str">
        <f>IFERROR(__xludf.DUMMYFUNCTION("""COMPUTED_VALUE"""),"ชาย")</f>
        <v>ชาย</v>
      </c>
      <c r="F1729" s="5" t="str">
        <f>IFERROR(__xludf.DUMMYFUNCTION("""COMPUTED_VALUE"""),"https://azizstan.net/student_image/23443.jpg")</f>
        <v>https://azizstan.net/student_image/23443.jpg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>
      <c r="A1730" s="3" t="str">
        <f>IFERROR(__xludf.DUMMYFUNCTION("""COMPUTED_VALUE"""),"23503")</f>
        <v>23503</v>
      </c>
      <c r="B1730" s="3" t="str">
        <f>IFERROR(__xludf.DUMMYFUNCTION("""COMPUTED_VALUE"""),"นายอาริฟ เหมอุดม")</f>
        <v>นายอาริฟ เหมอุดม</v>
      </c>
      <c r="C1730" s="3" t="str">
        <f>IFERROR(__xludf.DUMMYFUNCTION("""COMPUTED_VALUE"""),"ม.5/1")</f>
        <v>ม.5/1</v>
      </c>
      <c r="D1730" s="3" t="str">
        <f>IFERROR(__xludf.DUMMYFUNCTION("""COMPUTED_VALUE"""),"อป.1/1")</f>
        <v>อป.1/1</v>
      </c>
      <c r="E1730" s="2" t="str">
        <f>IFERROR(__xludf.DUMMYFUNCTION("""COMPUTED_VALUE"""),"ชาย")</f>
        <v>ชาย</v>
      </c>
      <c r="F1730" s="5" t="str">
        <f>IFERROR(__xludf.DUMMYFUNCTION("""COMPUTED_VALUE"""),"https://azizstan.net/student_image/23503.jpg")</f>
        <v>https://azizstan.net/student_image/23503.jpg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>
      <c r="A1731" s="3" t="str">
        <f>IFERROR(__xludf.DUMMYFUNCTION("""COMPUTED_VALUE"""),"23517")</f>
        <v>23517</v>
      </c>
      <c r="B1731" s="3" t="str">
        <f>IFERROR(__xludf.DUMMYFUNCTION("""COMPUTED_VALUE"""),"นายยะฟัร บิลา")</f>
        <v>นายยะฟัร บิลา</v>
      </c>
      <c r="C1731" s="3" t="str">
        <f>IFERROR(__xludf.DUMMYFUNCTION("""COMPUTED_VALUE"""),"ม.5/1")</f>
        <v>ม.5/1</v>
      </c>
      <c r="D1731" s="3" t="str">
        <f>IFERROR(__xludf.DUMMYFUNCTION("""COMPUTED_VALUE"""),"อป.1/1")</f>
        <v>อป.1/1</v>
      </c>
      <c r="E1731" s="2" t="str">
        <f>IFERROR(__xludf.DUMMYFUNCTION("""COMPUTED_VALUE"""),"ชาย")</f>
        <v>ชาย</v>
      </c>
      <c r="F1731" s="5" t="str">
        <f>IFERROR(__xludf.DUMMYFUNCTION("""COMPUTED_VALUE"""),"https://azizstan.net/student_image/23517.jpg")</f>
        <v>https://azizstan.net/student_image/23517.jpg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>
      <c r="A1732" s="3" t="str">
        <f>IFERROR(__xludf.DUMMYFUNCTION("""COMPUTED_VALUE"""),"23520")</f>
        <v>23520</v>
      </c>
      <c r="B1732" s="3" t="str">
        <f>IFERROR(__xludf.DUMMYFUNCTION("""COMPUTED_VALUE"""),"นายอัซซูวา ยาโงะ")</f>
        <v>นายอัซซูวา ยาโงะ</v>
      </c>
      <c r="C1732" s="3" t="str">
        <f>IFERROR(__xludf.DUMMYFUNCTION("""COMPUTED_VALUE"""),"ม.5/1")</f>
        <v>ม.5/1</v>
      </c>
      <c r="D1732" s="3" t="str">
        <f>IFERROR(__xludf.DUMMYFUNCTION("""COMPUTED_VALUE"""),"อก.3/1")</f>
        <v>อก.3/1</v>
      </c>
      <c r="E1732" s="2" t="str">
        <f>IFERROR(__xludf.DUMMYFUNCTION("""COMPUTED_VALUE"""),"ชาย")</f>
        <v>ชาย</v>
      </c>
      <c r="F1732" s="5" t="str">
        <f>IFERROR(__xludf.DUMMYFUNCTION("""COMPUTED_VALUE"""),"https://azizstan.net/student_image/23520.jpg")</f>
        <v>https://azizstan.net/student_image/23520.jpg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>
      <c r="A1733" s="3" t="str">
        <f>IFERROR(__xludf.DUMMYFUNCTION("""COMPUTED_VALUE"""),"23522")</f>
        <v>23522</v>
      </c>
      <c r="B1733" s="3" t="str">
        <f>IFERROR(__xludf.DUMMYFUNCTION("""COMPUTED_VALUE"""),"นายมะซัมรี บาสอ")</f>
        <v>นายมะซัมรี บาสอ</v>
      </c>
      <c r="C1733" s="3" t="str">
        <f>IFERROR(__xludf.DUMMYFUNCTION("""COMPUTED_VALUE"""),"ม.5/1")</f>
        <v>ม.5/1</v>
      </c>
      <c r="D1733" s="3" t="str">
        <f>IFERROR(__xludf.DUMMYFUNCTION("""COMPUTED_VALUE"""),"อก.3/1")</f>
        <v>อก.3/1</v>
      </c>
      <c r="E1733" s="2" t="str">
        <f>IFERROR(__xludf.DUMMYFUNCTION("""COMPUTED_VALUE"""),"ชาย")</f>
        <v>ชาย</v>
      </c>
      <c r="F1733" s="5" t="str">
        <f>IFERROR(__xludf.DUMMYFUNCTION("""COMPUTED_VALUE"""),"https://azizstan.net/student_image/23522.jpg")</f>
        <v>https://azizstan.net/student_image/23522.jpg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>
      <c r="A1734" s="3" t="str">
        <f>IFERROR(__xludf.DUMMYFUNCTION("""COMPUTED_VALUE"""),"23538")</f>
        <v>23538</v>
      </c>
      <c r="B1734" s="3" t="str">
        <f>IFERROR(__xludf.DUMMYFUNCTION("""COMPUTED_VALUE"""),"นายอภิสิทธิ์ ดือเร๊ะ")</f>
        <v>นายอภิสิทธิ์ ดือเร๊ะ</v>
      </c>
      <c r="C1734" s="3" t="str">
        <f>IFERROR(__xludf.DUMMYFUNCTION("""COMPUTED_VALUE"""),"ม.5/1")</f>
        <v>ม.5/1</v>
      </c>
      <c r="D1734" s="3" t="str">
        <f>IFERROR(__xludf.DUMMYFUNCTION("""COMPUTED_VALUE"""),"อก.3/1")</f>
        <v>อก.3/1</v>
      </c>
      <c r="E1734" s="2" t="str">
        <f>IFERROR(__xludf.DUMMYFUNCTION("""COMPUTED_VALUE"""),"ชาย")</f>
        <v>ชาย</v>
      </c>
      <c r="F1734" s="5" t="str">
        <f>IFERROR(__xludf.DUMMYFUNCTION("""COMPUTED_VALUE"""),"https://azizstan.net/student_image/23538.jpg")</f>
        <v>https://azizstan.net/student_image/23538.jpg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>
      <c r="A1735" s="3" t="str">
        <f>IFERROR(__xludf.DUMMYFUNCTION("""COMPUTED_VALUE"""),"23576")</f>
        <v>23576</v>
      </c>
      <c r="B1735" s="3" t="str">
        <f>IFERROR(__xludf.DUMMYFUNCTION("""COMPUTED_VALUE"""),"นายบะห์รี ดอเล็ง")</f>
        <v>นายบะห์รี ดอเล็ง</v>
      </c>
      <c r="C1735" s="3" t="str">
        <f>IFERROR(__xludf.DUMMYFUNCTION("""COMPUTED_VALUE"""),"ม.5/1")</f>
        <v>ม.5/1</v>
      </c>
      <c r="D1735" s="3" t="str">
        <f>IFERROR(__xludf.DUMMYFUNCTION("""COMPUTED_VALUE"""),"อก.3/1")</f>
        <v>อก.3/1</v>
      </c>
      <c r="E1735" s="2" t="str">
        <f>IFERROR(__xludf.DUMMYFUNCTION("""COMPUTED_VALUE"""),"ชาย")</f>
        <v>ชาย</v>
      </c>
      <c r="F1735" s="5" t="str">
        <f>IFERROR(__xludf.DUMMYFUNCTION("""COMPUTED_VALUE"""),"https://azizstan.net/student_image/23576.jpg")</f>
        <v>https://azizstan.net/student_image/23576.jpg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>
      <c r="A1736" s="3" t="str">
        <f>IFERROR(__xludf.DUMMYFUNCTION("""COMPUTED_VALUE"""),"23600")</f>
        <v>23600</v>
      </c>
      <c r="B1736" s="3" t="str">
        <f>IFERROR(__xludf.DUMMYFUNCTION("""COMPUTED_VALUE"""),"นายมูฮัมหมัดฮามีซี เจะแว")</f>
        <v>นายมูฮัมหมัดฮามีซี เจะแว</v>
      </c>
      <c r="C1736" s="3" t="str">
        <f>IFERROR(__xludf.DUMMYFUNCTION("""COMPUTED_VALUE"""),"ม.5/1")</f>
        <v>ม.5/1</v>
      </c>
      <c r="D1736" s="3" t="str">
        <f>IFERROR(__xludf.DUMMYFUNCTION("""COMPUTED_VALUE"""),"อก.3/1")</f>
        <v>อก.3/1</v>
      </c>
      <c r="E1736" s="2" t="str">
        <f>IFERROR(__xludf.DUMMYFUNCTION("""COMPUTED_VALUE"""),"ชาย")</f>
        <v>ชาย</v>
      </c>
      <c r="F1736" s="5" t="str">
        <f>IFERROR(__xludf.DUMMYFUNCTION("""COMPUTED_VALUE"""),"https://azizstan.net/student_image/23600.jpg")</f>
        <v>https://azizstan.net/student_image/23600.jpg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>
      <c r="A1737" s="3" t="str">
        <f>IFERROR(__xludf.DUMMYFUNCTION("""COMPUTED_VALUE"""),"23618")</f>
        <v>23618</v>
      </c>
      <c r="B1737" s="3" t="str">
        <f>IFERROR(__xludf.DUMMYFUNCTION("""COMPUTED_VALUE"""),"นายอัฟฟาน เซะมิง")</f>
        <v>นายอัฟฟาน เซะมิง</v>
      </c>
      <c r="C1737" s="3" t="str">
        <f>IFERROR(__xludf.DUMMYFUNCTION("""COMPUTED_VALUE"""),"ม.5/1")</f>
        <v>ม.5/1</v>
      </c>
      <c r="D1737" s="3" t="str">
        <f>IFERROR(__xludf.DUMMYFUNCTION("""COMPUTED_VALUE"""),"อก.3/1")</f>
        <v>อก.3/1</v>
      </c>
      <c r="E1737" s="2" t="str">
        <f>IFERROR(__xludf.DUMMYFUNCTION("""COMPUTED_VALUE"""),"ชาย")</f>
        <v>ชาย</v>
      </c>
      <c r="F1737" s="5" t="str">
        <f>IFERROR(__xludf.DUMMYFUNCTION("""COMPUTED_VALUE"""),"https://azizstan.net/student_image/23618.jpg")</f>
        <v>https://azizstan.net/student_image/23618.jpg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>
      <c r="A1738" s="3" t="str">
        <f>IFERROR(__xludf.DUMMYFUNCTION("""COMPUTED_VALUE"""),"23629")</f>
        <v>23629</v>
      </c>
      <c r="B1738" s="3" t="str">
        <f>IFERROR(__xludf.DUMMYFUNCTION("""COMPUTED_VALUE"""),"นายอาเดล มาตัดสา")</f>
        <v>นายอาเดล มาตัดสา</v>
      </c>
      <c r="C1738" s="3" t="str">
        <f>IFERROR(__xludf.DUMMYFUNCTION("""COMPUTED_VALUE"""),"ม.5/1")</f>
        <v>ม.5/1</v>
      </c>
      <c r="D1738" s="3" t="str">
        <f>IFERROR(__xludf.DUMMYFUNCTION("""COMPUTED_VALUE"""),"อก.3/1")</f>
        <v>อก.3/1</v>
      </c>
      <c r="E1738" s="2" t="str">
        <f>IFERROR(__xludf.DUMMYFUNCTION("""COMPUTED_VALUE"""),"ชาย")</f>
        <v>ชาย</v>
      </c>
      <c r="F1738" s="5" t="str">
        <f>IFERROR(__xludf.DUMMYFUNCTION("""COMPUTED_VALUE"""),"https://azizstan.net/student_image/23629.jpg")</f>
        <v>https://azizstan.net/student_image/23629.jpg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>
      <c r="A1739" s="3" t="str">
        <f>IFERROR(__xludf.DUMMYFUNCTION("""COMPUTED_VALUE"""),"23639")</f>
        <v>23639</v>
      </c>
      <c r="B1739" s="3" t="str">
        <f>IFERROR(__xludf.DUMMYFUNCTION("""COMPUTED_VALUE"""),"นายมูฮัมหมัดไฟศอล เฆดา")</f>
        <v>นายมูฮัมหมัดไฟศอล เฆดา</v>
      </c>
      <c r="C1739" s="3" t="str">
        <f>IFERROR(__xludf.DUMMYFUNCTION("""COMPUTED_VALUE"""),"ม.5/1")</f>
        <v>ม.5/1</v>
      </c>
      <c r="D1739" s="3" t="str">
        <f>IFERROR(__xludf.DUMMYFUNCTION("""COMPUTED_VALUE"""),"อก.3/1")</f>
        <v>อก.3/1</v>
      </c>
      <c r="E1739" s="2" t="str">
        <f>IFERROR(__xludf.DUMMYFUNCTION("""COMPUTED_VALUE"""),"ชาย")</f>
        <v>ชาย</v>
      </c>
      <c r="F1739" s="5" t="str">
        <f>IFERROR(__xludf.DUMMYFUNCTION("""COMPUTED_VALUE"""),"https://azizstan.net/student_image/23639.jpg")</f>
        <v>https://azizstan.net/student_image/23639.jpg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>
      <c r="A1740" s="3" t="str">
        <f>IFERROR(__xludf.DUMMYFUNCTION("""COMPUTED_VALUE"""),"23665")</f>
        <v>23665</v>
      </c>
      <c r="B1740" s="3" t="str">
        <f>IFERROR(__xludf.DUMMYFUNCTION("""COMPUTED_VALUE"""),"นายมูฮำหมัดอิลฮัม โตะวี")</f>
        <v>นายมูฮำหมัดอิลฮัม โตะวี</v>
      </c>
      <c r="C1740" s="3" t="str">
        <f>IFERROR(__xludf.DUMMYFUNCTION("""COMPUTED_VALUE"""),"ม.5/1")</f>
        <v>ม.5/1</v>
      </c>
      <c r="D1740" s="3" t="str">
        <f>IFERROR(__xludf.DUMMYFUNCTION("""COMPUTED_VALUE"""),"อก.3/1")</f>
        <v>อก.3/1</v>
      </c>
      <c r="E1740" s="2" t="str">
        <f>IFERROR(__xludf.DUMMYFUNCTION("""COMPUTED_VALUE"""),"ชาย")</f>
        <v>ชาย</v>
      </c>
      <c r="F1740" s="5" t="str">
        <f>IFERROR(__xludf.DUMMYFUNCTION("""COMPUTED_VALUE"""),"https://azizstan.net/student_image/23665.jpg")</f>
        <v>https://azizstan.net/student_image/23665.jpg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>
      <c r="A1741" s="3" t="str">
        <f>IFERROR(__xludf.DUMMYFUNCTION("""COMPUTED_VALUE"""),"23666")</f>
        <v>23666</v>
      </c>
      <c r="B1741" s="3" t="str">
        <f>IFERROR(__xludf.DUMMYFUNCTION("""COMPUTED_VALUE"""),"นายแวซารีฟฟุดดีน แวหามะ")</f>
        <v>นายแวซารีฟฟุดดีน แวหามะ</v>
      </c>
      <c r="C1741" s="3" t="str">
        <f>IFERROR(__xludf.DUMMYFUNCTION("""COMPUTED_VALUE"""),"ม.5/1")</f>
        <v>ม.5/1</v>
      </c>
      <c r="D1741" s="3" t="str">
        <f>IFERROR(__xludf.DUMMYFUNCTION("""COMPUTED_VALUE"""),"อป.2/1")</f>
        <v>อป.2/1</v>
      </c>
      <c r="E1741" s="2" t="str">
        <f>IFERROR(__xludf.DUMMYFUNCTION("""COMPUTED_VALUE"""),"ชาย")</f>
        <v>ชาย</v>
      </c>
      <c r="F1741" s="5" t="str">
        <f>IFERROR(__xludf.DUMMYFUNCTION("""COMPUTED_VALUE"""),"https://azizstan.net/student_image/23666.jpg")</f>
        <v>https://azizstan.net/student_image/23666.jpg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>
      <c r="A1742" s="3" t="str">
        <f>IFERROR(__xludf.DUMMYFUNCTION("""COMPUTED_VALUE"""),"23702")</f>
        <v>23702</v>
      </c>
      <c r="B1742" s="3" t="str">
        <f>IFERROR(__xludf.DUMMYFUNCTION("""COMPUTED_VALUE"""),"นายซอและห์ มะลี")</f>
        <v>นายซอและห์ มะลี</v>
      </c>
      <c r="C1742" s="3" t="str">
        <f>IFERROR(__xludf.DUMMYFUNCTION("""COMPUTED_VALUE"""),"ม.5/1")</f>
        <v>ม.5/1</v>
      </c>
      <c r="D1742" s="3" t="str">
        <f>IFERROR(__xludf.DUMMYFUNCTION("""COMPUTED_VALUE"""),"อป.2/1")</f>
        <v>อป.2/1</v>
      </c>
      <c r="E1742" s="2" t="str">
        <f>IFERROR(__xludf.DUMMYFUNCTION("""COMPUTED_VALUE"""),"ชาย")</f>
        <v>ชาย</v>
      </c>
      <c r="F1742" s="5" t="str">
        <f>IFERROR(__xludf.DUMMYFUNCTION("""COMPUTED_VALUE"""),"https://azizstan.net/student_image/23702.jpg")</f>
        <v>https://azizstan.net/student_image/23702.jpg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>
      <c r="A1743" s="3" t="str">
        <f>IFERROR(__xludf.DUMMYFUNCTION("""COMPUTED_VALUE"""),"23871")</f>
        <v>23871</v>
      </c>
      <c r="B1743" s="3" t="str">
        <f>IFERROR(__xludf.DUMMYFUNCTION("""COMPUTED_VALUE"""),"นายมูฮำหมัดลุตฟี สือตาปอ")</f>
        <v>นายมูฮำหมัดลุตฟี สือตาปอ</v>
      </c>
      <c r="C1743" s="3" t="str">
        <f>IFERROR(__xludf.DUMMYFUNCTION("""COMPUTED_VALUE"""),"ม.5/1")</f>
        <v>ม.5/1</v>
      </c>
      <c r="D1743" s="3" t="str">
        <f>IFERROR(__xludf.DUMMYFUNCTION("""COMPUTED_VALUE"""),"อก.3/1")</f>
        <v>อก.3/1</v>
      </c>
      <c r="E1743" s="2" t="str">
        <f>IFERROR(__xludf.DUMMYFUNCTION("""COMPUTED_VALUE"""),"ชาย")</f>
        <v>ชาย</v>
      </c>
      <c r="F1743" s="5" t="str">
        <f>IFERROR(__xludf.DUMMYFUNCTION("""COMPUTED_VALUE"""),"https://azizstan.net/student_image/23871.jpg")</f>
        <v>https://azizstan.net/student_image/23871.jpg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>
      <c r="A1744" s="3" t="str">
        <f>IFERROR(__xludf.DUMMYFUNCTION("""COMPUTED_VALUE"""),"23873")</f>
        <v>23873</v>
      </c>
      <c r="B1744" s="3" t="str">
        <f>IFERROR(__xludf.DUMMYFUNCTION("""COMPUTED_VALUE"""),"นายอมีน อาแว")</f>
        <v>นายอมีน อาแว</v>
      </c>
      <c r="C1744" s="3" t="str">
        <f>IFERROR(__xludf.DUMMYFUNCTION("""COMPUTED_VALUE"""),"ม.5/1")</f>
        <v>ม.5/1</v>
      </c>
      <c r="D1744" s="3" t="str">
        <f>IFERROR(__xludf.DUMMYFUNCTION("""COMPUTED_VALUE"""),"อก.3/1")</f>
        <v>อก.3/1</v>
      </c>
      <c r="E1744" s="2" t="str">
        <f>IFERROR(__xludf.DUMMYFUNCTION("""COMPUTED_VALUE"""),"ชาย")</f>
        <v>ชาย</v>
      </c>
      <c r="F1744" s="5" t="str">
        <f>IFERROR(__xludf.DUMMYFUNCTION("""COMPUTED_VALUE"""),"https://azizstan.net/student_image/23873.jpg")</f>
        <v>https://azizstan.net/student_image/23873.jpg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>
      <c r="A1745" s="3" t="str">
        <f>IFERROR(__xludf.DUMMYFUNCTION("""COMPUTED_VALUE"""),"23887")</f>
        <v>23887</v>
      </c>
      <c r="B1745" s="3" t="str">
        <f>IFERROR(__xludf.DUMMYFUNCTION("""COMPUTED_VALUE"""),"นายนัสรูน สาแม")</f>
        <v>นายนัสรูน สาแม</v>
      </c>
      <c r="C1745" s="3" t="str">
        <f>IFERROR(__xludf.DUMMYFUNCTION("""COMPUTED_VALUE"""),"ม.5/1")</f>
        <v>ม.5/1</v>
      </c>
      <c r="D1745" s="3" t="str">
        <f>IFERROR(__xludf.DUMMYFUNCTION("""COMPUTED_VALUE"""),"อก.3/1")</f>
        <v>อก.3/1</v>
      </c>
      <c r="E1745" s="2" t="str">
        <f>IFERROR(__xludf.DUMMYFUNCTION("""COMPUTED_VALUE"""),"ชาย")</f>
        <v>ชาย</v>
      </c>
      <c r="F1745" s="5" t="str">
        <f>IFERROR(__xludf.DUMMYFUNCTION("""COMPUTED_VALUE"""),"https://azizstan.net/student_image/23887.jpg")</f>
        <v>https://azizstan.net/student_image/23887.jpg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>
      <c r="A1746" s="3" t="str">
        <f>IFERROR(__xludf.DUMMYFUNCTION("""COMPUTED_VALUE"""),"23891")</f>
        <v>23891</v>
      </c>
      <c r="B1746" s="3" t="str">
        <f>IFERROR(__xludf.DUMMYFUNCTION("""COMPUTED_VALUE"""),"นายอิรฟาน เจะมะ")</f>
        <v>นายอิรฟาน เจะมะ</v>
      </c>
      <c r="C1746" s="3" t="str">
        <f>IFERROR(__xludf.DUMMYFUNCTION("""COMPUTED_VALUE"""),"ม.5/1")</f>
        <v>ม.5/1</v>
      </c>
      <c r="D1746" s="3" t="str">
        <f>IFERROR(__xludf.DUMMYFUNCTION("""COMPUTED_VALUE"""),"อก.3/1")</f>
        <v>อก.3/1</v>
      </c>
      <c r="E1746" s="2" t="str">
        <f>IFERROR(__xludf.DUMMYFUNCTION("""COMPUTED_VALUE"""),"ชาย")</f>
        <v>ชาย</v>
      </c>
      <c r="F1746" s="5" t="str">
        <f>IFERROR(__xludf.DUMMYFUNCTION("""COMPUTED_VALUE"""),"https://azizstan.net/student_image/23891.jpg")</f>
        <v>https://azizstan.net/student_image/23891.jpg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>
      <c r="A1747" s="3" t="str">
        <f>IFERROR(__xludf.DUMMYFUNCTION("""COMPUTED_VALUE"""),"23916")</f>
        <v>23916</v>
      </c>
      <c r="B1747" s="3" t="str">
        <f>IFERROR(__xludf.DUMMYFUNCTION("""COMPUTED_VALUE"""),"นายมูฮำหมัดฮารี เดหมาน")</f>
        <v>นายมูฮำหมัดฮารี เดหมาน</v>
      </c>
      <c r="C1747" s="3" t="str">
        <f>IFERROR(__xludf.DUMMYFUNCTION("""COMPUTED_VALUE"""),"ม.5/1")</f>
        <v>ม.5/1</v>
      </c>
      <c r="D1747" s="3" t="str">
        <f>IFERROR(__xludf.DUMMYFUNCTION("""COMPUTED_VALUE"""),"อก.3/1")</f>
        <v>อก.3/1</v>
      </c>
      <c r="E1747" s="2" t="str">
        <f>IFERROR(__xludf.DUMMYFUNCTION("""COMPUTED_VALUE"""),"ชาย")</f>
        <v>ชาย</v>
      </c>
      <c r="F1747" s="5" t="str">
        <f>IFERROR(__xludf.DUMMYFUNCTION("""COMPUTED_VALUE"""),"https://azizstan.net/student_image/23916.jpg")</f>
        <v>https://azizstan.net/student_image/23916.jpg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>
      <c r="A1748" s="3" t="str">
        <f>IFERROR(__xludf.DUMMYFUNCTION("""COMPUTED_VALUE"""),"24072")</f>
        <v>24072</v>
      </c>
      <c r="B1748" s="3" t="str">
        <f>IFERROR(__xludf.DUMMYFUNCTION("""COMPUTED_VALUE"""),"นายมูฮัมหมัดฟิตรี อาลี")</f>
        <v>นายมูฮัมหมัดฟิตรี อาลี</v>
      </c>
      <c r="C1748" s="3" t="str">
        <f>IFERROR(__xludf.DUMMYFUNCTION("""COMPUTED_VALUE"""),"ม.5/1")</f>
        <v>ม.5/1</v>
      </c>
      <c r="D1748" s="3" t="str">
        <f>IFERROR(__xludf.DUMMYFUNCTION("""COMPUTED_VALUE"""),"อก.3/1")</f>
        <v>อก.3/1</v>
      </c>
      <c r="E1748" s="2" t="str">
        <f>IFERROR(__xludf.DUMMYFUNCTION("""COMPUTED_VALUE"""),"ชาย")</f>
        <v>ชาย</v>
      </c>
      <c r="F1748" s="5" t="str">
        <f>IFERROR(__xludf.DUMMYFUNCTION("""COMPUTED_VALUE"""),"https://azizstan.net/student_image/24072.jpg")</f>
        <v>https://azizstan.net/student_image/24072.jpg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>
      <c r="A1749" s="3" t="str">
        <f>IFERROR(__xludf.DUMMYFUNCTION("""COMPUTED_VALUE"""),"24531")</f>
        <v>24531</v>
      </c>
      <c r="B1749" s="3" t="str">
        <f>IFERROR(__xludf.DUMMYFUNCTION("""COMPUTED_VALUE"""),"นายฮีซาม กาแบ")</f>
        <v>นายฮีซาม กาแบ</v>
      </c>
      <c r="C1749" s="3" t="str">
        <f>IFERROR(__xludf.DUMMYFUNCTION("""COMPUTED_VALUE"""),"ม.5/1")</f>
        <v>ม.5/1</v>
      </c>
      <c r="D1749" s="3" t="str">
        <f>IFERROR(__xludf.DUMMYFUNCTION("""COMPUTED_VALUE"""),"อป.1/1")</f>
        <v>อป.1/1</v>
      </c>
      <c r="E1749" s="2" t="str">
        <f>IFERROR(__xludf.DUMMYFUNCTION("""COMPUTED_VALUE"""),"ชาย")</f>
        <v>ชาย</v>
      </c>
      <c r="F1749" s="5" t="str">
        <f>IFERROR(__xludf.DUMMYFUNCTION("""COMPUTED_VALUE"""),"https://azizstan.net/student_image/24531.jpg")</f>
        <v>https://azizstan.net/student_image/24531.jpg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>
      <c r="A1750" s="3" t="str">
        <f>IFERROR(__xludf.DUMMYFUNCTION("""COMPUTED_VALUE"""),"25272")</f>
        <v>25272</v>
      </c>
      <c r="B1750" s="3" t="str">
        <f>IFERROR(__xludf.DUMMYFUNCTION("""COMPUTED_VALUE"""),"นายมูฮำหมัดลุตฟี ตานิง")</f>
        <v>นายมูฮำหมัดลุตฟี ตานิง</v>
      </c>
      <c r="C1750" s="3" t="str">
        <f>IFERROR(__xludf.DUMMYFUNCTION("""COMPUTED_VALUE"""),"ม.5/1")</f>
        <v>ม.5/1</v>
      </c>
      <c r="D1750" s="3" t="str">
        <f>IFERROR(__xludf.DUMMYFUNCTION("""COMPUTED_VALUE"""),"อป.1/1")</f>
        <v>อป.1/1</v>
      </c>
      <c r="E1750" s="2" t="str">
        <f>IFERROR(__xludf.DUMMYFUNCTION("""COMPUTED_VALUE"""),"ชาย")</f>
        <v>ชาย</v>
      </c>
      <c r="F1750" s="5" t="str">
        <f>IFERROR(__xludf.DUMMYFUNCTION("""COMPUTED_VALUE"""),"https://azizstan.net/student_image/25272.jpg")</f>
        <v>https://azizstan.net/student_image/25272.jpg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>
      <c r="A1751" s="3" t="str">
        <f>IFERROR(__xludf.DUMMYFUNCTION("""COMPUTED_VALUE"""),"25346")</f>
        <v>25346</v>
      </c>
      <c r="B1751" s="3" t="str">
        <f>IFERROR(__xludf.DUMMYFUNCTION("""COMPUTED_VALUE"""),"นายชลธี ยุนุ้ย")</f>
        <v>นายชลธี ยุนุ้ย</v>
      </c>
      <c r="C1751" s="3" t="str">
        <f>IFERROR(__xludf.DUMMYFUNCTION("""COMPUTED_VALUE"""),"ม.5/1")</f>
        <v>ม.5/1</v>
      </c>
      <c r="D1751" s="3" t="str">
        <f>IFERROR(__xludf.DUMMYFUNCTION("""COMPUTED_VALUE"""),"อก.3/1")</f>
        <v>อก.3/1</v>
      </c>
      <c r="E1751" s="2" t="str">
        <f>IFERROR(__xludf.DUMMYFUNCTION("""COMPUTED_VALUE"""),"ชาย")</f>
        <v>ชาย</v>
      </c>
      <c r="F1751" s="5" t="str">
        <f>IFERROR(__xludf.DUMMYFUNCTION("""COMPUTED_VALUE"""),"https://azizstan.net/student_image/25346.jpg")</f>
        <v>https://azizstan.net/student_image/25346.jpg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>
      <c r="A1752" s="3" t="str">
        <f>IFERROR(__xludf.DUMMYFUNCTION("""COMPUTED_VALUE"""),"25357")</f>
        <v>25357</v>
      </c>
      <c r="B1752" s="3" t="str">
        <f>IFERROR(__xludf.DUMMYFUNCTION("""COMPUTED_VALUE"""),"นายมูฮัมหมัดลุตฟี ยานยา")</f>
        <v>นายมูฮัมหมัดลุตฟี ยานยา</v>
      </c>
      <c r="C1752" s="3" t="str">
        <f>IFERROR(__xludf.DUMMYFUNCTION("""COMPUTED_VALUE"""),"ม.5/1")</f>
        <v>ม.5/1</v>
      </c>
      <c r="D1752" s="3" t="str">
        <f>IFERROR(__xludf.DUMMYFUNCTION("""COMPUTED_VALUE"""),"อป.2/1")</f>
        <v>อป.2/1</v>
      </c>
      <c r="E1752" s="2" t="str">
        <f>IFERROR(__xludf.DUMMYFUNCTION("""COMPUTED_VALUE"""),"ชาย")</f>
        <v>ชาย</v>
      </c>
      <c r="F1752" s="5" t="str">
        <f>IFERROR(__xludf.DUMMYFUNCTION("""COMPUTED_VALUE"""),"https://azizstan.net/student_image/25357.jpg")</f>
        <v>https://azizstan.net/student_image/25357.jpg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>
      <c r="A1753" s="3" t="str">
        <f>IFERROR(__xludf.DUMMYFUNCTION("""COMPUTED_VALUE"""),"25391")</f>
        <v>25391</v>
      </c>
      <c r="B1753" s="3" t="str">
        <f>IFERROR(__xludf.DUMMYFUNCTION("""COMPUTED_VALUE"""),"นายมูฮัมหมัด อาแว")</f>
        <v>นายมูฮัมหมัด อาแว</v>
      </c>
      <c r="C1753" s="3" t="str">
        <f>IFERROR(__xludf.DUMMYFUNCTION("""COMPUTED_VALUE"""),"ม.5/1")</f>
        <v>ม.5/1</v>
      </c>
      <c r="D1753" s="3" t="str">
        <f>IFERROR(__xludf.DUMMYFUNCTION("""COMPUTED_VALUE"""),"อก.3/1")</f>
        <v>อก.3/1</v>
      </c>
      <c r="E1753" s="2" t="str">
        <f>IFERROR(__xludf.DUMMYFUNCTION("""COMPUTED_VALUE"""),"ชาย")</f>
        <v>ชาย</v>
      </c>
      <c r="F1753" s="5" t="str">
        <f>IFERROR(__xludf.DUMMYFUNCTION("""COMPUTED_VALUE"""),"https://azizstan.net/student_image/25391.jpg")</f>
        <v>https://azizstan.net/student_image/25391.jpg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>
      <c r="A1754" s="3" t="str">
        <f>IFERROR(__xludf.DUMMYFUNCTION("""COMPUTED_VALUE"""),"25433")</f>
        <v>25433</v>
      </c>
      <c r="B1754" s="3" t="str">
        <f>IFERROR(__xludf.DUMMYFUNCTION("""COMPUTED_VALUE"""),"นายเร๊าะหมัด กูบาเล๊าะ")</f>
        <v>นายเร๊าะหมัด กูบาเล๊าะ</v>
      </c>
      <c r="C1754" s="3" t="str">
        <f>IFERROR(__xludf.DUMMYFUNCTION("""COMPUTED_VALUE"""),"ม.5/1")</f>
        <v>ม.5/1</v>
      </c>
      <c r="D1754" s="3" t="str">
        <f>IFERROR(__xludf.DUMMYFUNCTION("""COMPUTED_VALUE"""),"อป.2/1")</f>
        <v>อป.2/1</v>
      </c>
      <c r="E1754" s="2" t="str">
        <f>IFERROR(__xludf.DUMMYFUNCTION("""COMPUTED_VALUE"""),"ชาย")</f>
        <v>ชาย</v>
      </c>
      <c r="F1754" s="5" t="str">
        <f>IFERROR(__xludf.DUMMYFUNCTION("""COMPUTED_VALUE"""),"https://azizstan.net/student_image/25433.jpg")</f>
        <v>https://azizstan.net/student_image/25433.jpg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>
      <c r="A1755" s="3" t="str">
        <f>IFERROR(__xludf.DUMMYFUNCTION("""COMPUTED_VALUE"""),"25434")</f>
        <v>25434</v>
      </c>
      <c r="B1755" s="3" t="str">
        <f>IFERROR(__xludf.DUMMYFUNCTION("""COMPUTED_VALUE"""),"นายนูรูดีน ใบโสะดำ")</f>
        <v>นายนูรูดีน ใบโสะดำ</v>
      </c>
      <c r="C1755" s="3" t="str">
        <f>IFERROR(__xludf.DUMMYFUNCTION("""COMPUTED_VALUE"""),"ม.5/1")</f>
        <v>ม.5/1</v>
      </c>
      <c r="D1755" s="3" t="str">
        <f>IFERROR(__xludf.DUMMYFUNCTION("""COMPUTED_VALUE"""),"อก.2/1")</f>
        <v>อก.2/1</v>
      </c>
      <c r="E1755" s="2" t="str">
        <f>IFERROR(__xludf.DUMMYFUNCTION("""COMPUTED_VALUE"""),"ชาย")</f>
        <v>ชาย</v>
      </c>
      <c r="F1755" s="5" t="str">
        <f>IFERROR(__xludf.DUMMYFUNCTION("""COMPUTED_VALUE"""),"https://azizstan.net/student_image/25434.jpg")</f>
        <v>https://azizstan.net/student_image/25434.jpg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>
      <c r="A1756" s="3" t="str">
        <f>IFERROR(__xludf.DUMMYFUNCTION("""COMPUTED_VALUE"""),"25482")</f>
        <v>25482</v>
      </c>
      <c r="B1756" s="3" t="str">
        <f>IFERROR(__xludf.DUMMYFUNCTION("""COMPUTED_VALUE"""),"นายฮิฟนี เจ๊ะดอมะ")</f>
        <v>นายฮิฟนี เจ๊ะดอมะ</v>
      </c>
      <c r="C1756" s="3" t="str">
        <f>IFERROR(__xludf.DUMMYFUNCTION("""COMPUTED_VALUE"""),"ม.5/1")</f>
        <v>ม.5/1</v>
      </c>
      <c r="D1756" s="3" t="str">
        <f>IFERROR(__xludf.DUMMYFUNCTION("""COMPUTED_VALUE"""),"อก.2/1")</f>
        <v>อก.2/1</v>
      </c>
      <c r="E1756" s="2" t="str">
        <f>IFERROR(__xludf.DUMMYFUNCTION("""COMPUTED_VALUE"""),"ชาย")</f>
        <v>ชาย</v>
      </c>
      <c r="F1756" s="5" t="str">
        <f>IFERROR(__xludf.DUMMYFUNCTION("""COMPUTED_VALUE"""),"https://azizstan.net/student_image/25482.jpg")</f>
        <v>https://azizstan.net/student_image/25482.jpg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>
      <c r="A1757" s="3" t="str">
        <f>IFERROR(__xludf.DUMMYFUNCTION("""COMPUTED_VALUE"""),"25591")</f>
        <v>25591</v>
      </c>
      <c r="B1757" s="3" t="str">
        <f>IFERROR(__xludf.DUMMYFUNCTION("""COMPUTED_VALUE"""),"นายมูฮัมหมัดรอมฎอน กูวิง")</f>
        <v>นายมูฮัมหมัดรอมฎอน กูวิง</v>
      </c>
      <c r="C1757" s="3" t="str">
        <f>IFERROR(__xludf.DUMMYFUNCTION("""COMPUTED_VALUE"""),"ม.5/1")</f>
        <v>ม.5/1</v>
      </c>
      <c r="D1757" s="3" t="str">
        <f>IFERROR(__xludf.DUMMYFUNCTION("""COMPUTED_VALUE"""),"อก.2/1")</f>
        <v>อก.2/1</v>
      </c>
      <c r="E1757" s="2" t="str">
        <f>IFERROR(__xludf.DUMMYFUNCTION("""COMPUTED_VALUE"""),"ชาย")</f>
        <v>ชาย</v>
      </c>
      <c r="F1757" s="5" t="str">
        <f>IFERROR(__xludf.DUMMYFUNCTION("""COMPUTED_VALUE"""),"https://azizstan.net/student_image/25591.jpg")</f>
        <v>https://azizstan.net/student_image/25591.jpg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>
      <c r="A1758" s="3" t="str">
        <f>IFERROR(__xludf.DUMMYFUNCTION("""COMPUTED_VALUE"""),"25690")</f>
        <v>25690</v>
      </c>
      <c r="B1758" s="3" t="str">
        <f>IFERROR(__xludf.DUMMYFUNCTION("""COMPUTED_VALUE"""),"นายฮานาฟี สาอิ")</f>
        <v>นายฮานาฟี สาอิ</v>
      </c>
      <c r="C1758" s="3" t="str">
        <f>IFERROR(__xludf.DUMMYFUNCTION("""COMPUTED_VALUE"""),"ม.5/1")</f>
        <v>ม.5/1</v>
      </c>
      <c r="D1758" s="3" t="str">
        <f>IFERROR(__xludf.DUMMYFUNCTION("""COMPUTED_VALUE"""),"อก.2/1")</f>
        <v>อก.2/1</v>
      </c>
      <c r="E1758" s="2" t="str">
        <f>IFERROR(__xludf.DUMMYFUNCTION("""COMPUTED_VALUE"""),"ชาย")</f>
        <v>ชาย</v>
      </c>
      <c r="F1758" s="5" t="str">
        <f>IFERROR(__xludf.DUMMYFUNCTION("""COMPUTED_VALUE"""),"https://azizstan.net/student_image/25690.jpg")</f>
        <v>https://azizstan.net/student_image/25690.jpg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>
      <c r="A1759" s="3" t="str">
        <f>IFERROR(__xludf.DUMMYFUNCTION("""COMPUTED_VALUE"""),"25912")</f>
        <v>25912</v>
      </c>
      <c r="B1759" s="3" t="str">
        <f>IFERROR(__xludf.DUMMYFUNCTION("""COMPUTED_VALUE"""),"นายอัรฮาม เจะแว")</f>
        <v>นายอัรฮาม เจะแว</v>
      </c>
      <c r="C1759" s="3" t="str">
        <f>IFERROR(__xludf.DUMMYFUNCTION("""COMPUTED_VALUE"""),"ม.5/1")</f>
        <v>ม.5/1</v>
      </c>
      <c r="D1759" s="3" t="str">
        <f>IFERROR(__xludf.DUMMYFUNCTION("""COMPUTED_VALUE"""),"อป.2/1")</f>
        <v>อป.2/1</v>
      </c>
      <c r="E1759" s="2" t="str">
        <f>IFERROR(__xludf.DUMMYFUNCTION("""COMPUTED_VALUE"""),"ชาย")</f>
        <v>ชาย</v>
      </c>
      <c r="F1759" s="5" t="str">
        <f>IFERROR(__xludf.DUMMYFUNCTION("""COMPUTED_VALUE"""),"https://azizstan.net/student_image/25912.jpg")</f>
        <v>https://azizstan.net/student_image/25912.jpg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>
      <c r="A1760" s="3" t="str">
        <f>IFERROR(__xludf.DUMMYFUNCTION("""COMPUTED_VALUE"""),"25958")</f>
        <v>25958</v>
      </c>
      <c r="B1760" s="3" t="str">
        <f>IFERROR(__xludf.DUMMYFUNCTION("""COMPUTED_VALUE"""),"นายธันวา อ่อนเกลี้ยง")</f>
        <v>นายธันวา อ่อนเกลี้ยง</v>
      </c>
      <c r="C1760" s="3" t="str">
        <f>IFERROR(__xludf.DUMMYFUNCTION("""COMPUTED_VALUE"""),"ม.5/1")</f>
        <v>ม.5/1</v>
      </c>
      <c r="D1760" s="3" t="str">
        <f>IFERROR(__xludf.DUMMYFUNCTION("""COMPUTED_VALUE"""),"อก.2/1")</f>
        <v>อก.2/1</v>
      </c>
      <c r="E1760" s="2" t="str">
        <f>IFERROR(__xludf.DUMMYFUNCTION("""COMPUTED_VALUE"""),"ชาย")</f>
        <v>ชาย</v>
      </c>
      <c r="F1760" s="5" t="str">
        <f>IFERROR(__xludf.DUMMYFUNCTION("""COMPUTED_VALUE"""),"https://azizstan.net/student_image/25958.jpg")</f>
        <v>https://azizstan.net/student_image/25958.jpg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>
      <c r="A1761" s="3" t="str">
        <f>IFERROR(__xludf.DUMMYFUNCTION("""COMPUTED_VALUE"""),"25999")</f>
        <v>25999</v>
      </c>
      <c r="B1761" s="3" t="str">
        <f>IFERROR(__xludf.DUMMYFUNCTION("""COMPUTED_VALUE"""),"นายอานัส ดอแต")</f>
        <v>นายอานัส ดอแต</v>
      </c>
      <c r="C1761" s="3" t="str">
        <f>IFERROR(__xludf.DUMMYFUNCTION("""COMPUTED_VALUE"""),"ม.5/1")</f>
        <v>ม.5/1</v>
      </c>
      <c r="D1761" s="3" t="str">
        <f>IFERROR(__xludf.DUMMYFUNCTION("""COMPUTED_VALUE"""),"อก.2/1")</f>
        <v>อก.2/1</v>
      </c>
      <c r="E1761" s="2" t="str">
        <f>IFERROR(__xludf.DUMMYFUNCTION("""COMPUTED_VALUE"""),"ชาย")</f>
        <v>ชาย</v>
      </c>
      <c r="F1761" s="5" t="str">
        <f>IFERROR(__xludf.DUMMYFUNCTION("""COMPUTED_VALUE"""),"https://azizstan.net/student_image/25999.jpg")</f>
        <v>https://azizstan.net/student_image/25999.jpg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>
      <c r="A1762" s="3" t="str">
        <f>IFERROR(__xludf.DUMMYFUNCTION("""COMPUTED_VALUE"""),"26051")</f>
        <v>26051</v>
      </c>
      <c r="B1762" s="3" t="str">
        <f>IFERROR(__xludf.DUMMYFUNCTION("""COMPUTED_VALUE"""),"นายอนุสรณ์ เป๊าะซา")</f>
        <v>นายอนุสรณ์ เป๊าะซา</v>
      </c>
      <c r="C1762" s="3" t="str">
        <f>IFERROR(__xludf.DUMMYFUNCTION("""COMPUTED_VALUE"""),"ม.5/1")</f>
        <v>ม.5/1</v>
      </c>
      <c r="D1762" s="3" t="str">
        <f>IFERROR(__xludf.DUMMYFUNCTION("""COMPUTED_VALUE"""),"อก.3/1")</f>
        <v>อก.3/1</v>
      </c>
      <c r="E1762" s="2" t="str">
        <f>IFERROR(__xludf.DUMMYFUNCTION("""COMPUTED_VALUE"""),"ชาย")</f>
        <v>ชาย</v>
      </c>
      <c r="F1762" s="5" t="str">
        <f>IFERROR(__xludf.DUMMYFUNCTION("""COMPUTED_VALUE"""),"https://azizstan.net/student_image/26051.jpg")</f>
        <v>https://azizstan.net/student_image/26051.jpg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>
      <c r="A1763" s="3" t="str">
        <f>IFERROR(__xludf.DUMMYFUNCTION("""COMPUTED_VALUE"""),"21905")</f>
        <v>21905</v>
      </c>
      <c r="B1763" s="3" t="str">
        <f>IFERROR(__xludf.DUMMYFUNCTION("""COMPUTED_VALUE"""),"นายมูฮัมหมัดรูสลัน สาแม")</f>
        <v>นายมูฮัมหมัดรูสลัน สาแม</v>
      </c>
      <c r="C1763" s="3" t="str">
        <f>IFERROR(__xludf.DUMMYFUNCTION("""COMPUTED_VALUE"""),"ม.5/2")</f>
        <v>ม.5/2</v>
      </c>
      <c r="D1763" s="3" t="str">
        <f>IFERROR(__xludf.DUMMYFUNCTION("""COMPUTED_VALUE"""),"อก.3/4")</f>
        <v>อก.3/4</v>
      </c>
      <c r="E1763" s="2" t="str">
        <f>IFERROR(__xludf.DUMMYFUNCTION("""COMPUTED_VALUE"""),"ชาย")</f>
        <v>ชาย</v>
      </c>
      <c r="F1763" s="5" t="str">
        <f>IFERROR(__xludf.DUMMYFUNCTION("""COMPUTED_VALUE"""),"https://azizstan.net/student_image/21905.jpg")</f>
        <v>https://azizstan.net/student_image/21905.jpg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>
      <c r="A1764" s="3" t="str">
        <f>IFERROR(__xludf.DUMMYFUNCTION("""COMPUTED_VALUE"""),"23338")</f>
        <v>23338</v>
      </c>
      <c r="B1764" s="3" t="str">
        <f>IFERROR(__xludf.DUMMYFUNCTION("""COMPUTED_VALUE"""),"นายอาลิฟ สาแล๊ะหมิน")</f>
        <v>นายอาลิฟ สาแล๊ะหมิน</v>
      </c>
      <c r="C1764" s="3" t="str">
        <f>IFERROR(__xludf.DUMMYFUNCTION("""COMPUTED_VALUE"""),"ม.5/2")</f>
        <v>ม.5/2</v>
      </c>
      <c r="D1764" s="3" t="str">
        <f>IFERROR(__xludf.DUMMYFUNCTION("""COMPUTED_VALUE"""),"อก.3/4")</f>
        <v>อก.3/4</v>
      </c>
      <c r="E1764" s="2" t="str">
        <f>IFERROR(__xludf.DUMMYFUNCTION("""COMPUTED_VALUE"""),"ชาย")</f>
        <v>ชาย</v>
      </c>
      <c r="F1764" s="5" t="str">
        <f>IFERROR(__xludf.DUMMYFUNCTION("""COMPUTED_VALUE"""),"https://azizstan.net/student_image/23338.jpg")</f>
        <v>https://azizstan.net/student_image/23338.jpg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>
      <c r="A1765" s="3" t="str">
        <f>IFERROR(__xludf.DUMMYFUNCTION("""COMPUTED_VALUE"""),"23355")</f>
        <v>23355</v>
      </c>
      <c r="B1765" s="3" t="str">
        <f>IFERROR(__xludf.DUMMYFUNCTION("""COMPUTED_VALUE"""),"นายมูฮัมหมัดอานาซี หะยีดอเลาะ")</f>
        <v>นายมูฮัมหมัดอานาซี หะยีดอเลาะ</v>
      </c>
      <c r="C1765" s="3" t="str">
        <f>IFERROR(__xludf.DUMMYFUNCTION("""COMPUTED_VALUE"""),"ม.5/2")</f>
        <v>ม.5/2</v>
      </c>
      <c r="D1765" s="3" t="str">
        <f>IFERROR(__xludf.DUMMYFUNCTION("""COMPUTED_VALUE"""),"อก.3/4")</f>
        <v>อก.3/4</v>
      </c>
      <c r="E1765" s="2" t="str">
        <f>IFERROR(__xludf.DUMMYFUNCTION("""COMPUTED_VALUE"""),"ชาย")</f>
        <v>ชาย</v>
      </c>
      <c r="F1765" s="5" t="str">
        <f>IFERROR(__xludf.DUMMYFUNCTION("""COMPUTED_VALUE"""),"https://azizstan.net/student_image/23355.jpg")</f>
        <v>https://azizstan.net/student_image/23355.jpg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>
      <c r="A1766" s="3" t="str">
        <f>IFERROR(__xludf.DUMMYFUNCTION("""COMPUTED_VALUE"""),"23366")</f>
        <v>23366</v>
      </c>
      <c r="B1766" s="3" t="str">
        <f>IFERROR(__xludf.DUMMYFUNCTION("""COMPUTED_VALUE"""),"นายลุตฟี ยีกะจิ")</f>
        <v>นายลุตฟี ยีกะจิ</v>
      </c>
      <c r="C1766" s="3" t="str">
        <f>IFERROR(__xludf.DUMMYFUNCTION("""COMPUTED_VALUE"""),"ม.5/2")</f>
        <v>ม.5/2</v>
      </c>
      <c r="D1766" s="3" t="str">
        <f>IFERROR(__xludf.DUMMYFUNCTION("""COMPUTED_VALUE"""),"อก.3/2")</f>
        <v>อก.3/2</v>
      </c>
      <c r="E1766" s="2" t="str">
        <f>IFERROR(__xludf.DUMMYFUNCTION("""COMPUTED_VALUE"""),"ชาย")</f>
        <v>ชาย</v>
      </c>
      <c r="F1766" s="5" t="str">
        <f>IFERROR(__xludf.DUMMYFUNCTION("""COMPUTED_VALUE"""),"https://azizstan.net/student_image/23366.jpg")</f>
        <v>https://azizstan.net/student_image/23366.jpg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>
      <c r="A1767" s="3" t="str">
        <f>IFERROR(__xludf.DUMMYFUNCTION("""COMPUTED_VALUE"""),"23401")</f>
        <v>23401</v>
      </c>
      <c r="B1767" s="3" t="str">
        <f>IFERROR(__xludf.DUMMYFUNCTION("""COMPUTED_VALUE"""),"นายนัสรุดดีน ดือราแม")</f>
        <v>นายนัสรุดดีน ดือราแม</v>
      </c>
      <c r="C1767" s="3" t="str">
        <f>IFERROR(__xludf.DUMMYFUNCTION("""COMPUTED_VALUE"""),"ม.5/2")</f>
        <v>ม.5/2</v>
      </c>
      <c r="D1767" s="3" t="str">
        <f>IFERROR(__xludf.DUMMYFUNCTION("""COMPUTED_VALUE"""),"อก.3/2")</f>
        <v>อก.3/2</v>
      </c>
      <c r="E1767" s="2" t="str">
        <f>IFERROR(__xludf.DUMMYFUNCTION("""COMPUTED_VALUE"""),"ชาย")</f>
        <v>ชาย</v>
      </c>
      <c r="F1767" s="5" t="str">
        <f>IFERROR(__xludf.DUMMYFUNCTION("""COMPUTED_VALUE"""),"https://azizstan.net/student_image/23401.jpg")</f>
        <v>https://azizstan.net/student_image/23401.jpg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>
      <c r="A1768" s="3" t="str">
        <f>IFERROR(__xludf.DUMMYFUNCTION("""COMPUTED_VALUE"""),"23406")</f>
        <v>23406</v>
      </c>
      <c r="B1768" s="3" t="str">
        <f>IFERROR(__xludf.DUMMYFUNCTION("""COMPUTED_VALUE"""),"นายอารอฟัต อาแว")</f>
        <v>นายอารอฟัต อาแว</v>
      </c>
      <c r="C1768" s="3" t="str">
        <f>IFERROR(__xludf.DUMMYFUNCTION("""COMPUTED_VALUE"""),"ม.5/2")</f>
        <v>ม.5/2</v>
      </c>
      <c r="D1768" s="3" t="str">
        <f>IFERROR(__xludf.DUMMYFUNCTION("""COMPUTED_VALUE"""),"อก.3/2")</f>
        <v>อก.3/2</v>
      </c>
      <c r="E1768" s="2" t="str">
        <f>IFERROR(__xludf.DUMMYFUNCTION("""COMPUTED_VALUE"""),"ชาย")</f>
        <v>ชาย</v>
      </c>
      <c r="F1768" s="5" t="str">
        <f>IFERROR(__xludf.DUMMYFUNCTION("""COMPUTED_VALUE"""),"https://azizstan.net/student_image/23406.jpg")</f>
        <v>https://azizstan.net/student_image/23406.jpg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>
      <c r="A1769" s="3" t="str">
        <f>IFERROR(__xludf.DUMMYFUNCTION("""COMPUTED_VALUE"""),"23458")</f>
        <v>23458</v>
      </c>
      <c r="B1769" s="3" t="str">
        <f>IFERROR(__xludf.DUMMYFUNCTION("""COMPUTED_VALUE"""),"นายดุลฟาดีน บาฮอ")</f>
        <v>นายดุลฟาดีน บาฮอ</v>
      </c>
      <c r="C1769" s="3" t="str">
        <f>IFERROR(__xludf.DUMMYFUNCTION("""COMPUTED_VALUE"""),"ม.5/2")</f>
        <v>ม.5/2</v>
      </c>
      <c r="D1769" s="3" t="str">
        <f>IFERROR(__xludf.DUMMYFUNCTION("""COMPUTED_VALUE"""),"อก.3/4")</f>
        <v>อก.3/4</v>
      </c>
      <c r="E1769" s="2" t="str">
        <f>IFERROR(__xludf.DUMMYFUNCTION("""COMPUTED_VALUE"""),"ชาย")</f>
        <v>ชาย</v>
      </c>
      <c r="F1769" s="5" t="str">
        <f>IFERROR(__xludf.DUMMYFUNCTION("""COMPUTED_VALUE"""),"https://azizstan.net/student_image/23458.jpg")</f>
        <v>https://azizstan.net/student_image/23458.jpg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>
      <c r="A1770" s="3" t="str">
        <f>IFERROR(__xludf.DUMMYFUNCTION("""COMPUTED_VALUE"""),"23470")</f>
        <v>23470</v>
      </c>
      <c r="B1770" s="3" t="str">
        <f>IFERROR(__xludf.DUMMYFUNCTION("""COMPUTED_VALUE"""),"นายรอซีน มะโระ")</f>
        <v>นายรอซีน มะโระ</v>
      </c>
      <c r="C1770" s="3" t="str">
        <f>IFERROR(__xludf.DUMMYFUNCTION("""COMPUTED_VALUE"""),"ม.5/2")</f>
        <v>ม.5/2</v>
      </c>
      <c r="D1770" s="3" t="str">
        <f>IFERROR(__xludf.DUMMYFUNCTION("""COMPUTED_VALUE"""),"อก.3/2")</f>
        <v>อก.3/2</v>
      </c>
      <c r="E1770" s="2" t="str">
        <f>IFERROR(__xludf.DUMMYFUNCTION("""COMPUTED_VALUE"""),"ชาย")</f>
        <v>ชาย</v>
      </c>
      <c r="F1770" s="5" t="str">
        <f>IFERROR(__xludf.DUMMYFUNCTION("""COMPUTED_VALUE"""),"https://azizstan.net/student_image/23470.jpg")</f>
        <v>https://azizstan.net/student_image/23470.jpg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>
      <c r="A1771" s="3" t="str">
        <f>IFERROR(__xludf.DUMMYFUNCTION("""COMPUTED_VALUE"""),"23496")</f>
        <v>23496</v>
      </c>
      <c r="B1771" s="3" t="str">
        <f>IFERROR(__xludf.DUMMYFUNCTION("""COMPUTED_VALUE"""),"นายสุไลมาน ยุนุ๊")</f>
        <v>นายสุไลมาน ยุนุ๊</v>
      </c>
      <c r="C1771" s="3" t="str">
        <f>IFERROR(__xludf.DUMMYFUNCTION("""COMPUTED_VALUE"""),"ม.5/2")</f>
        <v>ม.5/2</v>
      </c>
      <c r="D1771" s="3" t="str">
        <f>IFERROR(__xludf.DUMMYFUNCTION("""COMPUTED_VALUE"""),"อก.3/4")</f>
        <v>อก.3/4</v>
      </c>
      <c r="E1771" s="2" t="str">
        <f>IFERROR(__xludf.DUMMYFUNCTION("""COMPUTED_VALUE"""),"ชาย")</f>
        <v>ชาย</v>
      </c>
      <c r="F1771" s="5" t="str">
        <f>IFERROR(__xludf.DUMMYFUNCTION("""COMPUTED_VALUE"""),"https://azizstan.net/student_image/23496.jpg")</f>
        <v>https://azizstan.net/student_image/23496.jpg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>
      <c r="A1772" s="3" t="str">
        <f>IFERROR(__xludf.DUMMYFUNCTION("""COMPUTED_VALUE"""),"23563")</f>
        <v>23563</v>
      </c>
      <c r="B1772" s="3" t="str">
        <f>IFERROR(__xludf.DUMMYFUNCTION("""COMPUTED_VALUE"""),"นายอัสรัน ฮู่")</f>
        <v>นายอัสรัน ฮู่</v>
      </c>
      <c r="C1772" s="3" t="str">
        <f>IFERROR(__xludf.DUMMYFUNCTION("""COMPUTED_VALUE"""),"ม.5/2")</f>
        <v>ม.5/2</v>
      </c>
      <c r="D1772" s="3" t="str">
        <f>IFERROR(__xludf.DUMMYFUNCTION("""COMPUTED_VALUE"""),"อก.3/4")</f>
        <v>อก.3/4</v>
      </c>
      <c r="E1772" s="2" t="str">
        <f>IFERROR(__xludf.DUMMYFUNCTION("""COMPUTED_VALUE"""),"ชาย")</f>
        <v>ชาย</v>
      </c>
      <c r="F1772" s="5" t="str">
        <f>IFERROR(__xludf.DUMMYFUNCTION("""COMPUTED_VALUE"""),"https://azizstan.net/student_image/23563.jpg")</f>
        <v>https://azizstan.net/student_image/23563.jpg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>
      <c r="A1773" s="3" t="str">
        <f>IFERROR(__xludf.DUMMYFUNCTION("""COMPUTED_VALUE"""),"23578")</f>
        <v>23578</v>
      </c>
      <c r="B1773" s="3" t="str">
        <f>IFERROR(__xludf.DUMMYFUNCTION("""COMPUTED_VALUE"""),"นายซัลฟาน เจะมะ")</f>
        <v>นายซัลฟาน เจะมะ</v>
      </c>
      <c r="C1773" s="3" t="str">
        <f>IFERROR(__xludf.DUMMYFUNCTION("""COMPUTED_VALUE"""),"ม.5/2")</f>
        <v>ม.5/2</v>
      </c>
      <c r="D1773" s="3" t="str">
        <f>IFERROR(__xludf.DUMMYFUNCTION("""COMPUTED_VALUE"""),"อก.3/4")</f>
        <v>อก.3/4</v>
      </c>
      <c r="E1773" s="2" t="str">
        <f>IFERROR(__xludf.DUMMYFUNCTION("""COMPUTED_VALUE"""),"ชาย")</f>
        <v>ชาย</v>
      </c>
      <c r="F1773" s="5" t="str">
        <f>IFERROR(__xludf.DUMMYFUNCTION("""COMPUTED_VALUE"""),"https://azizstan.net/student_image/23578.jpg")</f>
        <v>https://azizstan.net/student_image/23578.jpg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>
      <c r="A1774" s="3" t="str">
        <f>IFERROR(__xludf.DUMMYFUNCTION("""COMPUTED_VALUE"""),"23585")</f>
        <v>23585</v>
      </c>
      <c r="B1774" s="3" t="str">
        <f>IFERROR(__xludf.DUMMYFUNCTION("""COMPUTED_VALUE"""),"นายอาดือนัน ยามาดง")</f>
        <v>นายอาดือนัน ยามาดง</v>
      </c>
      <c r="C1774" s="3" t="str">
        <f>IFERROR(__xludf.DUMMYFUNCTION("""COMPUTED_VALUE"""),"ม.5/2")</f>
        <v>ม.5/2</v>
      </c>
      <c r="D1774" s="3" t="str">
        <f>IFERROR(__xludf.DUMMYFUNCTION("""COMPUTED_VALUE"""),"อก.3/2")</f>
        <v>อก.3/2</v>
      </c>
      <c r="E1774" s="2" t="str">
        <f>IFERROR(__xludf.DUMMYFUNCTION("""COMPUTED_VALUE"""),"ชาย")</f>
        <v>ชาย</v>
      </c>
      <c r="F1774" s="5" t="str">
        <f>IFERROR(__xludf.DUMMYFUNCTION("""COMPUTED_VALUE"""),"https://azizstan.net/student_image/23585.jpg")</f>
        <v>https://azizstan.net/student_image/23585.jpg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>
      <c r="A1775" s="3" t="str">
        <f>IFERROR(__xludf.DUMMYFUNCTION("""COMPUTED_VALUE"""),"23652")</f>
        <v>23652</v>
      </c>
      <c r="B1775" s="3" t="str">
        <f>IFERROR(__xludf.DUMMYFUNCTION("""COMPUTED_VALUE"""),"นายอารีฟีน หะยีหะมะ")</f>
        <v>นายอารีฟีน หะยีหะมะ</v>
      </c>
      <c r="C1775" s="3" t="str">
        <f>IFERROR(__xludf.DUMMYFUNCTION("""COMPUTED_VALUE"""),"ม.5/2")</f>
        <v>ม.5/2</v>
      </c>
      <c r="D1775" s="3" t="str">
        <f>IFERROR(__xludf.DUMMYFUNCTION("""COMPUTED_VALUE"""),"อก.3/2")</f>
        <v>อก.3/2</v>
      </c>
      <c r="E1775" s="2" t="str">
        <f>IFERROR(__xludf.DUMMYFUNCTION("""COMPUTED_VALUE"""),"ชาย")</f>
        <v>ชาย</v>
      </c>
      <c r="F1775" s="5" t="str">
        <f>IFERROR(__xludf.DUMMYFUNCTION("""COMPUTED_VALUE"""),"https://azizstan.net/student_image/23652.jpg")</f>
        <v>https://azizstan.net/student_image/23652.jpg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>
      <c r="A1776" s="3" t="str">
        <f>IFERROR(__xludf.DUMMYFUNCTION("""COMPUTED_VALUE"""),"23701")</f>
        <v>23701</v>
      </c>
      <c r="B1776" s="3" t="str">
        <f>IFERROR(__xludf.DUMMYFUNCTION("""COMPUTED_VALUE"""),"นายนิติพล ปากาลาแล")</f>
        <v>นายนิติพล ปากาลาแล</v>
      </c>
      <c r="C1776" s="3" t="str">
        <f>IFERROR(__xludf.DUMMYFUNCTION("""COMPUTED_VALUE"""),"ม.5/2")</f>
        <v>ม.5/2</v>
      </c>
      <c r="D1776" s="3" t="str">
        <f>IFERROR(__xludf.DUMMYFUNCTION("""COMPUTED_VALUE"""),"อก.3/2")</f>
        <v>อก.3/2</v>
      </c>
      <c r="E1776" s="2" t="str">
        <f>IFERROR(__xludf.DUMMYFUNCTION("""COMPUTED_VALUE"""),"ชาย")</f>
        <v>ชาย</v>
      </c>
      <c r="F1776" s="5" t="str">
        <f>IFERROR(__xludf.DUMMYFUNCTION("""COMPUTED_VALUE"""),"https://azizstan.net/student_image/23701.jpg")</f>
        <v>https://azizstan.net/student_image/23701.jpg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>
      <c r="A1777" s="3" t="str">
        <f>IFERROR(__xludf.DUMMYFUNCTION("""COMPUTED_VALUE"""),"23703")</f>
        <v>23703</v>
      </c>
      <c r="B1777" s="3" t="str">
        <f>IFERROR(__xludf.DUMMYFUNCTION("""COMPUTED_VALUE"""),"นายซอลาฮูดิง มีนาดาโอะ")</f>
        <v>นายซอลาฮูดิง มีนาดาโอะ</v>
      </c>
      <c r="C1777" s="3" t="str">
        <f>IFERROR(__xludf.DUMMYFUNCTION("""COMPUTED_VALUE"""),"ม.5/2")</f>
        <v>ม.5/2</v>
      </c>
      <c r="D1777" s="3" t="str">
        <f>IFERROR(__xludf.DUMMYFUNCTION("""COMPUTED_VALUE"""),"อก.3/4")</f>
        <v>อก.3/4</v>
      </c>
      <c r="E1777" s="2" t="str">
        <f>IFERROR(__xludf.DUMMYFUNCTION("""COMPUTED_VALUE"""),"ชาย")</f>
        <v>ชาย</v>
      </c>
      <c r="F1777" s="5" t="str">
        <f>IFERROR(__xludf.DUMMYFUNCTION("""COMPUTED_VALUE"""),"https://azizstan.net/student_image/23703.jpg")</f>
        <v>https://azizstan.net/student_image/23703.jpg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>
      <c r="A1778" s="3" t="str">
        <f>IFERROR(__xludf.DUMMYFUNCTION("""COMPUTED_VALUE"""),"23725")</f>
        <v>23725</v>
      </c>
      <c r="B1778" s="3" t="str">
        <f>IFERROR(__xludf.DUMMYFUNCTION("""COMPUTED_VALUE"""),"นายหังตูเวาะห์ ตือราแม")</f>
        <v>นายหังตูเวาะห์ ตือราแม</v>
      </c>
      <c r="C1778" s="3" t="str">
        <f>IFERROR(__xludf.DUMMYFUNCTION("""COMPUTED_VALUE"""),"ม.5/2")</f>
        <v>ม.5/2</v>
      </c>
      <c r="D1778" s="3" t="str">
        <f>IFERROR(__xludf.DUMMYFUNCTION("""COMPUTED_VALUE"""),"อก.3/4")</f>
        <v>อก.3/4</v>
      </c>
      <c r="E1778" s="2" t="str">
        <f>IFERROR(__xludf.DUMMYFUNCTION("""COMPUTED_VALUE"""),"ชาย")</f>
        <v>ชาย</v>
      </c>
      <c r="F1778" s="5" t="str">
        <f>IFERROR(__xludf.DUMMYFUNCTION("""COMPUTED_VALUE"""),"https://azizstan.net/student_image/23725.jpg")</f>
        <v>https://azizstan.net/student_image/23725.jpg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>
      <c r="A1779" s="3" t="str">
        <f>IFERROR(__xludf.DUMMYFUNCTION("""COMPUTED_VALUE"""),"23782")</f>
        <v>23782</v>
      </c>
      <c r="B1779" s="3" t="str">
        <f>IFERROR(__xludf.DUMMYFUNCTION("""COMPUTED_VALUE"""),"นายนาวิน ฟักหมิด")</f>
        <v>นายนาวิน ฟักหมิด</v>
      </c>
      <c r="C1779" s="3" t="str">
        <f>IFERROR(__xludf.DUMMYFUNCTION("""COMPUTED_VALUE"""),"ม.5/2")</f>
        <v>ม.5/2</v>
      </c>
      <c r="D1779" s="3" t="str">
        <f>IFERROR(__xludf.DUMMYFUNCTION("""COMPUTED_VALUE"""),"อก.3/4")</f>
        <v>อก.3/4</v>
      </c>
      <c r="E1779" s="2" t="str">
        <f>IFERROR(__xludf.DUMMYFUNCTION("""COMPUTED_VALUE"""),"ชาย")</f>
        <v>ชาย</v>
      </c>
      <c r="F1779" s="5" t="str">
        <f>IFERROR(__xludf.DUMMYFUNCTION("""COMPUTED_VALUE"""),"https://azizstan.net/student_image/23782.jpg")</f>
        <v>https://azizstan.net/student_image/23782.jpg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>
      <c r="A1780" s="3" t="str">
        <f>IFERROR(__xludf.DUMMYFUNCTION("""COMPUTED_VALUE"""),"23785")</f>
        <v>23785</v>
      </c>
      <c r="B1780" s="3" t="str">
        <f>IFERROR(__xludf.DUMMYFUNCTION("""COMPUTED_VALUE"""),"นายอารีฟ มะยิ")</f>
        <v>นายอารีฟ มะยิ</v>
      </c>
      <c r="C1780" s="3" t="str">
        <f>IFERROR(__xludf.DUMMYFUNCTION("""COMPUTED_VALUE"""),"ม.5/2")</f>
        <v>ม.5/2</v>
      </c>
      <c r="D1780" s="3" t="str">
        <f>IFERROR(__xludf.DUMMYFUNCTION("""COMPUTED_VALUE"""),"อก.3/2")</f>
        <v>อก.3/2</v>
      </c>
      <c r="E1780" s="2" t="str">
        <f>IFERROR(__xludf.DUMMYFUNCTION("""COMPUTED_VALUE"""),"ชาย")</f>
        <v>ชาย</v>
      </c>
      <c r="F1780" s="5" t="str">
        <f>IFERROR(__xludf.DUMMYFUNCTION("""COMPUTED_VALUE"""),"https://azizstan.net/student_image/23785.jpg")</f>
        <v>https://azizstan.net/student_image/23785.jpg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>
      <c r="A1781" s="3" t="str">
        <f>IFERROR(__xludf.DUMMYFUNCTION("""COMPUTED_VALUE"""),"23884")</f>
        <v>23884</v>
      </c>
      <c r="B1781" s="3" t="str">
        <f>IFERROR(__xludf.DUMMYFUNCTION("""COMPUTED_VALUE"""),"นายฟุรกร วาโดะ")</f>
        <v>นายฟุรกร วาโดะ</v>
      </c>
      <c r="C1781" s="3" t="str">
        <f>IFERROR(__xludf.DUMMYFUNCTION("""COMPUTED_VALUE"""),"ม.5/2")</f>
        <v>ม.5/2</v>
      </c>
      <c r="D1781" s="3" t="str">
        <f>IFERROR(__xludf.DUMMYFUNCTION("""COMPUTED_VALUE"""),"อก.3/4")</f>
        <v>อก.3/4</v>
      </c>
      <c r="E1781" s="2" t="str">
        <f>IFERROR(__xludf.DUMMYFUNCTION("""COMPUTED_VALUE"""),"ชาย")</f>
        <v>ชาย</v>
      </c>
      <c r="F1781" s="5" t="str">
        <f>IFERROR(__xludf.DUMMYFUNCTION("""COMPUTED_VALUE"""),"https://azizstan.net/student_image/23884.jpg")</f>
        <v>https://azizstan.net/student_image/23884.jpg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>
      <c r="A1782" s="3" t="str">
        <f>IFERROR(__xludf.DUMMYFUNCTION("""COMPUTED_VALUE"""),"23941")</f>
        <v>23941</v>
      </c>
      <c r="B1782" s="3" t="str">
        <f>IFERROR(__xludf.DUMMYFUNCTION("""COMPUTED_VALUE"""),"นายมะรูดิง แฉะ")</f>
        <v>นายมะรูดิง แฉะ</v>
      </c>
      <c r="C1782" s="3" t="str">
        <f>IFERROR(__xludf.DUMMYFUNCTION("""COMPUTED_VALUE"""),"ม.5/2")</f>
        <v>ม.5/2</v>
      </c>
      <c r="D1782" s="3" t="str">
        <f>IFERROR(__xludf.DUMMYFUNCTION("""COMPUTED_VALUE"""),"อก.3/2")</f>
        <v>อก.3/2</v>
      </c>
      <c r="E1782" s="2" t="str">
        <f>IFERROR(__xludf.DUMMYFUNCTION("""COMPUTED_VALUE"""),"ชาย")</f>
        <v>ชาย</v>
      </c>
      <c r="F1782" s="5" t="str">
        <f>IFERROR(__xludf.DUMMYFUNCTION("""COMPUTED_VALUE"""),"https://azizstan.net/student_image/23941.jpg")</f>
        <v>https://azizstan.net/student_image/23941.jpg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>
      <c r="A1783" s="3" t="str">
        <f>IFERROR(__xludf.DUMMYFUNCTION("""COMPUTED_VALUE"""),"23958")</f>
        <v>23958</v>
      </c>
      <c r="B1783" s="3" t="str">
        <f>IFERROR(__xludf.DUMMYFUNCTION("""COMPUTED_VALUE"""),"นายซะอุดี หะยีมิ")</f>
        <v>นายซะอุดี หะยีมิ</v>
      </c>
      <c r="C1783" s="3" t="str">
        <f>IFERROR(__xludf.DUMMYFUNCTION("""COMPUTED_VALUE"""),"ม.5/2")</f>
        <v>ม.5/2</v>
      </c>
      <c r="D1783" s="3" t="str">
        <f>IFERROR(__xludf.DUMMYFUNCTION("""COMPUTED_VALUE"""),"อก.3/4")</f>
        <v>อก.3/4</v>
      </c>
      <c r="E1783" s="2" t="str">
        <f>IFERROR(__xludf.DUMMYFUNCTION("""COMPUTED_VALUE"""),"ชาย")</f>
        <v>ชาย</v>
      </c>
      <c r="F1783" s="5" t="str">
        <f>IFERROR(__xludf.DUMMYFUNCTION("""COMPUTED_VALUE"""),"https://azizstan.net/student_image/23958.jpg")</f>
        <v>https://azizstan.net/student_image/23958.jpg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>
      <c r="A1784" s="3" t="str">
        <f>IFERROR(__xludf.DUMMYFUNCTION("""COMPUTED_VALUE"""),"25389")</f>
        <v>25389</v>
      </c>
      <c r="B1784" s="3" t="str">
        <f>IFERROR(__xludf.DUMMYFUNCTION("""COMPUTED_VALUE"""),"นายวาอิล บาฮะ")</f>
        <v>นายวาอิล บาฮะ</v>
      </c>
      <c r="C1784" s="3" t="str">
        <f>IFERROR(__xludf.DUMMYFUNCTION("""COMPUTED_VALUE"""),"ม.5/2")</f>
        <v>ม.5/2</v>
      </c>
      <c r="D1784" s="3" t="str">
        <f>IFERROR(__xludf.DUMMYFUNCTION("""COMPUTED_VALUE"""),"อก.2/4")</f>
        <v>อก.2/4</v>
      </c>
      <c r="E1784" s="2" t="str">
        <f>IFERROR(__xludf.DUMMYFUNCTION("""COMPUTED_VALUE"""),"ชาย")</f>
        <v>ชาย</v>
      </c>
      <c r="F1784" s="5" t="str">
        <f>IFERROR(__xludf.DUMMYFUNCTION("""COMPUTED_VALUE"""),"https://azizstan.net/student_image/25389.jpg")</f>
        <v>https://azizstan.net/student_image/25389.jpg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>
      <c r="A1785" s="3" t="str">
        <f>IFERROR(__xludf.DUMMYFUNCTION("""COMPUTED_VALUE"""),"25432")</f>
        <v>25432</v>
      </c>
      <c r="B1785" s="3" t="str">
        <f>IFERROR(__xludf.DUMMYFUNCTION("""COMPUTED_VALUE"""),"นายซูลกีฟลี บ้านนา")</f>
        <v>นายซูลกีฟลี บ้านนา</v>
      </c>
      <c r="C1785" s="3" t="str">
        <f>IFERROR(__xludf.DUMMYFUNCTION("""COMPUTED_VALUE"""),"ม.5/2")</f>
        <v>ม.5/2</v>
      </c>
      <c r="D1785" s="3" t="str">
        <f>IFERROR(__xludf.DUMMYFUNCTION("""COMPUTED_VALUE"""),"อป.2/2")</f>
        <v>อป.2/2</v>
      </c>
      <c r="E1785" s="2" t="str">
        <f>IFERROR(__xludf.DUMMYFUNCTION("""COMPUTED_VALUE"""),"ชาย")</f>
        <v>ชาย</v>
      </c>
      <c r="F1785" s="5" t="str">
        <f>IFERROR(__xludf.DUMMYFUNCTION("""COMPUTED_VALUE"""),"https://azizstan.net/student_image/25432.jpg")</f>
        <v>https://azizstan.net/student_image/25432.jpg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>
      <c r="A1786" s="3" t="str">
        <f>IFERROR(__xludf.DUMMYFUNCTION("""COMPUTED_VALUE"""),"25435")</f>
        <v>25435</v>
      </c>
      <c r="B1786" s="3" t="str">
        <f>IFERROR(__xludf.DUMMYFUNCTION("""COMPUTED_VALUE"""),"นายอิรฮัม ดอคอ")</f>
        <v>นายอิรฮัม ดอคอ</v>
      </c>
      <c r="C1786" s="3" t="str">
        <f>IFERROR(__xludf.DUMMYFUNCTION("""COMPUTED_VALUE"""),"ม.5/2")</f>
        <v>ม.5/2</v>
      </c>
      <c r="D1786" s="3" t="str">
        <f>IFERROR(__xludf.DUMMYFUNCTION("""COMPUTED_VALUE"""),"อก.3/2")</f>
        <v>อก.3/2</v>
      </c>
      <c r="E1786" s="2" t="str">
        <f>IFERROR(__xludf.DUMMYFUNCTION("""COMPUTED_VALUE"""),"ชาย")</f>
        <v>ชาย</v>
      </c>
      <c r="F1786" s="5" t="str">
        <f>IFERROR(__xludf.DUMMYFUNCTION("""COMPUTED_VALUE"""),"https://azizstan.net/student_image/25435.jpg")</f>
        <v>https://azizstan.net/student_image/25435.jpg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>
      <c r="A1787" s="3" t="str">
        <f>IFERROR(__xludf.DUMMYFUNCTION("""COMPUTED_VALUE"""),"25486")</f>
        <v>25486</v>
      </c>
      <c r="B1787" s="3" t="str">
        <f>IFERROR(__xludf.DUMMYFUNCTION("""COMPUTED_VALUE"""),"นายอัมมาน เจะหม๊ะ")</f>
        <v>นายอัมมาน เจะหม๊ะ</v>
      </c>
      <c r="C1787" s="3" t="str">
        <f>IFERROR(__xludf.DUMMYFUNCTION("""COMPUTED_VALUE"""),"ม.5/2")</f>
        <v>ม.5/2</v>
      </c>
      <c r="D1787" s="3" t="str">
        <f>IFERROR(__xludf.DUMMYFUNCTION("""COMPUTED_VALUE"""),"อป.2/2")</f>
        <v>อป.2/2</v>
      </c>
      <c r="E1787" s="2" t="str">
        <f>IFERROR(__xludf.DUMMYFUNCTION("""COMPUTED_VALUE"""),"ชาย")</f>
        <v>ชาย</v>
      </c>
      <c r="F1787" s="5" t="str">
        <f>IFERROR(__xludf.DUMMYFUNCTION("""COMPUTED_VALUE"""),"https://azizstan.net/student_image/25486.jpg")</f>
        <v>https://azizstan.net/student_image/25486.jpg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>
      <c r="A1788" s="3" t="str">
        <f>IFERROR(__xludf.DUMMYFUNCTION("""COMPUTED_VALUE"""),"25745")</f>
        <v>25745</v>
      </c>
      <c r="B1788" s="3" t="str">
        <f>IFERROR(__xludf.DUMMYFUNCTION("""COMPUTED_VALUE"""),"นายอัฟฮัม แหมะ")</f>
        <v>นายอัฟฮัม แหมะ</v>
      </c>
      <c r="C1788" s="3" t="str">
        <f>IFERROR(__xludf.DUMMYFUNCTION("""COMPUTED_VALUE"""),"ม.5/2")</f>
        <v>ม.5/2</v>
      </c>
      <c r="D1788" s="3" t="str">
        <f>IFERROR(__xludf.DUMMYFUNCTION("""COMPUTED_VALUE"""),"อก.2/4")</f>
        <v>อก.2/4</v>
      </c>
      <c r="E1788" s="2" t="str">
        <f>IFERROR(__xludf.DUMMYFUNCTION("""COMPUTED_VALUE"""),"ชาย")</f>
        <v>ชาย</v>
      </c>
      <c r="F1788" s="5" t="str">
        <f>IFERROR(__xludf.DUMMYFUNCTION("""COMPUTED_VALUE"""),"https://azizstan.net/student_image/25745.jpg")</f>
        <v>https://azizstan.net/student_image/25745.jpg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>
      <c r="A1789" s="3" t="str">
        <f>IFERROR(__xludf.DUMMYFUNCTION("""COMPUTED_VALUE"""),"25798")</f>
        <v>25798</v>
      </c>
      <c r="B1789" s="3" t="str">
        <f>IFERROR(__xludf.DUMMYFUNCTION("""COMPUTED_VALUE"""),"นายซุกรอน สาเหาะ")</f>
        <v>นายซุกรอน สาเหาะ</v>
      </c>
      <c r="C1789" s="3" t="str">
        <f>IFERROR(__xludf.DUMMYFUNCTION("""COMPUTED_VALUE"""),"ม.5/2")</f>
        <v>ม.5/2</v>
      </c>
      <c r="D1789" s="3" t="str">
        <f>IFERROR(__xludf.DUMMYFUNCTION("""COMPUTED_VALUE"""),"อก.2/4")</f>
        <v>อก.2/4</v>
      </c>
      <c r="E1789" s="2" t="str">
        <f>IFERROR(__xludf.DUMMYFUNCTION("""COMPUTED_VALUE"""),"ชาย")</f>
        <v>ชาย</v>
      </c>
      <c r="F1789" s="5" t="str">
        <f>IFERROR(__xludf.DUMMYFUNCTION("""COMPUTED_VALUE"""),"https://azizstan.net/student_image/25798.jpg")</f>
        <v>https://azizstan.net/student_image/25798.jpg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>
      <c r="A1790" s="3" t="str">
        <f>IFERROR(__xludf.DUMMYFUNCTION("""COMPUTED_VALUE"""),"25812")</f>
        <v>25812</v>
      </c>
      <c r="B1790" s="3" t="str">
        <f>IFERROR(__xludf.DUMMYFUNCTION("""COMPUTED_VALUE"""),"นายอับดุลบาซีส เระสะอะ")</f>
        <v>นายอับดุลบาซีส เระสะอะ</v>
      </c>
      <c r="C1790" s="3" t="str">
        <f>IFERROR(__xludf.DUMMYFUNCTION("""COMPUTED_VALUE"""),"ม.5/2")</f>
        <v>ม.5/2</v>
      </c>
      <c r="D1790" s="3" t="str">
        <f>IFERROR(__xludf.DUMMYFUNCTION("""COMPUTED_VALUE"""),"อก.2/4")</f>
        <v>อก.2/4</v>
      </c>
      <c r="E1790" s="2" t="str">
        <f>IFERROR(__xludf.DUMMYFUNCTION("""COMPUTED_VALUE"""),"ชาย")</f>
        <v>ชาย</v>
      </c>
      <c r="F1790" s="5" t="str">
        <f>IFERROR(__xludf.DUMMYFUNCTION("""COMPUTED_VALUE"""),"https://azizstan.net/student_image/25812.jpg")</f>
        <v>https://azizstan.net/student_image/25812.jpg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>
      <c r="A1791" s="3" t="str">
        <f>IFERROR(__xludf.DUMMYFUNCTION("""COMPUTED_VALUE"""),"25813")</f>
        <v>25813</v>
      </c>
      <c r="B1791" s="3" t="str">
        <f>IFERROR(__xludf.DUMMYFUNCTION("""COMPUTED_VALUE"""),"นายอารีฟีน ล่อเต๊ะ")</f>
        <v>นายอารีฟีน ล่อเต๊ะ</v>
      </c>
      <c r="C1791" s="3" t="str">
        <f>IFERROR(__xludf.DUMMYFUNCTION("""COMPUTED_VALUE"""),"ม.5/2")</f>
        <v>ม.5/2</v>
      </c>
      <c r="D1791" s="3" t="str">
        <f>IFERROR(__xludf.DUMMYFUNCTION("""COMPUTED_VALUE"""),"อก.2/4")</f>
        <v>อก.2/4</v>
      </c>
      <c r="E1791" s="2" t="str">
        <f>IFERROR(__xludf.DUMMYFUNCTION("""COMPUTED_VALUE"""),"ชาย")</f>
        <v>ชาย</v>
      </c>
      <c r="F1791" s="5" t="str">
        <f>IFERROR(__xludf.DUMMYFUNCTION("""COMPUTED_VALUE"""),"https://azizstan.net/student_image/25813.jpg")</f>
        <v>https://azizstan.net/student_image/25813.jpg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>
      <c r="A1792" s="3" t="str">
        <f>IFERROR(__xludf.DUMMYFUNCTION("""COMPUTED_VALUE"""),"25824")</f>
        <v>25824</v>
      </c>
      <c r="B1792" s="3" t="str">
        <f>IFERROR(__xludf.DUMMYFUNCTION("""COMPUTED_VALUE"""),"นายรัฐศาสตร์ หรุ่มวิสัย")</f>
        <v>นายรัฐศาสตร์ หรุ่มวิสัย</v>
      </c>
      <c r="C1792" s="3" t="str">
        <f>IFERROR(__xludf.DUMMYFUNCTION("""COMPUTED_VALUE"""),"ม.5/2")</f>
        <v>ม.5/2</v>
      </c>
      <c r="D1792" s="3" t="str">
        <f>IFERROR(__xludf.DUMMYFUNCTION("""COMPUTED_VALUE"""),"อก.2/4")</f>
        <v>อก.2/4</v>
      </c>
      <c r="E1792" s="2" t="str">
        <f>IFERROR(__xludf.DUMMYFUNCTION("""COMPUTED_VALUE"""),"ชาย")</f>
        <v>ชาย</v>
      </c>
      <c r="F1792" s="5" t="str">
        <f>IFERROR(__xludf.DUMMYFUNCTION("""COMPUTED_VALUE"""),"https://azizstan.net/student_image/25824.jpg")</f>
        <v>https://azizstan.net/student_image/25824.jpg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>
      <c r="A1793" s="3" t="str">
        <f>IFERROR(__xludf.DUMMYFUNCTION("""COMPUTED_VALUE"""),"25885")</f>
        <v>25885</v>
      </c>
      <c r="B1793" s="3" t="str">
        <f>IFERROR(__xludf.DUMMYFUNCTION("""COMPUTED_VALUE"""),"นายอัสรีย์ มุโดะ")</f>
        <v>นายอัสรีย์ มุโดะ</v>
      </c>
      <c r="C1793" s="3" t="str">
        <f>IFERROR(__xludf.DUMMYFUNCTION("""COMPUTED_VALUE"""),"ม.5/2")</f>
        <v>ม.5/2</v>
      </c>
      <c r="D1793" s="3" t="str">
        <f>IFERROR(__xludf.DUMMYFUNCTION("""COMPUTED_VALUE"""),"อก.2/4")</f>
        <v>อก.2/4</v>
      </c>
      <c r="E1793" s="2" t="str">
        <f>IFERROR(__xludf.DUMMYFUNCTION("""COMPUTED_VALUE"""),"ชาย")</f>
        <v>ชาย</v>
      </c>
      <c r="F1793" s="5" t="str">
        <f>IFERROR(__xludf.DUMMYFUNCTION("""COMPUTED_VALUE"""),"https://azizstan.net/student_image/25885.jpg")</f>
        <v>https://azizstan.net/student_image/25885.jpg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>
      <c r="A1794" s="3" t="str">
        <f>IFERROR(__xludf.DUMMYFUNCTION("""COMPUTED_VALUE"""),"25992")</f>
        <v>25992</v>
      </c>
      <c r="B1794" s="3" t="str">
        <f>IFERROR(__xludf.DUMMYFUNCTION("""COMPUTED_VALUE"""),"นายนิโซฟาน กาเจ")</f>
        <v>นายนิโซฟาน กาเจ</v>
      </c>
      <c r="C1794" s="3" t="str">
        <f>IFERROR(__xludf.DUMMYFUNCTION("""COMPUTED_VALUE"""),"ม.5/2")</f>
        <v>ม.5/2</v>
      </c>
      <c r="D1794" s="3" t="str">
        <f>IFERROR(__xludf.DUMMYFUNCTION("""COMPUTED_VALUE"""),"อก.2/4")</f>
        <v>อก.2/4</v>
      </c>
      <c r="E1794" s="2" t="str">
        <f>IFERROR(__xludf.DUMMYFUNCTION("""COMPUTED_VALUE"""),"ชาย")</f>
        <v>ชาย</v>
      </c>
      <c r="F1794" s="5" t="str">
        <f>IFERROR(__xludf.DUMMYFUNCTION("""COMPUTED_VALUE"""),"https://azizstan.net/student_image/25992.jpg")</f>
        <v>https://azizstan.net/student_image/25992.jpg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>
      <c r="A1795" s="3" t="str">
        <f>IFERROR(__xludf.DUMMYFUNCTION("""COMPUTED_VALUE"""),"26013")</f>
        <v>26013</v>
      </c>
      <c r="B1795" s="3" t="str">
        <f>IFERROR(__xludf.DUMMYFUNCTION("""COMPUTED_VALUE"""),"นายรชต ธรรมรัตนพงศ์")</f>
        <v>นายรชต ธรรมรัตนพงศ์</v>
      </c>
      <c r="C1795" s="3" t="str">
        <f>IFERROR(__xludf.DUMMYFUNCTION("""COMPUTED_VALUE"""),"ม.5/2")</f>
        <v>ม.5/2</v>
      </c>
      <c r="D1795" s="3" t="str">
        <f>IFERROR(__xludf.DUMMYFUNCTION("""COMPUTED_VALUE"""),"อก.2/4")</f>
        <v>อก.2/4</v>
      </c>
      <c r="E1795" s="2" t="str">
        <f>IFERROR(__xludf.DUMMYFUNCTION("""COMPUTED_VALUE"""),"ชาย")</f>
        <v>ชาย</v>
      </c>
      <c r="F1795" s="5" t="str">
        <f>IFERROR(__xludf.DUMMYFUNCTION("""COMPUTED_VALUE"""),"https://azizstan.net/student_image/26013.jpg")</f>
        <v>https://azizstan.net/student_image/26013.jpg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>
      <c r="A1796" s="3" t="str">
        <f>IFERROR(__xludf.DUMMYFUNCTION("""COMPUTED_VALUE"""),"26021")</f>
        <v>26021</v>
      </c>
      <c r="B1796" s="3" t="str">
        <f>IFERROR(__xludf.DUMMYFUNCTION("""COMPUTED_VALUE"""),"นายดาวุด สามะ")</f>
        <v>นายดาวุด สามะ</v>
      </c>
      <c r="C1796" s="3" t="str">
        <f>IFERROR(__xludf.DUMMYFUNCTION("""COMPUTED_VALUE"""),"ม.5/2")</f>
        <v>ม.5/2</v>
      </c>
      <c r="D1796" s="3" t="str">
        <f>IFERROR(__xludf.DUMMYFUNCTION("""COMPUTED_VALUE"""),"อก.2/4")</f>
        <v>อก.2/4</v>
      </c>
      <c r="E1796" s="2" t="str">
        <f>IFERROR(__xludf.DUMMYFUNCTION("""COMPUTED_VALUE"""),"ชาย")</f>
        <v>ชาย</v>
      </c>
      <c r="F1796" s="5" t="str">
        <f>IFERROR(__xludf.DUMMYFUNCTION("""COMPUTED_VALUE"""),"https://azizstan.net/student_image/26021.jpg")</f>
        <v>https://azizstan.net/student_image/26021.jpg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>
      <c r="A1797" s="3" t="str">
        <f>IFERROR(__xludf.DUMMYFUNCTION("""COMPUTED_VALUE"""),"26033")</f>
        <v>26033</v>
      </c>
      <c r="B1797" s="3" t="str">
        <f>IFERROR(__xludf.DUMMYFUNCTION("""COMPUTED_VALUE"""),"นายมูฮัมหมัดฟัยยัศ ยูโซะ")</f>
        <v>นายมูฮัมหมัดฟัยยัศ ยูโซะ</v>
      </c>
      <c r="C1797" s="3" t="str">
        <f>IFERROR(__xludf.DUMMYFUNCTION("""COMPUTED_VALUE"""),"ม.5/2")</f>
        <v>ม.5/2</v>
      </c>
      <c r="D1797" s="3" t="str">
        <f>IFERROR(__xludf.DUMMYFUNCTION("""COMPUTED_VALUE"""),"อก.2/4")</f>
        <v>อก.2/4</v>
      </c>
      <c r="E1797" s="2" t="str">
        <f>IFERROR(__xludf.DUMMYFUNCTION("""COMPUTED_VALUE"""),"ชาย")</f>
        <v>ชาย</v>
      </c>
      <c r="F1797" s="5" t="str">
        <f>IFERROR(__xludf.DUMMYFUNCTION("""COMPUTED_VALUE"""),"https://azizstan.net/student_image/26033.jpg")</f>
        <v>https://azizstan.net/student_image/26033.jpg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>
      <c r="A1798" s="3" t="str">
        <f>IFERROR(__xludf.DUMMYFUNCTION("""COMPUTED_VALUE"""),"26190")</f>
        <v>26190</v>
      </c>
      <c r="B1798" s="3" t="str">
        <f>IFERROR(__xludf.DUMMYFUNCTION("""COMPUTED_VALUE"""),"นายอาดีลัน ดอเลาะ")</f>
        <v>นายอาดีลัน ดอเลาะ</v>
      </c>
      <c r="C1798" s="3" t="str">
        <f>IFERROR(__xludf.DUMMYFUNCTION("""COMPUTED_VALUE"""),"ม.5/2")</f>
        <v>ม.5/2</v>
      </c>
      <c r="D1798" s="3" t="str">
        <f>IFERROR(__xludf.DUMMYFUNCTION("""COMPUTED_VALUE"""),"อป.2/2")</f>
        <v>อป.2/2</v>
      </c>
      <c r="E1798" s="2" t="str">
        <f>IFERROR(__xludf.DUMMYFUNCTION("""COMPUTED_VALUE"""),"ชาย")</f>
        <v>ชาย</v>
      </c>
      <c r="F1798" s="5" t="str">
        <f>IFERROR(__xludf.DUMMYFUNCTION("""COMPUTED_VALUE"""),"https://azizstan.net/student_image/26190.jpg")</f>
        <v>https://azizstan.net/student_image/26190.jpg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>
      <c r="A1799" s="3" t="str">
        <f>IFERROR(__xludf.DUMMYFUNCTION("""COMPUTED_VALUE"""),"23354")</f>
        <v>23354</v>
      </c>
      <c r="B1799" s="3" t="str">
        <f>IFERROR(__xludf.DUMMYFUNCTION("""COMPUTED_VALUE"""),"น.ส.ฮะวา สาเม๊าะ")</f>
        <v>น.ส.ฮะวา สาเม๊าะ</v>
      </c>
      <c r="C1799" s="3" t="str">
        <f>IFERROR(__xludf.DUMMYFUNCTION("""COMPUTED_VALUE"""),"ม.5/3")</f>
        <v>ม.5/3</v>
      </c>
      <c r="D1799" s="3" t="str">
        <f>IFERROR(__xludf.DUMMYFUNCTION("""COMPUTED_VALUE"""),"อป.1/3")</f>
        <v>อป.1/3</v>
      </c>
      <c r="E1799" s="2" t="str">
        <f>IFERROR(__xludf.DUMMYFUNCTION("""COMPUTED_VALUE"""),"หญิง")</f>
        <v>หญิง</v>
      </c>
      <c r="F1799" s="5" t="str">
        <f>IFERROR(__xludf.DUMMYFUNCTION("""COMPUTED_VALUE"""),"https://azizstan.net/student_image/23354.jpg")</f>
        <v>https://azizstan.net/student_image/23354.jpg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>
      <c r="A1800" s="3" t="str">
        <f>IFERROR(__xludf.DUMMYFUNCTION("""COMPUTED_VALUE"""),"23358")</f>
        <v>23358</v>
      </c>
      <c r="B1800" s="3" t="str">
        <f>IFERROR(__xludf.DUMMYFUNCTION("""COMPUTED_VALUE"""),"น.ส.เบนาซี ดาระโจะ")</f>
        <v>น.ส.เบนาซี ดาระโจะ</v>
      </c>
      <c r="C1800" s="3" t="str">
        <f>IFERROR(__xludf.DUMMYFUNCTION("""COMPUTED_VALUE"""),"ม.5/3")</f>
        <v>ม.5/3</v>
      </c>
      <c r="D1800" s="3" t="str">
        <f>IFERROR(__xludf.DUMMYFUNCTION("""COMPUTED_VALUE"""),"อป.1/3")</f>
        <v>อป.1/3</v>
      </c>
      <c r="E1800" s="2" t="str">
        <f>IFERROR(__xludf.DUMMYFUNCTION("""COMPUTED_VALUE"""),"หญิง")</f>
        <v>หญิง</v>
      </c>
      <c r="F1800" s="5" t="str">
        <f>IFERROR(__xludf.DUMMYFUNCTION("""COMPUTED_VALUE"""),"https://azizstan.net/student_image/23358.jpg")</f>
        <v>https://azizstan.net/student_image/23358.jpg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>
      <c r="A1801" s="3" t="str">
        <f>IFERROR(__xludf.DUMMYFUNCTION("""COMPUTED_VALUE"""),"23367")</f>
        <v>23367</v>
      </c>
      <c r="B1801" s="3" t="str">
        <f>IFERROR(__xludf.DUMMYFUNCTION("""COMPUTED_VALUE"""),"น.ส.ปนิตา กามา")</f>
        <v>น.ส.ปนิตา กามา</v>
      </c>
      <c r="C1801" s="3" t="str">
        <f>IFERROR(__xludf.DUMMYFUNCTION("""COMPUTED_VALUE"""),"ม.5/3")</f>
        <v>ม.5/3</v>
      </c>
      <c r="D1801" s="3" t="str">
        <f>IFERROR(__xludf.DUMMYFUNCTION("""COMPUTED_VALUE"""),"อป.1/3")</f>
        <v>อป.1/3</v>
      </c>
      <c r="E1801" s="2" t="str">
        <f>IFERROR(__xludf.DUMMYFUNCTION("""COMPUTED_VALUE"""),"หญิง")</f>
        <v>หญิง</v>
      </c>
      <c r="F1801" s="5" t="str">
        <f>IFERROR(__xludf.DUMMYFUNCTION("""COMPUTED_VALUE"""),"https://azizstan.net/student_image/23367.jpg")</f>
        <v>https://azizstan.net/student_image/23367.jpg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>
      <c r="A1802" s="3" t="str">
        <f>IFERROR(__xludf.DUMMYFUNCTION("""COMPUTED_VALUE"""),"23375")</f>
        <v>23375</v>
      </c>
      <c r="B1802" s="3" t="str">
        <f>IFERROR(__xludf.DUMMYFUNCTION("""COMPUTED_VALUE"""),"น.ส.ศิรภัสสร สาหลี")</f>
        <v>น.ส.ศิรภัสสร สาหลี</v>
      </c>
      <c r="C1802" s="3" t="str">
        <f>IFERROR(__xludf.DUMMYFUNCTION("""COMPUTED_VALUE"""),"ม.5/3")</f>
        <v>ม.5/3</v>
      </c>
      <c r="D1802" s="3" t="str">
        <f>IFERROR(__xludf.DUMMYFUNCTION("""COMPUTED_VALUE"""),"อก.3/9")</f>
        <v>อก.3/9</v>
      </c>
      <c r="E1802" s="2" t="str">
        <f>IFERROR(__xludf.DUMMYFUNCTION("""COMPUTED_VALUE"""),"หญิง")</f>
        <v>หญิง</v>
      </c>
      <c r="F1802" s="5" t="str">
        <f>IFERROR(__xludf.DUMMYFUNCTION("""COMPUTED_VALUE"""),"https://azizstan.net/student_image/23375.jpg")</f>
        <v>https://azizstan.net/student_image/23375.jpg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>
      <c r="A1803" s="3" t="str">
        <f>IFERROR(__xludf.DUMMYFUNCTION("""COMPUTED_VALUE"""),"23385")</f>
        <v>23385</v>
      </c>
      <c r="B1803" s="3" t="str">
        <f>IFERROR(__xludf.DUMMYFUNCTION("""COMPUTED_VALUE"""),"น.ส.นาเดีย กาเด๊าะ")</f>
        <v>น.ส.นาเดีย กาเด๊าะ</v>
      </c>
      <c r="C1803" s="3" t="str">
        <f>IFERROR(__xludf.DUMMYFUNCTION("""COMPUTED_VALUE"""),"ม.5/3")</f>
        <v>ม.5/3</v>
      </c>
      <c r="D1803" s="3" t="str">
        <f>IFERROR(__xludf.DUMMYFUNCTION("""COMPUTED_VALUE"""),"อป.2/1")</f>
        <v>อป.2/1</v>
      </c>
      <c r="E1803" s="2" t="str">
        <f>IFERROR(__xludf.DUMMYFUNCTION("""COMPUTED_VALUE"""),"หญิง")</f>
        <v>หญิง</v>
      </c>
      <c r="F1803" s="5" t="str">
        <f>IFERROR(__xludf.DUMMYFUNCTION("""COMPUTED_VALUE"""),"https://azizstan.net/student_image/23385.jpg")</f>
        <v>https://azizstan.net/student_image/23385.jpg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>
      <c r="A1804" s="3" t="str">
        <f>IFERROR(__xludf.DUMMYFUNCTION("""COMPUTED_VALUE"""),"23387")</f>
        <v>23387</v>
      </c>
      <c r="B1804" s="3" t="str">
        <f>IFERROR(__xludf.DUMMYFUNCTION("""COMPUTED_VALUE"""),"น.ส.อัสรินทร์ ลาแม็ง")</f>
        <v>น.ส.อัสรินทร์ ลาแม็ง</v>
      </c>
      <c r="C1804" s="3" t="str">
        <f>IFERROR(__xludf.DUMMYFUNCTION("""COMPUTED_VALUE"""),"ม.5/3")</f>
        <v>ม.5/3</v>
      </c>
      <c r="D1804" s="3" t="str">
        <f>IFERROR(__xludf.DUMMYFUNCTION("""COMPUTED_VALUE"""),"อป.1/3")</f>
        <v>อป.1/3</v>
      </c>
      <c r="E1804" s="2" t="str">
        <f>IFERROR(__xludf.DUMMYFUNCTION("""COMPUTED_VALUE"""),"หญิง")</f>
        <v>หญิง</v>
      </c>
      <c r="F1804" s="5" t="str">
        <f>IFERROR(__xludf.DUMMYFUNCTION("""COMPUTED_VALUE"""),"https://azizstan.net/student_image/23387.jpg")</f>
        <v>https://azizstan.net/student_image/23387.jpg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>
      <c r="A1805" s="3" t="str">
        <f>IFERROR(__xludf.DUMMYFUNCTION("""COMPUTED_VALUE"""),"23388")</f>
        <v>23388</v>
      </c>
      <c r="B1805" s="3" t="str">
        <f>IFERROR(__xludf.DUMMYFUNCTION("""COMPUTED_VALUE"""),"น.ส.ซัลวา ปะดอดา")</f>
        <v>น.ส.ซัลวา ปะดอดา</v>
      </c>
      <c r="C1805" s="3" t="str">
        <f>IFERROR(__xludf.DUMMYFUNCTION("""COMPUTED_VALUE"""),"ม.5/3")</f>
        <v>ม.5/3</v>
      </c>
      <c r="D1805" s="3" t="str">
        <f>IFERROR(__xludf.DUMMYFUNCTION("""COMPUTED_VALUE"""),"อป.1/3")</f>
        <v>อป.1/3</v>
      </c>
      <c r="E1805" s="2" t="str">
        <f>IFERROR(__xludf.DUMMYFUNCTION("""COMPUTED_VALUE"""),"หญิง")</f>
        <v>หญิง</v>
      </c>
      <c r="F1805" s="5" t="str">
        <f>IFERROR(__xludf.DUMMYFUNCTION("""COMPUTED_VALUE"""),"https://azizstan.net/student_image/23388.jpg")</f>
        <v>https://azizstan.net/student_image/23388.jpg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>
      <c r="A1806" s="3" t="str">
        <f>IFERROR(__xludf.DUMMYFUNCTION("""COMPUTED_VALUE"""),"23395")</f>
        <v>23395</v>
      </c>
      <c r="B1806" s="3" t="str">
        <f>IFERROR(__xludf.DUMMYFUNCTION("""COMPUTED_VALUE"""),"น.ส.นาอีมะห์ วาโด")</f>
        <v>น.ส.นาอีมะห์ วาโด</v>
      </c>
      <c r="C1806" s="3" t="str">
        <f>IFERROR(__xludf.DUMMYFUNCTION("""COMPUTED_VALUE"""),"ม.5/3")</f>
        <v>ม.5/3</v>
      </c>
      <c r="D1806" s="3" t="str">
        <f>IFERROR(__xludf.DUMMYFUNCTION("""COMPUTED_VALUE"""),"อป.2/1")</f>
        <v>อป.2/1</v>
      </c>
      <c r="E1806" s="2" t="str">
        <f>IFERROR(__xludf.DUMMYFUNCTION("""COMPUTED_VALUE"""),"หญิง")</f>
        <v>หญิง</v>
      </c>
      <c r="F1806" s="5" t="str">
        <f>IFERROR(__xludf.DUMMYFUNCTION("""COMPUTED_VALUE"""),"https://azizstan.net/student_image/23395.jpg")</f>
        <v>https://azizstan.net/student_image/23395.jpg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>
      <c r="A1807" s="3" t="str">
        <f>IFERROR(__xludf.DUMMYFUNCTION("""COMPUTED_VALUE"""),"23419")</f>
        <v>23419</v>
      </c>
      <c r="B1807" s="3" t="str">
        <f>IFERROR(__xludf.DUMMYFUNCTION("""COMPUTED_VALUE"""),"น.ส.มาดีนะห์ หมัดลี")</f>
        <v>น.ส.มาดีนะห์ หมัดลี</v>
      </c>
      <c r="C1807" s="3" t="str">
        <f>IFERROR(__xludf.DUMMYFUNCTION("""COMPUTED_VALUE"""),"ม.5/3")</f>
        <v>ม.5/3</v>
      </c>
      <c r="D1807" s="3" t="str">
        <f>IFERROR(__xludf.DUMMYFUNCTION("""COMPUTED_VALUE"""),"อป.1/3")</f>
        <v>อป.1/3</v>
      </c>
      <c r="E1807" s="2" t="str">
        <f>IFERROR(__xludf.DUMMYFUNCTION("""COMPUTED_VALUE"""),"หญิง")</f>
        <v>หญิง</v>
      </c>
      <c r="F1807" s="5" t="str">
        <f>IFERROR(__xludf.DUMMYFUNCTION("""COMPUTED_VALUE"""),"https://azizstan.net/student_image/23419.jpg")</f>
        <v>https://azizstan.net/student_image/23419.jpg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>
      <c r="A1808" s="3" t="str">
        <f>IFERROR(__xludf.DUMMYFUNCTION("""COMPUTED_VALUE"""),"23431")</f>
        <v>23431</v>
      </c>
      <c r="B1808" s="3" t="str">
        <f>IFERROR(__xludf.DUMMYFUNCTION("""COMPUTED_VALUE"""),"น.ส.กูมัสนีย์ เลาะวาโย")</f>
        <v>น.ส.กูมัสนีย์ เลาะวาโย</v>
      </c>
      <c r="C1808" s="3" t="str">
        <f>IFERROR(__xludf.DUMMYFUNCTION("""COMPUTED_VALUE"""),"ม.5/3")</f>
        <v>ม.5/3</v>
      </c>
      <c r="D1808" s="3" t="str">
        <f>IFERROR(__xludf.DUMMYFUNCTION("""COMPUTED_VALUE"""),"อป.1/3")</f>
        <v>อป.1/3</v>
      </c>
      <c r="E1808" s="2" t="str">
        <f>IFERROR(__xludf.DUMMYFUNCTION("""COMPUTED_VALUE"""),"หญิง")</f>
        <v>หญิง</v>
      </c>
      <c r="F1808" s="5" t="str">
        <f>IFERROR(__xludf.DUMMYFUNCTION("""COMPUTED_VALUE"""),"https://azizstan.net/student_image/23431.jpg")</f>
        <v>https://azizstan.net/student_image/23431.jpg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>
      <c r="A1809" s="3" t="str">
        <f>IFERROR(__xludf.DUMMYFUNCTION("""COMPUTED_VALUE"""),"23451")</f>
        <v>23451</v>
      </c>
      <c r="B1809" s="3" t="str">
        <f>IFERROR(__xludf.DUMMYFUNCTION("""COMPUTED_VALUE"""),"น.ส.อาลีซา สาและ")</f>
        <v>น.ส.อาลีซา สาและ</v>
      </c>
      <c r="C1809" s="3" t="str">
        <f>IFERROR(__xludf.DUMMYFUNCTION("""COMPUTED_VALUE"""),"ม.5/3")</f>
        <v>ม.5/3</v>
      </c>
      <c r="D1809" s="3" t="str">
        <f>IFERROR(__xludf.DUMMYFUNCTION("""COMPUTED_VALUE"""),"อป.1/3")</f>
        <v>อป.1/3</v>
      </c>
      <c r="E1809" s="2" t="str">
        <f>IFERROR(__xludf.DUMMYFUNCTION("""COMPUTED_VALUE"""),"หญิง")</f>
        <v>หญิง</v>
      </c>
      <c r="F1809" s="5" t="str">
        <f>IFERROR(__xludf.DUMMYFUNCTION("""COMPUTED_VALUE"""),"https://azizstan.net/student_image/23451.jpg")</f>
        <v>https://azizstan.net/student_image/23451.jpg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>
      <c r="A1810" s="3" t="str">
        <f>IFERROR(__xludf.DUMMYFUNCTION("""COMPUTED_VALUE"""),"23462")</f>
        <v>23462</v>
      </c>
      <c r="B1810" s="3" t="str">
        <f>IFERROR(__xludf.DUMMYFUNCTION("""COMPUTED_VALUE"""),"น.ส.อิบติฮาล สามะ")</f>
        <v>น.ส.อิบติฮาล สามะ</v>
      </c>
      <c r="C1810" s="3" t="str">
        <f>IFERROR(__xludf.DUMMYFUNCTION("""COMPUTED_VALUE"""),"ม.5/3")</f>
        <v>ม.5/3</v>
      </c>
      <c r="D1810" s="3" t="str">
        <f>IFERROR(__xludf.DUMMYFUNCTION("""COMPUTED_VALUE"""),"อป.1/3")</f>
        <v>อป.1/3</v>
      </c>
      <c r="E1810" s="2" t="str">
        <f>IFERROR(__xludf.DUMMYFUNCTION("""COMPUTED_VALUE"""),"หญิง")</f>
        <v>หญิง</v>
      </c>
      <c r="F1810" s="5" t="str">
        <f>IFERROR(__xludf.DUMMYFUNCTION("""COMPUTED_VALUE"""),"https://azizstan.net/student_image/23462.jpg")</f>
        <v>https://azizstan.net/student_image/23462.jpg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>
      <c r="A1811" s="3" t="str">
        <f>IFERROR(__xludf.DUMMYFUNCTION("""COMPUTED_VALUE"""),"23518")</f>
        <v>23518</v>
      </c>
      <c r="B1811" s="3" t="str">
        <f>IFERROR(__xludf.DUMMYFUNCTION("""COMPUTED_VALUE"""),"น.ส.ฟิตรียา ยีมะมิง")</f>
        <v>น.ส.ฟิตรียา ยีมะมิง</v>
      </c>
      <c r="C1811" s="3" t="str">
        <f>IFERROR(__xludf.DUMMYFUNCTION("""COMPUTED_VALUE"""),"ม.5/3")</f>
        <v>ม.5/3</v>
      </c>
      <c r="D1811" s="3" t="str">
        <f>IFERROR(__xludf.DUMMYFUNCTION("""COMPUTED_VALUE"""),"อก.3/9")</f>
        <v>อก.3/9</v>
      </c>
      <c r="E1811" s="2" t="str">
        <f>IFERROR(__xludf.DUMMYFUNCTION("""COMPUTED_VALUE"""),"หญิง")</f>
        <v>หญิง</v>
      </c>
      <c r="F1811" s="5" t="str">
        <f>IFERROR(__xludf.DUMMYFUNCTION("""COMPUTED_VALUE"""),"https://azizstan.net/student_image/23518.jpg")</f>
        <v>https://azizstan.net/student_image/23518.jpg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>
      <c r="A1812" s="3" t="str">
        <f>IFERROR(__xludf.DUMMYFUNCTION("""COMPUTED_VALUE"""),"23525")</f>
        <v>23525</v>
      </c>
      <c r="B1812" s="3" t="str">
        <f>IFERROR(__xludf.DUMMYFUNCTION("""COMPUTED_VALUE"""),"น.ส.รุจิษยา มัดเลาะ")</f>
        <v>น.ส.รุจิษยา มัดเลาะ</v>
      </c>
      <c r="C1812" s="3" t="str">
        <f>IFERROR(__xludf.DUMMYFUNCTION("""COMPUTED_VALUE"""),"ม.5/3")</f>
        <v>ม.5/3</v>
      </c>
      <c r="D1812" s="3" t="str">
        <f>IFERROR(__xludf.DUMMYFUNCTION("""COMPUTED_VALUE"""),"อป.1/3")</f>
        <v>อป.1/3</v>
      </c>
      <c r="E1812" s="2" t="str">
        <f>IFERROR(__xludf.DUMMYFUNCTION("""COMPUTED_VALUE"""),"หญิง")</f>
        <v>หญิง</v>
      </c>
      <c r="F1812" s="5" t="str">
        <f>IFERROR(__xludf.DUMMYFUNCTION("""COMPUTED_VALUE"""),"https://azizstan.net/student_image/23525.jpg")</f>
        <v>https://azizstan.net/student_image/23525.jpg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>
      <c r="A1813" s="3" t="str">
        <f>IFERROR(__xludf.DUMMYFUNCTION("""COMPUTED_VALUE"""),"23535")</f>
        <v>23535</v>
      </c>
      <c r="B1813" s="3" t="str">
        <f>IFERROR(__xludf.DUMMYFUNCTION("""COMPUTED_VALUE"""),"น.ส.นูรฮูดาร์ สะอะ")</f>
        <v>น.ส.นูรฮูดาร์ สะอะ</v>
      </c>
      <c r="C1813" s="3" t="str">
        <f>IFERROR(__xludf.DUMMYFUNCTION("""COMPUTED_VALUE"""),"ม.5/3")</f>
        <v>ม.5/3</v>
      </c>
      <c r="D1813" s="3" t="str">
        <f>IFERROR(__xludf.DUMMYFUNCTION("""COMPUTED_VALUE"""),"อป.1/3")</f>
        <v>อป.1/3</v>
      </c>
      <c r="E1813" s="2" t="str">
        <f>IFERROR(__xludf.DUMMYFUNCTION("""COMPUTED_VALUE"""),"หญิง")</f>
        <v>หญิง</v>
      </c>
      <c r="F1813" s="5" t="str">
        <f>IFERROR(__xludf.DUMMYFUNCTION("""COMPUTED_VALUE"""),"https://azizstan.net/student_image/23535.jpg")</f>
        <v>https://azizstan.net/student_image/23535.jpg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>
      <c r="A1814" s="3" t="str">
        <f>IFERROR(__xludf.DUMMYFUNCTION("""COMPUTED_VALUE"""),"23622")</f>
        <v>23622</v>
      </c>
      <c r="B1814" s="3" t="str">
        <f>IFERROR(__xludf.DUMMYFUNCTION("""COMPUTED_VALUE"""),"น.ส.สุไบดะห์ หะมะ")</f>
        <v>น.ส.สุไบดะห์ หะมะ</v>
      </c>
      <c r="C1814" s="3" t="str">
        <f>IFERROR(__xludf.DUMMYFUNCTION("""COMPUTED_VALUE"""),"ม.5/3")</f>
        <v>ม.5/3</v>
      </c>
      <c r="D1814" s="3" t="str">
        <f>IFERROR(__xludf.DUMMYFUNCTION("""COMPUTED_VALUE"""),"อก.3/9")</f>
        <v>อก.3/9</v>
      </c>
      <c r="E1814" s="2" t="str">
        <f>IFERROR(__xludf.DUMMYFUNCTION("""COMPUTED_VALUE"""),"หญิง")</f>
        <v>หญิง</v>
      </c>
      <c r="F1814" s="5" t="str">
        <f>IFERROR(__xludf.DUMMYFUNCTION("""COMPUTED_VALUE"""),"https://azizstan.net/student_image/23622.jpg")</f>
        <v>https://azizstan.net/student_image/23622.jpg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>
      <c r="A1815" s="3" t="str">
        <f>IFERROR(__xludf.DUMMYFUNCTION("""COMPUTED_VALUE"""),"23677")</f>
        <v>23677</v>
      </c>
      <c r="B1815" s="3" t="str">
        <f>IFERROR(__xludf.DUMMYFUNCTION("""COMPUTED_VALUE"""),"น.ส.ซอลีฮะ บิลอหวัง")</f>
        <v>น.ส.ซอลีฮะ บิลอหวัง</v>
      </c>
      <c r="C1815" s="3" t="str">
        <f>IFERROR(__xludf.DUMMYFUNCTION("""COMPUTED_VALUE"""),"ม.5/3")</f>
        <v>ม.5/3</v>
      </c>
      <c r="D1815" s="3" t="str">
        <f>IFERROR(__xludf.DUMMYFUNCTION("""COMPUTED_VALUE"""),"อก.3/9")</f>
        <v>อก.3/9</v>
      </c>
      <c r="E1815" s="2" t="str">
        <f>IFERROR(__xludf.DUMMYFUNCTION("""COMPUTED_VALUE"""),"หญิง")</f>
        <v>หญิง</v>
      </c>
      <c r="F1815" s="5" t="str">
        <f>IFERROR(__xludf.DUMMYFUNCTION("""COMPUTED_VALUE"""),"https://azizstan.net/student_image/23677.jpg")</f>
        <v>https://azizstan.net/student_image/23677.jpg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>
      <c r="A1816" s="3" t="str">
        <f>IFERROR(__xludf.DUMMYFUNCTION("""COMPUTED_VALUE"""),"23679")</f>
        <v>23679</v>
      </c>
      <c r="B1816" s="3" t="str">
        <f>IFERROR(__xludf.DUMMYFUNCTION("""COMPUTED_VALUE"""),"ด.ญ.นีสริน มามุ")</f>
        <v>ด.ญ.นีสริน มามุ</v>
      </c>
      <c r="C1816" s="3" t="str">
        <f>IFERROR(__xludf.DUMMYFUNCTION("""COMPUTED_VALUE"""),"ม.5/3")</f>
        <v>ม.5/3</v>
      </c>
      <c r="D1816" s="3" t="str">
        <f>IFERROR(__xludf.DUMMYFUNCTION("""COMPUTED_VALUE"""),"อก.3/9")</f>
        <v>อก.3/9</v>
      </c>
      <c r="E1816" s="2" t="str">
        <f>IFERROR(__xludf.DUMMYFUNCTION("""COMPUTED_VALUE"""),"หญิง")</f>
        <v>หญิง</v>
      </c>
      <c r="F1816" s="5" t="str">
        <f>IFERROR(__xludf.DUMMYFUNCTION("""COMPUTED_VALUE"""),"https://azizstan.net/student_image/23679.jpg")</f>
        <v>https://azizstan.net/student_image/23679.jpg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>
      <c r="A1817" s="3" t="str">
        <f>IFERROR(__xludf.DUMMYFUNCTION("""COMPUTED_VALUE"""),"23686")</f>
        <v>23686</v>
      </c>
      <c r="B1817" s="3" t="str">
        <f>IFERROR(__xludf.DUMMYFUNCTION("""COMPUTED_VALUE"""),"น.ส.มูฮันนา หวังยี")</f>
        <v>น.ส.มูฮันนา หวังยี</v>
      </c>
      <c r="C1817" s="3" t="str">
        <f>IFERROR(__xludf.DUMMYFUNCTION("""COMPUTED_VALUE"""),"ม.5/3")</f>
        <v>ม.5/3</v>
      </c>
      <c r="D1817" s="3" t="str">
        <f>IFERROR(__xludf.DUMMYFUNCTION("""COMPUTED_VALUE"""),"อก.3/9")</f>
        <v>อก.3/9</v>
      </c>
      <c r="E1817" s="2" t="str">
        <f>IFERROR(__xludf.DUMMYFUNCTION("""COMPUTED_VALUE"""),"หญิง")</f>
        <v>หญิง</v>
      </c>
      <c r="F1817" s="5" t="str">
        <f>IFERROR(__xludf.DUMMYFUNCTION("""COMPUTED_VALUE"""),"https://azizstan.net/student_image/23686.jpg")</f>
        <v>https://azizstan.net/student_image/23686.jpg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>
      <c r="A1818" s="3" t="str">
        <f>IFERROR(__xludf.DUMMYFUNCTION("""COMPUTED_VALUE"""),"23714")</f>
        <v>23714</v>
      </c>
      <c r="B1818" s="3" t="str">
        <f>IFERROR(__xludf.DUMMYFUNCTION("""COMPUTED_VALUE"""),"น.ส.ตักวา ดาหวี")</f>
        <v>น.ส.ตักวา ดาหวี</v>
      </c>
      <c r="C1818" s="3" t="str">
        <f>IFERROR(__xludf.DUMMYFUNCTION("""COMPUTED_VALUE"""),"ม.5/3")</f>
        <v>ม.5/3</v>
      </c>
      <c r="D1818" s="3" t="str">
        <f>IFERROR(__xludf.DUMMYFUNCTION("""COMPUTED_VALUE"""),"อป.2/1")</f>
        <v>อป.2/1</v>
      </c>
      <c r="E1818" s="2" t="str">
        <f>IFERROR(__xludf.DUMMYFUNCTION("""COMPUTED_VALUE"""),"หญิง")</f>
        <v>หญิง</v>
      </c>
      <c r="F1818" s="5" t="str">
        <f>IFERROR(__xludf.DUMMYFUNCTION("""COMPUTED_VALUE"""),"https://azizstan.net/student_image/23714.jpg")</f>
        <v>https://azizstan.net/student_image/23714.jpg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>
      <c r="A1819" s="3" t="str">
        <f>IFERROR(__xludf.DUMMYFUNCTION("""COMPUTED_VALUE"""),"23724")</f>
        <v>23724</v>
      </c>
      <c r="B1819" s="3" t="str">
        <f>IFERROR(__xludf.DUMMYFUNCTION("""COMPUTED_VALUE"""),"น.ส.ซูไลกา มะมิง")</f>
        <v>น.ส.ซูไลกา มะมิง</v>
      </c>
      <c r="C1819" s="3" t="str">
        <f>IFERROR(__xludf.DUMMYFUNCTION("""COMPUTED_VALUE"""),"ม.5/3")</f>
        <v>ม.5/3</v>
      </c>
      <c r="D1819" s="3" t="str">
        <f>IFERROR(__xludf.DUMMYFUNCTION("""COMPUTED_VALUE"""),"อป.2/1")</f>
        <v>อป.2/1</v>
      </c>
      <c r="E1819" s="2" t="str">
        <f>IFERROR(__xludf.DUMMYFUNCTION("""COMPUTED_VALUE"""),"หญิง")</f>
        <v>หญิง</v>
      </c>
      <c r="F1819" s="5" t="str">
        <f>IFERROR(__xludf.DUMMYFUNCTION("""COMPUTED_VALUE"""),"https://azizstan.net/student_image/23724.jpg")</f>
        <v>https://azizstan.net/student_image/23724.jpg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>
      <c r="A1820" s="3" t="str">
        <f>IFERROR(__xludf.DUMMYFUNCTION("""COMPUTED_VALUE"""),"23751")</f>
        <v>23751</v>
      </c>
      <c r="B1820" s="3" t="str">
        <f>IFERROR(__xludf.DUMMYFUNCTION("""COMPUTED_VALUE"""),"น.ส.สุนิตา แน")</f>
        <v>น.ส.สุนิตา แน</v>
      </c>
      <c r="C1820" s="3" t="str">
        <f>IFERROR(__xludf.DUMMYFUNCTION("""COMPUTED_VALUE"""),"ม.5/3")</f>
        <v>ม.5/3</v>
      </c>
      <c r="D1820" s="3" t="str">
        <f>IFERROR(__xludf.DUMMYFUNCTION("""COMPUTED_VALUE"""),"อป.1/3")</f>
        <v>อป.1/3</v>
      </c>
      <c r="E1820" s="2" t="str">
        <f>IFERROR(__xludf.DUMMYFUNCTION("""COMPUTED_VALUE"""),"หญิง")</f>
        <v>หญิง</v>
      </c>
      <c r="F1820" s="5" t="str">
        <f>IFERROR(__xludf.DUMMYFUNCTION("""COMPUTED_VALUE"""),"https://azizstan.net/student_image/23751.jpg")</f>
        <v>https://azizstan.net/student_image/23751.jpg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>
      <c r="A1821" s="3" t="str">
        <f>IFERROR(__xludf.DUMMYFUNCTION("""COMPUTED_VALUE"""),"23792")</f>
        <v>23792</v>
      </c>
      <c r="B1821" s="3" t="str">
        <f>IFERROR(__xludf.DUMMYFUNCTION("""COMPUTED_VALUE"""),"น.ส.โสรยา มุณี")</f>
        <v>น.ส.โสรยา มุณี</v>
      </c>
      <c r="C1821" s="3" t="str">
        <f>IFERROR(__xludf.DUMMYFUNCTION("""COMPUTED_VALUE"""),"ม.5/3")</f>
        <v>ม.5/3</v>
      </c>
      <c r="D1821" s="3" t="str">
        <f>IFERROR(__xludf.DUMMYFUNCTION("""COMPUTED_VALUE"""),"อก.3/9")</f>
        <v>อก.3/9</v>
      </c>
      <c r="E1821" s="2" t="str">
        <f>IFERROR(__xludf.DUMMYFUNCTION("""COMPUTED_VALUE"""),"หญิง")</f>
        <v>หญิง</v>
      </c>
      <c r="F1821" s="5" t="str">
        <f>IFERROR(__xludf.DUMMYFUNCTION("""COMPUTED_VALUE"""),"https://azizstan.net/student_image/23792.jpg")</f>
        <v>https://azizstan.net/student_image/23792.jpg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>
      <c r="A1822" s="3" t="str">
        <f>IFERROR(__xludf.DUMMYFUNCTION("""COMPUTED_VALUE"""),"23804")</f>
        <v>23804</v>
      </c>
      <c r="B1822" s="3" t="str">
        <f>IFERROR(__xludf.DUMMYFUNCTION("""COMPUTED_VALUE"""),"น.ส.ซูไรดา เดนหะ")</f>
        <v>น.ส.ซูไรดา เดนหะ</v>
      </c>
      <c r="C1822" s="3" t="str">
        <f>IFERROR(__xludf.DUMMYFUNCTION("""COMPUTED_VALUE"""),"ม.5/3")</f>
        <v>ม.5/3</v>
      </c>
      <c r="D1822" s="3" t="str">
        <f>IFERROR(__xludf.DUMMYFUNCTION("""COMPUTED_VALUE"""),"อป.1/3")</f>
        <v>อป.1/3</v>
      </c>
      <c r="E1822" s="2" t="str">
        <f>IFERROR(__xludf.DUMMYFUNCTION("""COMPUTED_VALUE"""),"หญิง")</f>
        <v>หญิง</v>
      </c>
      <c r="F1822" s="5" t="str">
        <f>IFERROR(__xludf.DUMMYFUNCTION("""COMPUTED_VALUE"""),"https://azizstan.net/student_image/23804.jpg")</f>
        <v>https://azizstan.net/student_image/23804.jpg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>
      <c r="A1823" s="3" t="str">
        <f>IFERROR(__xludf.DUMMYFUNCTION("""COMPUTED_VALUE"""),"23809")</f>
        <v>23809</v>
      </c>
      <c r="B1823" s="3" t="str">
        <f>IFERROR(__xludf.DUMMYFUNCTION("""COMPUTED_VALUE"""),"น.ส.ตอเฮเราะ บินรัตแก้ว")</f>
        <v>น.ส.ตอเฮเราะ บินรัตแก้ว</v>
      </c>
      <c r="C1823" s="3" t="str">
        <f>IFERROR(__xludf.DUMMYFUNCTION("""COMPUTED_VALUE"""),"ม.5/3")</f>
        <v>ม.5/3</v>
      </c>
      <c r="D1823" s="3" t="str">
        <f>IFERROR(__xludf.DUMMYFUNCTION("""COMPUTED_VALUE"""),"อป.2/1")</f>
        <v>อป.2/1</v>
      </c>
      <c r="E1823" s="2" t="str">
        <f>IFERROR(__xludf.DUMMYFUNCTION("""COMPUTED_VALUE"""),"หญิง")</f>
        <v>หญิง</v>
      </c>
      <c r="F1823" s="5" t="str">
        <f>IFERROR(__xludf.DUMMYFUNCTION("""COMPUTED_VALUE"""),"https://azizstan.net/student_image/23809.jpg")</f>
        <v>https://azizstan.net/student_image/23809.jpg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>
      <c r="A1824" s="3" t="str">
        <f>IFERROR(__xludf.DUMMYFUNCTION("""COMPUTED_VALUE"""),"23823")</f>
        <v>23823</v>
      </c>
      <c r="B1824" s="3" t="str">
        <f>IFERROR(__xludf.DUMMYFUNCTION("""COMPUTED_VALUE"""),"น.ส.อานิสาอ์ สะลิมิง")</f>
        <v>น.ส.อานิสาอ์ สะลิมิง</v>
      </c>
      <c r="C1824" s="3" t="str">
        <f>IFERROR(__xludf.DUMMYFUNCTION("""COMPUTED_VALUE"""),"ม.5/3")</f>
        <v>ม.5/3</v>
      </c>
      <c r="D1824" s="3" t="str">
        <f>IFERROR(__xludf.DUMMYFUNCTION("""COMPUTED_VALUE"""),"อป.2/1")</f>
        <v>อป.2/1</v>
      </c>
      <c r="E1824" s="2" t="str">
        <f>IFERROR(__xludf.DUMMYFUNCTION("""COMPUTED_VALUE"""),"หญิง")</f>
        <v>หญิง</v>
      </c>
      <c r="F1824" s="5" t="str">
        <f>IFERROR(__xludf.DUMMYFUNCTION("""COMPUTED_VALUE"""),"https://azizstan.net/student_image/23823.jpg")</f>
        <v>https://azizstan.net/student_image/23823.jpg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>
      <c r="A1825" s="3" t="str">
        <f>IFERROR(__xludf.DUMMYFUNCTION("""COMPUTED_VALUE"""),"23827")</f>
        <v>23827</v>
      </c>
      <c r="B1825" s="3" t="str">
        <f>IFERROR(__xludf.DUMMYFUNCTION("""COMPUTED_VALUE"""),"น.ส.นูรูลไฮมา กูนิง")</f>
        <v>น.ส.นูรูลไฮมา กูนิง</v>
      </c>
      <c r="C1825" s="3" t="str">
        <f>IFERROR(__xludf.DUMMYFUNCTION("""COMPUTED_VALUE"""),"ม.5/3")</f>
        <v>ม.5/3</v>
      </c>
      <c r="D1825" s="3" t="str">
        <f>IFERROR(__xludf.DUMMYFUNCTION("""COMPUTED_VALUE"""),"อป.1/3")</f>
        <v>อป.1/3</v>
      </c>
      <c r="E1825" s="2" t="str">
        <f>IFERROR(__xludf.DUMMYFUNCTION("""COMPUTED_VALUE"""),"หญิง")</f>
        <v>หญิง</v>
      </c>
      <c r="F1825" s="5" t="str">
        <f>IFERROR(__xludf.DUMMYFUNCTION("""COMPUTED_VALUE"""),"https://azizstan.net/student_image/23827.jpg")</f>
        <v>https://azizstan.net/student_image/23827.jpg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>
      <c r="A1826" s="3" t="str">
        <f>IFERROR(__xludf.DUMMYFUNCTION("""COMPUTED_VALUE"""),"23845")</f>
        <v>23845</v>
      </c>
      <c r="B1826" s="3" t="str">
        <f>IFERROR(__xludf.DUMMYFUNCTION("""COMPUTED_VALUE"""),"น.ส.อันดา เจะหะ")</f>
        <v>น.ส.อันดา เจะหะ</v>
      </c>
      <c r="C1826" s="3" t="str">
        <f>IFERROR(__xludf.DUMMYFUNCTION("""COMPUTED_VALUE"""),"ม.5/3")</f>
        <v>ม.5/3</v>
      </c>
      <c r="D1826" s="3" t="str">
        <f>IFERROR(__xludf.DUMMYFUNCTION("""COMPUTED_VALUE"""),"อป.1/3")</f>
        <v>อป.1/3</v>
      </c>
      <c r="E1826" s="2" t="str">
        <f>IFERROR(__xludf.DUMMYFUNCTION("""COMPUTED_VALUE"""),"หญิง")</f>
        <v>หญิง</v>
      </c>
      <c r="F1826" s="5" t="str">
        <f>IFERROR(__xludf.DUMMYFUNCTION("""COMPUTED_VALUE"""),"https://azizstan.net/student_image/23845.jpg")</f>
        <v>https://azizstan.net/student_image/23845.jpg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>
      <c r="A1827" s="3" t="str">
        <f>IFERROR(__xludf.DUMMYFUNCTION("""COMPUTED_VALUE"""),"23918")</f>
        <v>23918</v>
      </c>
      <c r="B1827" s="3" t="str">
        <f>IFERROR(__xludf.DUMMYFUNCTION("""COMPUTED_VALUE"""),"น.ส.ตัสนีญา สูหรง")</f>
        <v>น.ส.ตัสนีญา สูหรง</v>
      </c>
      <c r="C1827" s="3" t="str">
        <f>IFERROR(__xludf.DUMMYFUNCTION("""COMPUTED_VALUE"""),"ม.5/3")</f>
        <v>ม.5/3</v>
      </c>
      <c r="D1827" s="3" t="str">
        <f>IFERROR(__xludf.DUMMYFUNCTION("""COMPUTED_VALUE"""),"อก.3/9")</f>
        <v>อก.3/9</v>
      </c>
      <c r="E1827" s="2" t="str">
        <f>IFERROR(__xludf.DUMMYFUNCTION("""COMPUTED_VALUE"""),"หญิง")</f>
        <v>หญิง</v>
      </c>
      <c r="F1827" s="5" t="str">
        <f>IFERROR(__xludf.DUMMYFUNCTION("""COMPUTED_VALUE"""),"https://azizstan.net/student_image/23918.jpg")</f>
        <v>https://azizstan.net/student_image/23918.jpg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>
      <c r="A1828" s="3" t="str">
        <f>IFERROR(__xludf.DUMMYFUNCTION("""COMPUTED_VALUE"""),"23989")</f>
        <v>23989</v>
      </c>
      <c r="B1828" s="3" t="str">
        <f>IFERROR(__xludf.DUMMYFUNCTION("""COMPUTED_VALUE"""),"น.ส.นัสรินดาร์ หะมะ")</f>
        <v>น.ส.นัสรินดาร์ หะมะ</v>
      </c>
      <c r="C1828" s="3" t="str">
        <f>IFERROR(__xludf.DUMMYFUNCTION("""COMPUTED_VALUE"""),"ม.5/3")</f>
        <v>ม.5/3</v>
      </c>
      <c r="D1828" s="3" t="str">
        <f>IFERROR(__xludf.DUMMYFUNCTION("""COMPUTED_VALUE"""),"อก.3/9")</f>
        <v>อก.3/9</v>
      </c>
      <c r="E1828" s="2" t="str">
        <f>IFERROR(__xludf.DUMMYFUNCTION("""COMPUTED_VALUE"""),"หญิง")</f>
        <v>หญิง</v>
      </c>
      <c r="F1828" s="5" t="str">
        <f>IFERROR(__xludf.DUMMYFUNCTION("""COMPUTED_VALUE"""),"https://azizstan.net/student_image/23989.jpg")</f>
        <v>https://azizstan.net/student_image/23989.jpg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>
      <c r="A1829" s="3" t="str">
        <f>IFERROR(__xludf.DUMMYFUNCTION("""COMPUTED_VALUE"""),"25463")</f>
        <v>25463</v>
      </c>
      <c r="B1829" s="3" t="str">
        <f>IFERROR(__xludf.DUMMYFUNCTION("""COMPUTED_VALUE"""),"น.ส.ซูรัยยา ดอเล๊าะ")</f>
        <v>น.ส.ซูรัยยา ดอเล๊าะ</v>
      </c>
      <c r="C1829" s="3" t="str">
        <f>IFERROR(__xludf.DUMMYFUNCTION("""COMPUTED_VALUE"""),"ม.5/3")</f>
        <v>ม.5/3</v>
      </c>
      <c r="D1829" s="3" t="str">
        <f>IFERROR(__xludf.DUMMYFUNCTION("""COMPUTED_VALUE"""),"อก.2/13")</f>
        <v>อก.2/13</v>
      </c>
      <c r="E1829" s="2" t="str">
        <f>IFERROR(__xludf.DUMMYFUNCTION("""COMPUTED_VALUE"""),"หญิง")</f>
        <v>หญิง</v>
      </c>
      <c r="F1829" s="5" t="str">
        <f>IFERROR(__xludf.DUMMYFUNCTION("""COMPUTED_VALUE"""),"https://azizstan.net/student_image/25463.jpg")</f>
        <v>https://azizstan.net/student_image/25463.jpg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>
      <c r="A1830" s="3" t="str">
        <f>IFERROR(__xludf.DUMMYFUNCTION("""COMPUTED_VALUE"""),"25541")</f>
        <v>25541</v>
      </c>
      <c r="B1830" s="3" t="str">
        <f>IFERROR(__xludf.DUMMYFUNCTION("""COMPUTED_VALUE"""),"น.ส.อัลวานี หวังนุรักษ์")</f>
        <v>น.ส.อัลวานี หวังนุรักษ์</v>
      </c>
      <c r="C1830" s="3" t="str">
        <f>IFERROR(__xludf.DUMMYFUNCTION("""COMPUTED_VALUE"""),"ม.5/3")</f>
        <v>ม.5/3</v>
      </c>
      <c r="D1830" s="3" t="str">
        <f>IFERROR(__xludf.DUMMYFUNCTION("""COMPUTED_VALUE"""),"อป.2/1")</f>
        <v>อป.2/1</v>
      </c>
      <c r="E1830" s="2" t="str">
        <f>IFERROR(__xludf.DUMMYFUNCTION("""COMPUTED_VALUE"""),"หญิง")</f>
        <v>หญิง</v>
      </c>
      <c r="F1830" s="5" t="str">
        <f>IFERROR(__xludf.DUMMYFUNCTION("""COMPUTED_VALUE"""),"https://azizstan.net/student_image/25541.jpg")</f>
        <v>https://azizstan.net/student_image/25541.jpg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>
      <c r="A1831" s="3" t="str">
        <f>IFERROR(__xludf.DUMMYFUNCTION("""COMPUTED_VALUE"""),"25595")</f>
        <v>25595</v>
      </c>
      <c r="B1831" s="3" t="str">
        <f>IFERROR(__xludf.DUMMYFUNCTION("""COMPUTED_VALUE"""),"น.ส.นูรีตา สาแม")</f>
        <v>น.ส.นูรีตา สาแม</v>
      </c>
      <c r="C1831" s="3" t="str">
        <f>IFERROR(__xludf.DUMMYFUNCTION("""COMPUTED_VALUE"""),"ม.5/3")</f>
        <v>ม.5/3</v>
      </c>
      <c r="D1831" s="3" t="str">
        <f>IFERROR(__xludf.DUMMYFUNCTION("""COMPUTED_VALUE"""),"อก.2/13")</f>
        <v>อก.2/13</v>
      </c>
      <c r="E1831" s="2" t="str">
        <f>IFERROR(__xludf.DUMMYFUNCTION("""COMPUTED_VALUE"""),"หญิง")</f>
        <v>หญิง</v>
      </c>
      <c r="F1831" s="5" t="str">
        <f>IFERROR(__xludf.DUMMYFUNCTION("""COMPUTED_VALUE"""),"https://azizstan.net/student_image/25595.jpg")</f>
        <v>https://azizstan.net/student_image/25595.jpg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>
      <c r="A1832" s="3" t="str">
        <f>IFERROR(__xludf.DUMMYFUNCTION("""COMPUTED_VALUE"""),"25613")</f>
        <v>25613</v>
      </c>
      <c r="B1832" s="3" t="str">
        <f>IFERROR(__xludf.DUMMYFUNCTION("""COMPUTED_VALUE"""),"น.ส.นาเดีย คนุงกากะ")</f>
        <v>น.ส.นาเดีย คนุงกากะ</v>
      </c>
      <c r="C1832" s="3" t="str">
        <f>IFERROR(__xludf.DUMMYFUNCTION("""COMPUTED_VALUE"""),"ม.5/3")</f>
        <v>ม.5/3</v>
      </c>
      <c r="D1832" s="3" t="str">
        <f>IFERROR(__xludf.DUMMYFUNCTION("""COMPUTED_VALUE"""),"อก.2/13")</f>
        <v>อก.2/13</v>
      </c>
      <c r="E1832" s="2" t="str">
        <f>IFERROR(__xludf.DUMMYFUNCTION("""COMPUTED_VALUE"""),"หญิง")</f>
        <v>หญิง</v>
      </c>
      <c r="F1832" s="5" t="str">
        <f>IFERROR(__xludf.DUMMYFUNCTION("""COMPUTED_VALUE"""),"https://azizstan.net/student_image/25613.jpg")</f>
        <v>https://azizstan.net/student_image/25613.jpg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>
      <c r="A1833" s="3" t="str">
        <f>IFERROR(__xludf.DUMMYFUNCTION("""COMPUTED_VALUE"""),"25797")</f>
        <v>25797</v>
      </c>
      <c r="B1833" s="3" t="str">
        <f>IFERROR(__xludf.DUMMYFUNCTION("""COMPUTED_VALUE"""),"น.ส.ซูรียานี สาเระ")</f>
        <v>น.ส.ซูรียานี สาเระ</v>
      </c>
      <c r="C1833" s="3" t="str">
        <f>IFERROR(__xludf.DUMMYFUNCTION("""COMPUTED_VALUE"""),"ม.5/3")</f>
        <v>ม.5/3</v>
      </c>
      <c r="D1833" s="3" t="str">
        <f>IFERROR(__xludf.DUMMYFUNCTION("""COMPUTED_VALUE"""),"อก.2/13")</f>
        <v>อก.2/13</v>
      </c>
      <c r="E1833" s="2" t="str">
        <f>IFERROR(__xludf.DUMMYFUNCTION("""COMPUTED_VALUE"""),"หญิง")</f>
        <v>หญิง</v>
      </c>
      <c r="F1833" s="5" t="str">
        <f>IFERROR(__xludf.DUMMYFUNCTION("""COMPUTED_VALUE"""),"https://azizstan.net/student_image/25797.jpg")</f>
        <v>https://azizstan.net/student_image/25797.jpg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>
      <c r="A1834" s="3" t="str">
        <f>IFERROR(__xludf.DUMMYFUNCTION("""COMPUTED_VALUE"""),"25826")</f>
        <v>25826</v>
      </c>
      <c r="B1834" s="3" t="str">
        <f>IFERROR(__xludf.DUMMYFUNCTION("""COMPUTED_VALUE"""),"น.ส.นุรนาดีเราะห์ ลาเตะ")</f>
        <v>น.ส.นุรนาดีเราะห์ ลาเตะ</v>
      </c>
      <c r="C1834" s="3" t="str">
        <f>IFERROR(__xludf.DUMMYFUNCTION("""COMPUTED_VALUE"""),"ม.5/3")</f>
        <v>ม.5/3</v>
      </c>
      <c r="D1834" s="3" t="str">
        <f>IFERROR(__xludf.DUMMYFUNCTION("""COMPUTED_VALUE"""),"อก.3/9")</f>
        <v>อก.3/9</v>
      </c>
      <c r="E1834" s="2" t="str">
        <f>IFERROR(__xludf.DUMMYFUNCTION("""COMPUTED_VALUE"""),"หญิง")</f>
        <v>หญิง</v>
      </c>
      <c r="F1834" s="5" t="str">
        <f>IFERROR(__xludf.DUMMYFUNCTION("""COMPUTED_VALUE"""),"https://azizstan.net/student_image/25826.jpg")</f>
        <v>https://azizstan.net/student_image/25826.jpg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>
      <c r="A1835" s="3" t="str">
        <f>IFERROR(__xludf.DUMMYFUNCTION("""COMPUTED_VALUE"""),"25876")</f>
        <v>25876</v>
      </c>
      <c r="B1835" s="3" t="str">
        <f>IFERROR(__xludf.DUMMYFUNCTION("""COMPUTED_VALUE"""),"น.ส.ยูรัยฟา หะยีมะแซ")</f>
        <v>น.ส.ยูรัยฟา หะยีมะแซ</v>
      </c>
      <c r="C1835" s="3" t="str">
        <f>IFERROR(__xludf.DUMMYFUNCTION("""COMPUTED_VALUE"""),"ม.5/3")</f>
        <v>ม.5/3</v>
      </c>
      <c r="D1835" s="3" t="str">
        <f>IFERROR(__xludf.DUMMYFUNCTION("""COMPUTED_VALUE"""),"อก.2/13")</f>
        <v>อก.2/13</v>
      </c>
      <c r="E1835" s="2" t="str">
        <f>IFERROR(__xludf.DUMMYFUNCTION("""COMPUTED_VALUE"""),"หญิง")</f>
        <v>หญิง</v>
      </c>
      <c r="F1835" s="5" t="str">
        <f>IFERROR(__xludf.DUMMYFUNCTION("""COMPUTED_VALUE"""),"https://azizstan.net/student_image/25876.jpg")</f>
        <v>https://azizstan.net/student_image/25876.jpg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>
      <c r="A1836" s="3" t="str">
        <f>IFERROR(__xludf.DUMMYFUNCTION("""COMPUTED_VALUE"""),"25986")</f>
        <v>25986</v>
      </c>
      <c r="B1836" s="3" t="str">
        <f>IFERROR(__xludf.DUMMYFUNCTION("""COMPUTED_VALUE"""),"น.ส.รอฮานี สาเมาะ")</f>
        <v>น.ส.รอฮานี สาเมาะ</v>
      </c>
      <c r="C1836" s="3" t="str">
        <f>IFERROR(__xludf.DUMMYFUNCTION("""COMPUTED_VALUE"""),"ม.5/3")</f>
        <v>ม.5/3</v>
      </c>
      <c r="D1836" s="3" t="str">
        <f>IFERROR(__xludf.DUMMYFUNCTION("""COMPUTED_VALUE"""),"อป.1/3")</f>
        <v>อป.1/3</v>
      </c>
      <c r="E1836" s="2" t="str">
        <f>IFERROR(__xludf.DUMMYFUNCTION("""COMPUTED_VALUE"""),"หญิง")</f>
        <v>หญิง</v>
      </c>
      <c r="F1836" s="5" t="str">
        <f>IFERROR(__xludf.DUMMYFUNCTION("""COMPUTED_VALUE"""),"https://azizstan.net/student_image/25986.jpg")</f>
        <v>https://azizstan.net/student_image/25986.jpg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>
      <c r="A1837" s="3" t="str">
        <f>IFERROR(__xludf.DUMMYFUNCTION("""COMPUTED_VALUE"""),"26022")</f>
        <v>26022</v>
      </c>
      <c r="B1837" s="3" t="str">
        <f>IFERROR(__xludf.DUMMYFUNCTION("""COMPUTED_VALUE"""),"น.ส.นุฟาเดียร์ บูเงาะแงะ")</f>
        <v>น.ส.นุฟาเดียร์ บูเงาะแงะ</v>
      </c>
      <c r="C1837" s="3" t="str">
        <f>IFERROR(__xludf.DUMMYFUNCTION("""COMPUTED_VALUE"""),"ม.5/3")</f>
        <v>ม.5/3</v>
      </c>
      <c r="D1837" s="3" t="str">
        <f>IFERROR(__xludf.DUMMYFUNCTION("""COMPUTED_VALUE"""),"อก.2/13")</f>
        <v>อก.2/13</v>
      </c>
      <c r="E1837" s="2" t="str">
        <f>IFERROR(__xludf.DUMMYFUNCTION("""COMPUTED_VALUE"""),"หญิง")</f>
        <v>หญิง</v>
      </c>
      <c r="F1837" s="5" t="str">
        <f>IFERROR(__xludf.DUMMYFUNCTION("""COMPUTED_VALUE"""),"https://azizstan.net/student_image/26022.jpg")</f>
        <v>https://azizstan.net/student_image/26022.jpg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>
      <c r="A1838" s="3" t="str">
        <f>IFERROR(__xludf.DUMMYFUNCTION("""COMPUTED_VALUE"""),"26253")</f>
        <v>26253</v>
      </c>
      <c r="B1838" s="3" t="str">
        <f>IFERROR(__xludf.DUMMYFUNCTION("""COMPUTED_VALUE"""),"น.ส.ฟาติม ลอเส็น")</f>
        <v>น.ส.ฟาติม ลอเส็น</v>
      </c>
      <c r="C1838" s="3" t="str">
        <f>IFERROR(__xludf.DUMMYFUNCTION("""COMPUTED_VALUE"""),"ม.5/3")</f>
        <v>ม.5/3</v>
      </c>
      <c r="D1838" s="3" t="str">
        <f>IFERROR(__xludf.DUMMYFUNCTION("""COMPUTED_VALUE"""),"อก.2/13")</f>
        <v>อก.2/13</v>
      </c>
      <c r="E1838" s="2" t="str">
        <f>IFERROR(__xludf.DUMMYFUNCTION("""COMPUTED_VALUE"""),"หญิง")</f>
        <v>หญิง</v>
      </c>
      <c r="F1838" s="5" t="str">
        <f>IFERROR(__xludf.DUMMYFUNCTION("""COMPUTED_VALUE"""),"https://azizstan.net/student_image/26253.jpg")</f>
        <v>https://azizstan.net/student_image/26253.jpg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>
      <c r="A1839" s="3" t="str">
        <f>IFERROR(__xludf.DUMMYFUNCTION("""COMPUTED_VALUE"""),"26610")</f>
        <v>26610</v>
      </c>
      <c r="B1839" s="3" t="str">
        <f>IFERROR(__xludf.DUMMYFUNCTION("""COMPUTED_VALUE"""),"น.ส.นูรียะห์ เจะเละ")</f>
        <v>น.ส.นูรียะห์ เจะเละ</v>
      </c>
      <c r="C1839" s="3" t="str">
        <f>IFERROR(__xludf.DUMMYFUNCTION("""COMPUTED_VALUE"""),"ม.5/3")</f>
        <v>ม.5/3</v>
      </c>
      <c r="D1839" s="3" t="str">
        <f>IFERROR(__xludf.DUMMYFUNCTION("""COMPUTED_VALUE"""),"อก.2/13")</f>
        <v>อก.2/13</v>
      </c>
      <c r="E1839" s="2" t="str">
        <f>IFERROR(__xludf.DUMMYFUNCTION("""COMPUTED_VALUE"""),"หญิง")</f>
        <v>หญิง</v>
      </c>
      <c r="F1839" s="5" t="str">
        <f>IFERROR(__xludf.DUMMYFUNCTION("""COMPUTED_VALUE"""),"https://azizstan.net/student_image/26610.jpg")</f>
        <v>https://azizstan.net/student_image/26610.jpg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>
      <c r="A1840" s="3" t="str">
        <f>IFERROR(__xludf.DUMMYFUNCTION("""COMPUTED_VALUE"""),"26760")</f>
        <v>26760</v>
      </c>
      <c r="B1840" s="3" t="str">
        <f>IFERROR(__xludf.DUMMYFUNCTION("""COMPUTED_VALUE"""),"น.ส.นาดียะห์ มะแอ")</f>
        <v>น.ส.นาดียะห์ มะแอ</v>
      </c>
      <c r="C1840" s="3" t="str">
        <f>IFERROR(__xludf.DUMMYFUNCTION("""COMPUTED_VALUE"""),"ม.5/3")</f>
        <v>ม.5/3</v>
      </c>
      <c r="D1840" s="3" t="str">
        <f>IFERROR(__xludf.DUMMYFUNCTION("""COMPUTED_VALUE"""),"อก.2/13")</f>
        <v>อก.2/13</v>
      </c>
      <c r="E1840" s="2" t="str">
        <f>IFERROR(__xludf.DUMMYFUNCTION("""COMPUTED_VALUE"""),"หญิง")</f>
        <v>หญิง</v>
      </c>
      <c r="F1840" s="5" t="str">
        <f>IFERROR(__xludf.DUMMYFUNCTION("""COMPUTED_VALUE"""),"https://azizstan.net/student_image/26760.jpg")</f>
        <v>https://azizstan.net/student_image/26760.jpg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>
      <c r="A1841" s="3" t="str">
        <f>IFERROR(__xludf.DUMMYFUNCTION("""COMPUTED_VALUE"""),"23352")</f>
        <v>23352</v>
      </c>
      <c r="B1841" s="3" t="str">
        <f>IFERROR(__xludf.DUMMYFUNCTION("""COMPUTED_VALUE"""),"น.ส.อาซียะห์ ขาเดร์")</f>
        <v>น.ส.อาซียะห์ ขาเดร์</v>
      </c>
      <c r="C1841" s="3" t="str">
        <f>IFERROR(__xludf.DUMMYFUNCTION("""COMPUTED_VALUE"""),"ม.5/4")</f>
        <v>ม.5/4</v>
      </c>
      <c r="D1841" s="3" t="str">
        <f>IFERROR(__xludf.DUMMYFUNCTION("""COMPUTED_VALUE"""),"อป.1/4")</f>
        <v>อป.1/4</v>
      </c>
      <c r="E1841" s="2" t="str">
        <f>IFERROR(__xludf.DUMMYFUNCTION("""COMPUTED_VALUE"""),"หญิง")</f>
        <v>หญิง</v>
      </c>
      <c r="F1841" s="5" t="str">
        <f>IFERROR(__xludf.DUMMYFUNCTION("""COMPUTED_VALUE"""),"https://azizstan.net/student_image/23352.jpg")</f>
        <v>https://azizstan.net/student_image/23352.jpg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>
      <c r="A1842" s="3" t="str">
        <f>IFERROR(__xludf.DUMMYFUNCTION("""COMPUTED_VALUE"""),"23359")</f>
        <v>23359</v>
      </c>
      <c r="B1842" s="3" t="str">
        <f>IFERROR(__xludf.DUMMYFUNCTION("""COMPUTED_VALUE"""),"น.ส.ซาฟีนะห์ อาก๊ะ")</f>
        <v>น.ส.ซาฟีนะห์ อาก๊ะ</v>
      </c>
      <c r="C1842" s="3" t="str">
        <f>IFERROR(__xludf.DUMMYFUNCTION("""COMPUTED_VALUE"""),"ม.5/4")</f>
        <v>ม.5/4</v>
      </c>
      <c r="D1842" s="3" t="str">
        <f>IFERROR(__xludf.DUMMYFUNCTION("""COMPUTED_VALUE"""),"อก.3/18")</f>
        <v>อก.3/18</v>
      </c>
      <c r="E1842" s="2" t="str">
        <f>IFERROR(__xludf.DUMMYFUNCTION("""COMPUTED_VALUE"""),"หญิง")</f>
        <v>หญิง</v>
      </c>
      <c r="F1842" s="5" t="str">
        <f>IFERROR(__xludf.DUMMYFUNCTION("""COMPUTED_VALUE"""),"https://azizstan.net/student_image/23359.jpg")</f>
        <v>https://azizstan.net/student_image/23359.jpg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>
      <c r="A1843" s="3" t="str">
        <f>IFERROR(__xludf.DUMMYFUNCTION("""COMPUTED_VALUE"""),"23361")</f>
        <v>23361</v>
      </c>
      <c r="B1843" s="3" t="str">
        <f>IFERROR(__xludf.DUMMYFUNCTION("""COMPUTED_VALUE"""),"น.ส.นูรนาเซีย สาเมาะ")</f>
        <v>น.ส.นูรนาเซีย สาเมาะ</v>
      </c>
      <c r="C1843" s="3" t="str">
        <f>IFERROR(__xludf.DUMMYFUNCTION("""COMPUTED_VALUE"""),"ม.5/4")</f>
        <v>ม.5/4</v>
      </c>
      <c r="D1843" s="3" t="str">
        <f>IFERROR(__xludf.DUMMYFUNCTION("""COMPUTED_VALUE"""),"อก.3/18")</f>
        <v>อก.3/18</v>
      </c>
      <c r="E1843" s="2" t="str">
        <f>IFERROR(__xludf.DUMMYFUNCTION("""COMPUTED_VALUE"""),"หญิง")</f>
        <v>หญิง</v>
      </c>
      <c r="F1843" s="5" t="str">
        <f>IFERROR(__xludf.DUMMYFUNCTION("""COMPUTED_VALUE"""),"https://azizstan.net/student_image/23361.jpg")</f>
        <v>https://azizstan.net/student_image/23361.jpg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>
      <c r="A1844" s="3" t="str">
        <f>IFERROR(__xludf.DUMMYFUNCTION("""COMPUTED_VALUE"""),"23363")</f>
        <v>23363</v>
      </c>
      <c r="B1844" s="3" t="str">
        <f>IFERROR(__xludf.DUMMYFUNCTION("""COMPUTED_VALUE"""),"น.ส.พาตาฮา เล๊าะมอง")</f>
        <v>น.ส.พาตาฮา เล๊าะมอง</v>
      </c>
      <c r="C1844" s="3" t="str">
        <f>IFERROR(__xludf.DUMMYFUNCTION("""COMPUTED_VALUE"""),"ม.5/4")</f>
        <v>ม.5/4</v>
      </c>
      <c r="D1844" s="3" t="str">
        <f>IFERROR(__xludf.DUMMYFUNCTION("""COMPUTED_VALUE"""),"อก.3/18")</f>
        <v>อก.3/18</v>
      </c>
      <c r="E1844" s="2" t="str">
        <f>IFERROR(__xludf.DUMMYFUNCTION("""COMPUTED_VALUE"""),"หญิง")</f>
        <v>หญิง</v>
      </c>
      <c r="F1844" s="5" t="str">
        <f>IFERROR(__xludf.DUMMYFUNCTION("""COMPUTED_VALUE"""),"https://azizstan.net/student_image/23363.jpg")</f>
        <v>https://azizstan.net/student_image/23363.jpg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>
      <c r="A1845" s="3" t="str">
        <f>IFERROR(__xludf.DUMMYFUNCTION("""COMPUTED_VALUE"""),"23392")</f>
        <v>23392</v>
      </c>
      <c r="B1845" s="3" t="str">
        <f>IFERROR(__xludf.DUMMYFUNCTION("""COMPUTED_VALUE"""),"น.ส.อัลซาเบีย แซ่ลี")</f>
        <v>น.ส.อัลซาเบีย แซ่ลี</v>
      </c>
      <c r="C1845" s="3" t="str">
        <f>IFERROR(__xludf.DUMMYFUNCTION("""COMPUTED_VALUE"""),"ม.5/4")</f>
        <v>ม.5/4</v>
      </c>
      <c r="D1845" s="3" t="str">
        <f>IFERROR(__xludf.DUMMYFUNCTION("""COMPUTED_VALUE"""),"อก.3/18")</f>
        <v>อก.3/18</v>
      </c>
      <c r="E1845" s="2" t="str">
        <f>IFERROR(__xludf.DUMMYFUNCTION("""COMPUTED_VALUE"""),"หญิง")</f>
        <v>หญิง</v>
      </c>
      <c r="F1845" s="5" t="str">
        <f>IFERROR(__xludf.DUMMYFUNCTION("""COMPUTED_VALUE"""),"https://azizstan.net/student_image/23392.jpg")</f>
        <v>https://azizstan.net/student_image/23392.jpg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>
      <c r="A1846" s="3" t="str">
        <f>IFERROR(__xludf.DUMMYFUNCTION("""COMPUTED_VALUE"""),"23509")</f>
        <v>23509</v>
      </c>
      <c r="B1846" s="3" t="str">
        <f>IFERROR(__xludf.DUMMYFUNCTION("""COMPUTED_VALUE"""),"น.ส.ยัสมี บาเหม")</f>
        <v>น.ส.ยัสมี บาเหม</v>
      </c>
      <c r="C1846" s="3" t="str">
        <f>IFERROR(__xludf.DUMMYFUNCTION("""COMPUTED_VALUE"""),"ม.5/4")</f>
        <v>ม.5/4</v>
      </c>
      <c r="D1846" s="3" t="str">
        <f>IFERROR(__xludf.DUMMYFUNCTION("""COMPUTED_VALUE"""),"อป.2/2")</f>
        <v>อป.2/2</v>
      </c>
      <c r="E1846" s="2" t="str">
        <f>IFERROR(__xludf.DUMMYFUNCTION("""COMPUTED_VALUE"""),"หญิง")</f>
        <v>หญิง</v>
      </c>
      <c r="F1846" s="5" t="str">
        <f>IFERROR(__xludf.DUMMYFUNCTION("""COMPUTED_VALUE"""),"https://azizstan.net/student_image/23509.jpg")</f>
        <v>https://azizstan.net/student_image/23509.jpg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>
      <c r="A1847" s="3" t="str">
        <f>IFERROR(__xludf.DUMMYFUNCTION("""COMPUTED_VALUE"""),"23519")</f>
        <v>23519</v>
      </c>
      <c r="B1847" s="3" t="str">
        <f>IFERROR(__xludf.DUMMYFUNCTION("""COMPUTED_VALUE"""),"น.ส.รุสมี เจะสนิ")</f>
        <v>น.ส.รุสมี เจะสนิ</v>
      </c>
      <c r="C1847" s="3" t="str">
        <f>IFERROR(__xludf.DUMMYFUNCTION("""COMPUTED_VALUE"""),"ม.5/4")</f>
        <v>ม.5/4</v>
      </c>
      <c r="D1847" s="3" t="str">
        <f>IFERROR(__xludf.DUMMYFUNCTION("""COMPUTED_VALUE"""),"อก.3/18")</f>
        <v>อก.3/18</v>
      </c>
      <c r="E1847" s="2" t="str">
        <f>IFERROR(__xludf.DUMMYFUNCTION("""COMPUTED_VALUE"""),"หญิง")</f>
        <v>หญิง</v>
      </c>
      <c r="F1847" s="5" t="str">
        <f>IFERROR(__xludf.DUMMYFUNCTION("""COMPUTED_VALUE"""),"https://azizstan.net/student_image/23519.jpg")</f>
        <v>https://azizstan.net/student_image/23519.jpg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>
      <c r="A1848" s="3" t="str">
        <f>IFERROR(__xludf.DUMMYFUNCTION("""COMPUTED_VALUE"""),"23526")</f>
        <v>23526</v>
      </c>
      <c r="B1848" s="3" t="str">
        <f>IFERROR(__xludf.DUMMYFUNCTION("""COMPUTED_VALUE"""),"น.ส.วาณีตา ดอเล๊าะ")</f>
        <v>น.ส.วาณีตา ดอเล๊าะ</v>
      </c>
      <c r="C1848" s="3" t="str">
        <f>IFERROR(__xludf.DUMMYFUNCTION("""COMPUTED_VALUE"""),"ม.5/4")</f>
        <v>ม.5/4</v>
      </c>
      <c r="D1848" s="3" t="str">
        <f>IFERROR(__xludf.DUMMYFUNCTION("""COMPUTED_VALUE"""),"อป.2/2")</f>
        <v>อป.2/2</v>
      </c>
      <c r="E1848" s="2" t="str">
        <f>IFERROR(__xludf.DUMMYFUNCTION("""COMPUTED_VALUE"""),"หญิง")</f>
        <v>หญิง</v>
      </c>
      <c r="F1848" s="5" t="str">
        <f>IFERROR(__xludf.DUMMYFUNCTION("""COMPUTED_VALUE"""),"https://azizstan.net/student_image/23526.jpg")</f>
        <v>https://azizstan.net/student_image/23526.jpg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>
      <c r="A1849" s="3" t="str">
        <f>IFERROR(__xludf.DUMMYFUNCTION("""COMPUTED_VALUE"""),"23553")</f>
        <v>23553</v>
      </c>
      <c r="B1849" s="3" t="str">
        <f>IFERROR(__xludf.DUMMYFUNCTION("""COMPUTED_VALUE"""),"น.ส.อาตีราห์ สันบากอ")</f>
        <v>น.ส.อาตีราห์ สันบากอ</v>
      </c>
      <c r="C1849" s="3" t="str">
        <f>IFERROR(__xludf.DUMMYFUNCTION("""COMPUTED_VALUE"""),"ม.5/4")</f>
        <v>ม.5/4</v>
      </c>
      <c r="D1849" s="3" t="str">
        <f>IFERROR(__xludf.DUMMYFUNCTION("""COMPUTED_VALUE"""),"อป.1/4")</f>
        <v>อป.1/4</v>
      </c>
      <c r="E1849" s="2" t="str">
        <f>IFERROR(__xludf.DUMMYFUNCTION("""COMPUTED_VALUE"""),"หญิง")</f>
        <v>หญิง</v>
      </c>
      <c r="F1849" s="5" t="str">
        <f>IFERROR(__xludf.DUMMYFUNCTION("""COMPUTED_VALUE"""),"https://azizstan.net/student_image/23553.jpg")</f>
        <v>https://azizstan.net/student_image/23553.jpg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>
      <c r="A1850" s="3" t="str">
        <f>IFERROR(__xludf.DUMMYFUNCTION("""COMPUTED_VALUE"""),"23566")</f>
        <v>23566</v>
      </c>
      <c r="B1850" s="3" t="str">
        <f>IFERROR(__xludf.DUMMYFUNCTION("""COMPUTED_VALUE"""),"น.ส.หนิรัยยาน เดหนิ")</f>
        <v>น.ส.หนิรัยยาน เดหนิ</v>
      </c>
      <c r="C1850" s="3" t="str">
        <f>IFERROR(__xludf.DUMMYFUNCTION("""COMPUTED_VALUE"""),"ม.5/4")</f>
        <v>ม.5/4</v>
      </c>
      <c r="D1850" s="3" t="str">
        <f>IFERROR(__xludf.DUMMYFUNCTION("""COMPUTED_VALUE"""),"อก.3/18")</f>
        <v>อก.3/18</v>
      </c>
      <c r="E1850" s="2" t="str">
        <f>IFERROR(__xludf.DUMMYFUNCTION("""COMPUTED_VALUE"""),"หญิง")</f>
        <v>หญิง</v>
      </c>
      <c r="F1850" s="5" t="str">
        <f>IFERROR(__xludf.DUMMYFUNCTION("""COMPUTED_VALUE"""),"https://azizstan.net/student_image/23566.jpg")</f>
        <v>https://azizstan.net/student_image/23566.jpg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>
      <c r="A1851" s="3" t="str">
        <f>IFERROR(__xludf.DUMMYFUNCTION("""COMPUTED_VALUE"""),"23570")</f>
        <v>23570</v>
      </c>
      <c r="B1851" s="3" t="str">
        <f>IFERROR(__xludf.DUMMYFUNCTION("""COMPUTED_VALUE"""),"น.ส.อามาลีนา เจะหมะ")</f>
        <v>น.ส.อามาลีนา เจะหมะ</v>
      </c>
      <c r="C1851" s="3" t="str">
        <f>IFERROR(__xludf.DUMMYFUNCTION("""COMPUTED_VALUE"""),"ม.5/4")</f>
        <v>ม.5/4</v>
      </c>
      <c r="D1851" s="3" t="str">
        <f>IFERROR(__xludf.DUMMYFUNCTION("""COMPUTED_VALUE"""),"อป.1/4")</f>
        <v>อป.1/4</v>
      </c>
      <c r="E1851" s="2" t="str">
        <f>IFERROR(__xludf.DUMMYFUNCTION("""COMPUTED_VALUE"""),"หญิง")</f>
        <v>หญิง</v>
      </c>
      <c r="F1851" s="5" t="str">
        <f>IFERROR(__xludf.DUMMYFUNCTION("""COMPUTED_VALUE"""),"https://azizstan.net/student_image/23570.jpg")</f>
        <v>https://azizstan.net/student_image/23570.jpg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>
      <c r="A1852" s="3" t="str">
        <f>IFERROR(__xludf.DUMMYFUNCTION("""COMPUTED_VALUE"""),"23593")</f>
        <v>23593</v>
      </c>
      <c r="B1852" s="3" t="str">
        <f>IFERROR(__xludf.DUMMYFUNCTION("""COMPUTED_VALUE"""),"น.ส.ฝาราฝาตีฮ๊ะ เยาะเส็น")</f>
        <v>น.ส.ฝาราฝาตีฮ๊ะ เยาะเส็น</v>
      </c>
      <c r="C1852" s="3" t="str">
        <f>IFERROR(__xludf.DUMMYFUNCTION("""COMPUTED_VALUE"""),"ม.5/4")</f>
        <v>ม.5/4</v>
      </c>
      <c r="D1852" s="3" t="str">
        <f>IFERROR(__xludf.DUMMYFUNCTION("""COMPUTED_VALUE"""),"อก.3/18")</f>
        <v>อก.3/18</v>
      </c>
      <c r="E1852" s="2" t="str">
        <f>IFERROR(__xludf.DUMMYFUNCTION("""COMPUTED_VALUE"""),"หญิง")</f>
        <v>หญิง</v>
      </c>
      <c r="F1852" s="5" t="str">
        <f>IFERROR(__xludf.DUMMYFUNCTION("""COMPUTED_VALUE"""),"https://azizstan.net/student_image/23593.jpg")</f>
        <v>https://azizstan.net/student_image/23593.jpg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>
      <c r="A1853" s="3" t="str">
        <f>IFERROR(__xludf.DUMMYFUNCTION("""COMPUTED_VALUE"""),"23628")</f>
        <v>23628</v>
      </c>
      <c r="B1853" s="3" t="str">
        <f>IFERROR(__xludf.DUMMYFUNCTION("""COMPUTED_VALUE"""),"น.ส.ซัลวา ยามา")</f>
        <v>น.ส.ซัลวา ยามา</v>
      </c>
      <c r="C1853" s="3" t="str">
        <f>IFERROR(__xludf.DUMMYFUNCTION("""COMPUTED_VALUE"""),"ม.5/4")</f>
        <v>ม.5/4</v>
      </c>
      <c r="D1853" s="3" t="str">
        <f>IFERROR(__xludf.DUMMYFUNCTION("""COMPUTED_VALUE"""),"อป.1/4")</f>
        <v>อป.1/4</v>
      </c>
      <c r="E1853" s="2" t="str">
        <f>IFERROR(__xludf.DUMMYFUNCTION("""COMPUTED_VALUE"""),"หญิง")</f>
        <v>หญิง</v>
      </c>
      <c r="F1853" s="5" t="str">
        <f>IFERROR(__xludf.DUMMYFUNCTION("""COMPUTED_VALUE"""),"https://azizstan.net/student_image/23628.jpg")</f>
        <v>https://azizstan.net/student_image/23628.jpg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>
      <c r="A1854" s="3" t="str">
        <f>IFERROR(__xludf.DUMMYFUNCTION("""COMPUTED_VALUE"""),"23669")</f>
        <v>23669</v>
      </c>
      <c r="B1854" s="3" t="str">
        <f>IFERROR(__xludf.DUMMYFUNCTION("""COMPUTED_VALUE"""),"น.ส.อัสนีญา สูหลง")</f>
        <v>น.ส.อัสนีญา สูหลง</v>
      </c>
      <c r="C1854" s="3" t="str">
        <f>IFERROR(__xludf.DUMMYFUNCTION("""COMPUTED_VALUE"""),"ม.5/4")</f>
        <v>ม.5/4</v>
      </c>
      <c r="D1854" s="3" t="str">
        <f>IFERROR(__xludf.DUMMYFUNCTION("""COMPUTED_VALUE"""),"อก.3/18")</f>
        <v>อก.3/18</v>
      </c>
      <c r="E1854" s="2" t="str">
        <f>IFERROR(__xludf.DUMMYFUNCTION("""COMPUTED_VALUE"""),"หญิง")</f>
        <v>หญิง</v>
      </c>
      <c r="F1854" s="5" t="str">
        <f>IFERROR(__xludf.DUMMYFUNCTION("""COMPUTED_VALUE"""),"https://azizstan.net/student_image/23669.jpg")</f>
        <v>https://azizstan.net/student_image/23669.jpg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>
      <c r="A1855" s="3" t="str">
        <f>IFERROR(__xludf.DUMMYFUNCTION("""COMPUTED_VALUE"""),"23690")</f>
        <v>23690</v>
      </c>
      <c r="B1855" s="3" t="str">
        <f>IFERROR(__xludf.DUMMYFUNCTION("""COMPUTED_VALUE"""),"น.ส.นัซมีย์ ตาสะเมาะ")</f>
        <v>น.ส.นัซมีย์ ตาสะเมาะ</v>
      </c>
      <c r="C1855" s="3" t="str">
        <f>IFERROR(__xludf.DUMMYFUNCTION("""COMPUTED_VALUE"""),"ม.5/4")</f>
        <v>ม.5/4</v>
      </c>
      <c r="D1855" s="3" t="str">
        <f>IFERROR(__xludf.DUMMYFUNCTION("""COMPUTED_VALUE"""),"อก.3/18")</f>
        <v>อก.3/18</v>
      </c>
      <c r="E1855" s="2" t="str">
        <f>IFERROR(__xludf.DUMMYFUNCTION("""COMPUTED_VALUE"""),"หญิง")</f>
        <v>หญิง</v>
      </c>
      <c r="F1855" s="5" t="str">
        <f>IFERROR(__xludf.DUMMYFUNCTION("""COMPUTED_VALUE"""),"https://azizstan.net/student_image/23690.jpg")</f>
        <v>https://azizstan.net/student_image/23690.jpg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>
      <c r="A1856" s="3" t="str">
        <f>IFERROR(__xludf.DUMMYFUNCTION("""COMPUTED_VALUE"""),"23710")</f>
        <v>23710</v>
      </c>
      <c r="B1856" s="3" t="str">
        <f>IFERROR(__xludf.DUMMYFUNCTION("""COMPUTED_VALUE"""),"น.ส.สุลัยมีย์ มาสามา")</f>
        <v>น.ส.สุลัยมีย์ มาสามา</v>
      </c>
      <c r="C1856" s="3" t="str">
        <f>IFERROR(__xludf.DUMMYFUNCTION("""COMPUTED_VALUE"""),"ม.5/4")</f>
        <v>ม.5/4</v>
      </c>
      <c r="D1856" s="3" t="str">
        <f>IFERROR(__xludf.DUMMYFUNCTION("""COMPUTED_VALUE"""),"อก.3/18")</f>
        <v>อก.3/18</v>
      </c>
      <c r="E1856" s="2" t="str">
        <f>IFERROR(__xludf.DUMMYFUNCTION("""COMPUTED_VALUE"""),"หญิง")</f>
        <v>หญิง</v>
      </c>
      <c r="F1856" s="5" t="str">
        <f>IFERROR(__xludf.DUMMYFUNCTION("""COMPUTED_VALUE"""),"https://azizstan.net/student_image/23710.jpg")</f>
        <v>https://azizstan.net/student_image/23710.jpg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>
      <c r="A1857" s="3" t="str">
        <f>IFERROR(__xludf.DUMMYFUNCTION("""COMPUTED_VALUE"""),"23713")</f>
        <v>23713</v>
      </c>
      <c r="B1857" s="3" t="str">
        <f>IFERROR(__xludf.DUMMYFUNCTION("""COMPUTED_VALUE"""),"น.ส.ยัสมีน มามุ")</f>
        <v>น.ส.ยัสมีน มามุ</v>
      </c>
      <c r="C1857" s="3" t="str">
        <f>IFERROR(__xludf.DUMMYFUNCTION("""COMPUTED_VALUE"""),"ม.5/4")</f>
        <v>ม.5/4</v>
      </c>
      <c r="D1857" s="3" t="str">
        <f>IFERROR(__xludf.DUMMYFUNCTION("""COMPUTED_VALUE"""),"อป.2/2")</f>
        <v>อป.2/2</v>
      </c>
      <c r="E1857" s="2" t="str">
        <f>IFERROR(__xludf.DUMMYFUNCTION("""COMPUTED_VALUE"""),"หญิง")</f>
        <v>หญิง</v>
      </c>
      <c r="F1857" s="5" t="str">
        <f>IFERROR(__xludf.DUMMYFUNCTION("""COMPUTED_VALUE"""),"https://azizstan.net/student_image/23713.jpg")</f>
        <v>https://azizstan.net/student_image/23713.jpg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>
      <c r="A1858" s="3" t="str">
        <f>IFERROR(__xludf.DUMMYFUNCTION("""COMPUTED_VALUE"""),"23741")</f>
        <v>23741</v>
      </c>
      <c r="B1858" s="3" t="str">
        <f>IFERROR(__xludf.DUMMYFUNCTION("""COMPUTED_VALUE"""),"น.ส.ปิรดาวส์ ยีกะเส็ม")</f>
        <v>น.ส.ปิรดาวส์ ยีกะเส็ม</v>
      </c>
      <c r="C1858" s="3" t="str">
        <f>IFERROR(__xludf.DUMMYFUNCTION("""COMPUTED_VALUE"""),"ม.5/4")</f>
        <v>ม.5/4</v>
      </c>
      <c r="D1858" s="3" t="str">
        <f>IFERROR(__xludf.DUMMYFUNCTION("""COMPUTED_VALUE"""),"อป.1/4")</f>
        <v>อป.1/4</v>
      </c>
      <c r="E1858" s="2" t="str">
        <f>IFERROR(__xludf.DUMMYFUNCTION("""COMPUTED_VALUE"""),"หญิง")</f>
        <v>หญิง</v>
      </c>
      <c r="F1858" s="5" t="str">
        <f>IFERROR(__xludf.DUMMYFUNCTION("""COMPUTED_VALUE"""),"https://azizstan.net/student_image/23741.jpg")</f>
        <v>https://azizstan.net/student_image/23741.jpg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>
      <c r="A1859" s="3" t="str">
        <f>IFERROR(__xludf.DUMMYFUNCTION("""COMPUTED_VALUE"""),"23763")</f>
        <v>23763</v>
      </c>
      <c r="B1859" s="3" t="str">
        <f>IFERROR(__xludf.DUMMYFUNCTION("""COMPUTED_VALUE"""),"น.ส.ตัสนีม แมะเราะ")</f>
        <v>น.ส.ตัสนีม แมะเราะ</v>
      </c>
      <c r="C1859" s="3" t="str">
        <f>IFERROR(__xludf.DUMMYFUNCTION("""COMPUTED_VALUE"""),"ม.5/4")</f>
        <v>ม.5/4</v>
      </c>
      <c r="D1859" s="3" t="str">
        <f>IFERROR(__xludf.DUMMYFUNCTION("""COMPUTED_VALUE"""),"อป.1/4")</f>
        <v>อป.1/4</v>
      </c>
      <c r="E1859" s="2" t="str">
        <f>IFERROR(__xludf.DUMMYFUNCTION("""COMPUTED_VALUE"""),"หญิง")</f>
        <v>หญิง</v>
      </c>
      <c r="F1859" s="5" t="str">
        <f>IFERROR(__xludf.DUMMYFUNCTION("""COMPUTED_VALUE"""),"https://azizstan.net/student_image/23763.jpg")</f>
        <v>https://azizstan.net/student_image/23763.jpg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>
      <c r="A1860" s="3" t="str">
        <f>IFERROR(__xludf.DUMMYFUNCTION("""COMPUTED_VALUE"""),"23781")</f>
        <v>23781</v>
      </c>
      <c r="B1860" s="3" t="str">
        <f>IFERROR(__xludf.DUMMYFUNCTION("""COMPUTED_VALUE"""),"น.ส.สุนิตา เจะโซ๊ะ")</f>
        <v>น.ส.สุนิตา เจะโซ๊ะ</v>
      </c>
      <c r="C1860" s="3" t="str">
        <f>IFERROR(__xludf.DUMMYFUNCTION("""COMPUTED_VALUE"""),"ม.5/4")</f>
        <v>ม.5/4</v>
      </c>
      <c r="D1860" s="3" t="str">
        <f>IFERROR(__xludf.DUMMYFUNCTION("""COMPUTED_VALUE"""),"อก.3/18")</f>
        <v>อก.3/18</v>
      </c>
      <c r="E1860" s="2" t="str">
        <f>IFERROR(__xludf.DUMMYFUNCTION("""COMPUTED_VALUE"""),"หญิง")</f>
        <v>หญิง</v>
      </c>
      <c r="F1860" s="5" t="str">
        <f>IFERROR(__xludf.DUMMYFUNCTION("""COMPUTED_VALUE"""),"https://azizstan.net/student_image/23781.jpg")</f>
        <v>https://azizstan.net/student_image/23781.jpg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>
      <c r="A1861" s="3" t="str">
        <f>IFERROR(__xludf.DUMMYFUNCTION("""COMPUTED_VALUE"""),"23793")</f>
        <v>23793</v>
      </c>
      <c r="B1861" s="3" t="str">
        <f>IFERROR(__xludf.DUMMYFUNCTION("""COMPUTED_VALUE"""),"น.ส.นัสรีน หีมงอย")</f>
        <v>น.ส.นัสรีน หีมงอย</v>
      </c>
      <c r="C1861" s="3" t="str">
        <f>IFERROR(__xludf.DUMMYFUNCTION("""COMPUTED_VALUE"""),"ม.5/4")</f>
        <v>ม.5/4</v>
      </c>
      <c r="D1861" s="3" t="str">
        <f>IFERROR(__xludf.DUMMYFUNCTION("""COMPUTED_VALUE"""),"อป.1/4")</f>
        <v>อป.1/4</v>
      </c>
      <c r="E1861" s="2" t="str">
        <f>IFERROR(__xludf.DUMMYFUNCTION("""COMPUTED_VALUE"""),"หญิง")</f>
        <v>หญิง</v>
      </c>
      <c r="F1861" s="5" t="str">
        <f>IFERROR(__xludf.DUMMYFUNCTION("""COMPUTED_VALUE"""),"https://azizstan.net/student_image/23793.jpg")</f>
        <v>https://azizstan.net/student_image/23793.jpg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>
      <c r="A1862" s="3" t="str">
        <f>IFERROR(__xludf.DUMMYFUNCTION("""COMPUTED_VALUE"""),"23818")</f>
        <v>23818</v>
      </c>
      <c r="B1862" s="3" t="str">
        <f>IFERROR(__xludf.DUMMYFUNCTION("""COMPUTED_VALUE"""),"น.ส.นัชวา อภิบาลแบ")</f>
        <v>น.ส.นัชวา อภิบาลแบ</v>
      </c>
      <c r="C1862" s="3" t="str">
        <f>IFERROR(__xludf.DUMMYFUNCTION("""COMPUTED_VALUE"""),"ม.5/4")</f>
        <v>ม.5/4</v>
      </c>
      <c r="D1862" s="3" t="str">
        <f>IFERROR(__xludf.DUMMYFUNCTION("""COMPUTED_VALUE"""),"อก.3/18")</f>
        <v>อก.3/18</v>
      </c>
      <c r="E1862" s="2" t="str">
        <f>IFERROR(__xludf.DUMMYFUNCTION("""COMPUTED_VALUE"""),"หญิง")</f>
        <v>หญิง</v>
      </c>
      <c r="F1862" s="5" t="str">
        <f>IFERROR(__xludf.DUMMYFUNCTION("""COMPUTED_VALUE"""),"https://azizstan.net/student_image/23818.jpg")</f>
        <v>https://azizstan.net/student_image/23818.jpg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>
      <c r="A1863" s="3" t="str">
        <f>IFERROR(__xludf.DUMMYFUNCTION("""COMPUTED_VALUE"""),"23843")</f>
        <v>23843</v>
      </c>
      <c r="B1863" s="3" t="str">
        <f>IFERROR(__xludf.DUMMYFUNCTION("""COMPUTED_VALUE"""),"น.ส.ฟิรดาว สุหลง")</f>
        <v>น.ส.ฟิรดาว สุหลง</v>
      </c>
      <c r="C1863" s="3" t="str">
        <f>IFERROR(__xludf.DUMMYFUNCTION("""COMPUTED_VALUE"""),"ม.5/4")</f>
        <v>ม.5/4</v>
      </c>
      <c r="D1863" s="3" t="str">
        <f>IFERROR(__xludf.DUMMYFUNCTION("""COMPUTED_VALUE"""),"อป.1/4")</f>
        <v>อป.1/4</v>
      </c>
      <c r="E1863" s="2" t="str">
        <f>IFERROR(__xludf.DUMMYFUNCTION("""COMPUTED_VALUE"""),"หญิง")</f>
        <v>หญิง</v>
      </c>
      <c r="F1863" s="5" t="str">
        <f>IFERROR(__xludf.DUMMYFUNCTION("""COMPUTED_VALUE"""),"https://azizstan.net/student_image/23843.jpg")</f>
        <v>https://azizstan.net/student_image/23843.jpg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>
      <c r="A1864" s="3" t="str">
        <f>IFERROR(__xludf.DUMMYFUNCTION("""COMPUTED_VALUE"""),"23947")</f>
        <v>23947</v>
      </c>
      <c r="B1864" s="3" t="str">
        <f>IFERROR(__xludf.DUMMYFUNCTION("""COMPUTED_VALUE"""),"น.ส.ซัลวาตี สาลีมี")</f>
        <v>น.ส.ซัลวาตี สาลีมี</v>
      </c>
      <c r="C1864" s="3" t="str">
        <f>IFERROR(__xludf.DUMMYFUNCTION("""COMPUTED_VALUE"""),"ม.5/4")</f>
        <v>ม.5/4</v>
      </c>
      <c r="D1864" s="3" t="str">
        <f>IFERROR(__xludf.DUMMYFUNCTION("""COMPUTED_VALUE"""),"อก.3/18")</f>
        <v>อก.3/18</v>
      </c>
      <c r="E1864" s="2" t="str">
        <f>IFERROR(__xludf.DUMMYFUNCTION("""COMPUTED_VALUE"""),"หญิง")</f>
        <v>หญิง</v>
      </c>
      <c r="F1864" s="5" t="str">
        <f>IFERROR(__xludf.DUMMYFUNCTION("""COMPUTED_VALUE"""),"https://azizstan.net/student_image/23947.jpg")</f>
        <v>https://azizstan.net/student_image/23947.jpg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>
      <c r="A1865" s="3" t="str">
        <f>IFERROR(__xludf.DUMMYFUNCTION("""COMPUTED_VALUE"""),"23956")</f>
        <v>23956</v>
      </c>
      <c r="B1865" s="3" t="str">
        <f>IFERROR(__xludf.DUMMYFUNCTION("""COMPUTED_VALUE"""),"น.ส.นัสริน ยูโซ๊ะ")</f>
        <v>น.ส.นัสริน ยูโซ๊ะ</v>
      </c>
      <c r="C1865" s="3" t="str">
        <f>IFERROR(__xludf.DUMMYFUNCTION("""COMPUTED_VALUE"""),"ม.5/4")</f>
        <v>ม.5/4</v>
      </c>
      <c r="D1865" s="3" t="str">
        <f>IFERROR(__xludf.DUMMYFUNCTION("""COMPUTED_VALUE"""),"อก.3/18")</f>
        <v>อก.3/18</v>
      </c>
      <c r="E1865" s="2" t="str">
        <f>IFERROR(__xludf.DUMMYFUNCTION("""COMPUTED_VALUE"""),"หญิง")</f>
        <v>หญิง</v>
      </c>
      <c r="F1865" s="5" t="str">
        <f>IFERROR(__xludf.DUMMYFUNCTION("""COMPUTED_VALUE"""),"https://azizstan.net/student_image/23956.jpg")</f>
        <v>https://azizstan.net/student_image/23956.jpg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>
      <c r="A1866" s="3" t="str">
        <f>IFERROR(__xludf.DUMMYFUNCTION("""COMPUTED_VALUE"""),"23983")</f>
        <v>23983</v>
      </c>
      <c r="B1866" s="3" t="str">
        <f>IFERROR(__xludf.DUMMYFUNCTION("""COMPUTED_VALUE"""),"น.ส.ฟารีดา สุหลง")</f>
        <v>น.ส.ฟารีดา สุหลง</v>
      </c>
      <c r="C1866" s="3" t="str">
        <f>IFERROR(__xludf.DUMMYFUNCTION("""COMPUTED_VALUE"""),"ม.5/4")</f>
        <v>ม.5/4</v>
      </c>
      <c r="D1866" s="3" t="str">
        <f>IFERROR(__xludf.DUMMYFUNCTION("""COMPUTED_VALUE"""),"อก.3/18")</f>
        <v>อก.3/18</v>
      </c>
      <c r="E1866" s="2" t="str">
        <f>IFERROR(__xludf.DUMMYFUNCTION("""COMPUTED_VALUE"""),"หญิง")</f>
        <v>หญิง</v>
      </c>
      <c r="F1866" s="5" t="str">
        <f>IFERROR(__xludf.DUMMYFUNCTION("""COMPUTED_VALUE"""),"https://azizstan.net/student_image/23983.jpg")</f>
        <v>https://azizstan.net/student_image/23983.jpg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>
      <c r="A1867" s="3" t="str">
        <f>IFERROR(__xludf.DUMMYFUNCTION("""COMPUTED_VALUE"""),"24502")</f>
        <v>24502</v>
      </c>
      <c r="B1867" s="3" t="str">
        <f>IFERROR(__xludf.DUMMYFUNCTION("""COMPUTED_VALUE"""),"น.ส.นูรอัยนี สูหลง")</f>
        <v>น.ส.นูรอัยนี สูหลง</v>
      </c>
      <c r="C1867" s="3" t="str">
        <f>IFERROR(__xludf.DUMMYFUNCTION("""COMPUTED_VALUE"""),"ม.5/4")</f>
        <v>ม.5/4</v>
      </c>
      <c r="D1867" s="3" t="str">
        <f>IFERROR(__xludf.DUMMYFUNCTION("""COMPUTED_VALUE"""),"อก.3/18")</f>
        <v>อก.3/18</v>
      </c>
      <c r="E1867" s="2" t="str">
        <f>IFERROR(__xludf.DUMMYFUNCTION("""COMPUTED_VALUE"""),"หญิง")</f>
        <v>หญิง</v>
      </c>
      <c r="F1867" s="5" t="str">
        <f>IFERROR(__xludf.DUMMYFUNCTION("""COMPUTED_VALUE"""),"https://azizstan.net/student_image/24502.jpg")</f>
        <v>https://azizstan.net/student_image/24502.jpg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>
      <c r="A1868" s="3" t="str">
        <f>IFERROR(__xludf.DUMMYFUNCTION("""COMPUTED_VALUE"""),"25072")</f>
        <v>25072</v>
      </c>
      <c r="B1868" s="3" t="str">
        <f>IFERROR(__xludf.DUMMYFUNCTION("""COMPUTED_VALUE"""),"น.ส.ไดยาน ยูโซะ")</f>
        <v>น.ส.ไดยาน ยูโซะ</v>
      </c>
      <c r="C1868" s="3" t="str">
        <f>IFERROR(__xludf.DUMMYFUNCTION("""COMPUTED_VALUE"""),"ม.5/4")</f>
        <v>ม.5/4</v>
      </c>
      <c r="D1868" s="3" t="str">
        <f>IFERROR(__xludf.DUMMYFUNCTION("""COMPUTED_VALUE"""),"อป.1/4")</f>
        <v>อป.1/4</v>
      </c>
      <c r="E1868" s="2" t="str">
        <f>IFERROR(__xludf.DUMMYFUNCTION("""COMPUTED_VALUE"""),"หญิง")</f>
        <v>หญิง</v>
      </c>
      <c r="F1868" s="5" t="str">
        <f>IFERROR(__xludf.DUMMYFUNCTION("""COMPUTED_VALUE"""),"https://azizstan.net/student_image/25072.jpg")</f>
        <v>https://azizstan.net/student_image/25072.jpg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>
      <c r="A1869" s="3" t="str">
        <f>IFERROR(__xludf.DUMMYFUNCTION("""COMPUTED_VALUE"""),"25300")</f>
        <v>25300</v>
      </c>
      <c r="B1869" s="3" t="str">
        <f>IFERROR(__xludf.DUMMYFUNCTION("""COMPUTED_VALUE"""),"น.ส.นาดีญา อับดุลเลาะ")</f>
        <v>น.ส.นาดีญา อับดุลเลาะ</v>
      </c>
      <c r="C1869" s="3" t="str">
        <f>IFERROR(__xludf.DUMMYFUNCTION("""COMPUTED_VALUE"""),"ม.5/4")</f>
        <v>ม.5/4</v>
      </c>
      <c r="D1869" s="3" t="str">
        <f>IFERROR(__xludf.DUMMYFUNCTION("""COMPUTED_VALUE"""),"อป.1/4")</f>
        <v>อป.1/4</v>
      </c>
      <c r="E1869" s="2" t="str">
        <f>IFERROR(__xludf.DUMMYFUNCTION("""COMPUTED_VALUE"""),"หญิง")</f>
        <v>หญิง</v>
      </c>
      <c r="F1869" s="5" t="str">
        <f>IFERROR(__xludf.DUMMYFUNCTION("""COMPUTED_VALUE"""),"https://azizstan.net/student_image/25300.jpg")</f>
        <v>https://azizstan.net/student_image/25300.jpg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>
      <c r="A1870" s="3" t="str">
        <f>IFERROR(__xludf.DUMMYFUNCTION("""COMPUTED_VALUE"""),"25549")</f>
        <v>25549</v>
      </c>
      <c r="B1870" s="3" t="str">
        <f>IFERROR(__xludf.DUMMYFUNCTION("""COMPUTED_VALUE"""),"น.ส.นุรไอนี หะยีสะแม")</f>
        <v>น.ส.นุรไอนี หะยีสะแม</v>
      </c>
      <c r="C1870" s="3" t="str">
        <f>IFERROR(__xludf.DUMMYFUNCTION("""COMPUTED_VALUE"""),"ม.5/4")</f>
        <v>ม.5/4</v>
      </c>
      <c r="D1870" s="3" t="str">
        <f>IFERROR(__xludf.DUMMYFUNCTION("""COMPUTED_VALUE"""),"อป.2/2")</f>
        <v>อป.2/2</v>
      </c>
      <c r="E1870" s="2" t="str">
        <f>IFERROR(__xludf.DUMMYFUNCTION("""COMPUTED_VALUE"""),"หญิง")</f>
        <v>หญิง</v>
      </c>
      <c r="F1870" s="5" t="str">
        <f>IFERROR(__xludf.DUMMYFUNCTION("""COMPUTED_VALUE"""),"https://azizstan.net/student_image/25549.jpg")</f>
        <v>https://azizstan.net/student_image/25549.jpg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>
      <c r="A1871" s="3" t="str">
        <f>IFERROR(__xludf.DUMMYFUNCTION("""COMPUTED_VALUE"""),"25728")</f>
        <v>25728</v>
      </c>
      <c r="B1871" s="3" t="str">
        <f>IFERROR(__xludf.DUMMYFUNCTION("""COMPUTED_VALUE"""),"น.ส.โสฟียา แอสาเมาะ")</f>
        <v>น.ส.โสฟียา แอสาเมาะ</v>
      </c>
      <c r="C1871" s="3" t="str">
        <f>IFERROR(__xludf.DUMMYFUNCTION("""COMPUTED_VALUE"""),"ม.5/4")</f>
        <v>ม.5/4</v>
      </c>
      <c r="D1871" s="3" t="str">
        <f>IFERROR(__xludf.DUMMYFUNCTION("""COMPUTED_VALUE"""),"อก.2/6")</f>
        <v>อก.2/6</v>
      </c>
      <c r="E1871" s="2" t="str">
        <f>IFERROR(__xludf.DUMMYFUNCTION("""COMPUTED_VALUE"""),"หญิง")</f>
        <v>หญิง</v>
      </c>
      <c r="F1871" s="5" t="str">
        <f>IFERROR(__xludf.DUMMYFUNCTION("""COMPUTED_VALUE"""),"https://azizstan.net/student_image/25728.jpg")</f>
        <v>https://azizstan.net/student_image/25728.jpg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>
      <c r="A1872" s="3" t="str">
        <f>IFERROR(__xludf.DUMMYFUNCTION("""COMPUTED_VALUE"""),"25794")</f>
        <v>25794</v>
      </c>
      <c r="B1872" s="3" t="str">
        <f>IFERROR(__xludf.DUMMYFUNCTION("""COMPUTED_VALUE"""),"น.ส.ซูรัยดา เปาะสา")</f>
        <v>น.ส.ซูรัยดา เปาะสา</v>
      </c>
      <c r="C1872" s="3" t="str">
        <f>IFERROR(__xludf.DUMMYFUNCTION("""COMPUTED_VALUE"""),"ม.5/4")</f>
        <v>ม.5/4</v>
      </c>
      <c r="D1872" s="3" t="str">
        <f>IFERROR(__xludf.DUMMYFUNCTION("""COMPUTED_VALUE"""),"อก.2/6")</f>
        <v>อก.2/6</v>
      </c>
      <c r="E1872" s="2" t="str">
        <f>IFERROR(__xludf.DUMMYFUNCTION("""COMPUTED_VALUE"""),"หญิง")</f>
        <v>หญิง</v>
      </c>
      <c r="F1872" s="5" t="str">
        <f>IFERROR(__xludf.DUMMYFUNCTION("""COMPUTED_VALUE"""),"https://azizstan.net/student_image/25794.jpg")</f>
        <v>https://azizstan.net/student_image/25794.jpg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>
      <c r="A1873" s="3" t="str">
        <f>IFERROR(__xludf.DUMMYFUNCTION("""COMPUTED_VALUE"""),"25796")</f>
        <v>25796</v>
      </c>
      <c r="B1873" s="3" t="str">
        <f>IFERROR(__xludf.DUMMYFUNCTION("""COMPUTED_VALUE"""),"น.ส.ซอฟะห์ มะแซ")</f>
        <v>น.ส.ซอฟะห์ มะแซ</v>
      </c>
      <c r="C1873" s="3" t="str">
        <f>IFERROR(__xludf.DUMMYFUNCTION("""COMPUTED_VALUE"""),"ม.5/4")</f>
        <v>ม.5/4</v>
      </c>
      <c r="D1873" s="3" t="str">
        <f>IFERROR(__xludf.DUMMYFUNCTION("""COMPUTED_VALUE"""),"อก.2/6")</f>
        <v>อก.2/6</v>
      </c>
      <c r="E1873" s="2" t="str">
        <f>IFERROR(__xludf.DUMMYFUNCTION("""COMPUTED_VALUE"""),"หญิง")</f>
        <v>หญิง</v>
      </c>
      <c r="F1873" s="5" t="str">
        <f>IFERROR(__xludf.DUMMYFUNCTION("""COMPUTED_VALUE"""),"https://azizstan.net/student_image/25796.jpg")</f>
        <v>https://azizstan.net/student_image/25796.jpg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>
      <c r="A1874" s="3" t="str">
        <f>IFERROR(__xludf.DUMMYFUNCTION("""COMPUTED_VALUE"""),"25815")</f>
        <v>25815</v>
      </c>
      <c r="B1874" s="3" t="str">
        <f>IFERROR(__xludf.DUMMYFUNCTION("""COMPUTED_VALUE"""),"น.ส.นูรีต้า อาบูเล็ง")</f>
        <v>น.ส.นูรีต้า อาบูเล็ง</v>
      </c>
      <c r="C1874" s="3" t="str">
        <f>IFERROR(__xludf.DUMMYFUNCTION("""COMPUTED_VALUE"""),"ม.5/4")</f>
        <v>ม.5/4</v>
      </c>
      <c r="D1874" s="3" t="str">
        <f>IFERROR(__xludf.DUMMYFUNCTION("""COMPUTED_VALUE"""),"อก.3/18")</f>
        <v>อก.3/18</v>
      </c>
      <c r="E1874" s="2" t="str">
        <f>IFERROR(__xludf.DUMMYFUNCTION("""COMPUTED_VALUE"""),"หญิง")</f>
        <v>หญิง</v>
      </c>
      <c r="F1874" s="5" t="str">
        <f>IFERROR(__xludf.DUMMYFUNCTION("""COMPUTED_VALUE"""),"https://azizstan.net/student_image/25815.jpg")</f>
        <v>https://azizstan.net/student_image/25815.jpg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>
      <c r="A1875" s="3" t="str">
        <f>IFERROR(__xludf.DUMMYFUNCTION("""COMPUTED_VALUE"""),"25857")</f>
        <v>25857</v>
      </c>
      <c r="B1875" s="3" t="str">
        <f>IFERROR(__xludf.DUMMYFUNCTION("""COMPUTED_VALUE"""),"น.ส.นุรอาดีนี ขาเดร์")</f>
        <v>น.ส.นุรอาดีนี ขาเดร์</v>
      </c>
      <c r="C1875" s="3" t="str">
        <f>IFERROR(__xludf.DUMMYFUNCTION("""COMPUTED_VALUE"""),"ม.5/4")</f>
        <v>ม.5/4</v>
      </c>
      <c r="D1875" s="3" t="str">
        <f>IFERROR(__xludf.DUMMYFUNCTION("""COMPUTED_VALUE"""),"อก.2/6")</f>
        <v>อก.2/6</v>
      </c>
      <c r="E1875" s="2" t="str">
        <f>IFERROR(__xludf.DUMMYFUNCTION("""COMPUTED_VALUE"""),"หญิง")</f>
        <v>หญิง</v>
      </c>
      <c r="F1875" s="5" t="str">
        <f>IFERROR(__xludf.DUMMYFUNCTION("""COMPUTED_VALUE"""),"https://azizstan.net/student_image/25857.jpg")</f>
        <v>https://azizstan.net/student_image/25857.jpg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>
      <c r="A1876" s="3" t="str">
        <f>IFERROR(__xludf.DUMMYFUNCTION("""COMPUTED_VALUE"""),"25881")</f>
        <v>25881</v>
      </c>
      <c r="B1876" s="3" t="str">
        <f>IFERROR(__xludf.DUMMYFUNCTION("""COMPUTED_VALUE"""),"น.ส.นินาวียา โตะโซะ")</f>
        <v>น.ส.นินาวียา โตะโซะ</v>
      </c>
      <c r="C1876" s="3" t="str">
        <f>IFERROR(__xludf.DUMMYFUNCTION("""COMPUTED_VALUE"""),"ม.5/4")</f>
        <v>ม.5/4</v>
      </c>
      <c r="D1876" s="3" t="str">
        <f>IFERROR(__xludf.DUMMYFUNCTION("""COMPUTED_VALUE"""),"อก.2/6")</f>
        <v>อก.2/6</v>
      </c>
      <c r="E1876" s="2" t="str">
        <f>IFERROR(__xludf.DUMMYFUNCTION("""COMPUTED_VALUE"""),"หญิง")</f>
        <v>หญิง</v>
      </c>
      <c r="F1876" s="5" t="str">
        <f>IFERROR(__xludf.DUMMYFUNCTION("""COMPUTED_VALUE"""),"https://azizstan.net/student_image/25881.jpg")</f>
        <v>https://azizstan.net/student_image/25881.jpg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>
      <c r="A1877" s="3" t="str">
        <f>IFERROR(__xludf.DUMMYFUNCTION("""COMPUTED_VALUE"""),"26025")</f>
        <v>26025</v>
      </c>
      <c r="B1877" s="3" t="str">
        <f>IFERROR(__xludf.DUMMYFUNCTION("""COMPUTED_VALUE"""),"น.ส.นูรมา ดือเระ")</f>
        <v>น.ส.นูรมา ดือเระ</v>
      </c>
      <c r="C1877" s="3" t="str">
        <f>IFERROR(__xludf.DUMMYFUNCTION("""COMPUTED_VALUE"""),"ม.5/4")</f>
        <v>ม.5/4</v>
      </c>
      <c r="D1877" s="3" t="str">
        <f>IFERROR(__xludf.DUMMYFUNCTION("""COMPUTED_VALUE"""),"อป.2/2")</f>
        <v>อป.2/2</v>
      </c>
      <c r="E1877" s="2" t="str">
        <f>IFERROR(__xludf.DUMMYFUNCTION("""COMPUTED_VALUE"""),"หญิง")</f>
        <v>หญิง</v>
      </c>
      <c r="F1877" s="5" t="str">
        <f>IFERROR(__xludf.DUMMYFUNCTION("""COMPUTED_VALUE"""),"https://azizstan.net/student_image/26025.jpg")</f>
        <v>https://azizstan.net/student_image/26025.jpg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>
      <c r="A1878" s="3" t="str">
        <f>IFERROR(__xludf.DUMMYFUNCTION("""COMPUTED_VALUE"""),"26549")</f>
        <v>26549</v>
      </c>
      <c r="B1878" s="3" t="str">
        <f>IFERROR(__xludf.DUMMYFUNCTION("""COMPUTED_VALUE"""),"น.ส.อัสรอ สิทธิมนต์")</f>
        <v>น.ส.อัสรอ สิทธิมนต์</v>
      </c>
      <c r="C1878" s="3" t="str">
        <f>IFERROR(__xludf.DUMMYFUNCTION("""COMPUTED_VALUE"""),"ม.5/4")</f>
        <v>ม.5/4</v>
      </c>
      <c r="D1878" s="3" t="str">
        <f>IFERROR(__xludf.DUMMYFUNCTION("""COMPUTED_VALUE"""),"อก.3/18")</f>
        <v>อก.3/18</v>
      </c>
      <c r="E1878" s="2" t="str">
        <f>IFERROR(__xludf.DUMMYFUNCTION("""COMPUTED_VALUE"""),"หญิง")</f>
        <v>หญิง</v>
      </c>
      <c r="F1878" s="5" t="str">
        <f>IFERROR(__xludf.DUMMYFUNCTION("""COMPUTED_VALUE"""),"https://azizstan.net/student_image/26549.jpg")</f>
        <v>https://azizstan.net/student_image/26549.jpg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>
      <c r="A1879" s="3" t="str">
        <f>IFERROR(__xludf.DUMMYFUNCTION("""COMPUTED_VALUE"""),"26625")</f>
        <v>26625</v>
      </c>
      <c r="B1879" s="3" t="str">
        <f>IFERROR(__xludf.DUMMYFUNCTION("""COMPUTED_VALUE"""),"น.ส.ฮันนาน หมัดสู")</f>
        <v>น.ส.ฮันนาน หมัดสู</v>
      </c>
      <c r="C1879" s="3" t="str">
        <f>IFERROR(__xludf.DUMMYFUNCTION("""COMPUTED_VALUE"""),"ม.5/4")</f>
        <v>ม.5/4</v>
      </c>
      <c r="D1879" s="3" t="str">
        <f>IFERROR(__xludf.DUMMYFUNCTION("""COMPUTED_VALUE"""),"อป.2/2")</f>
        <v>อป.2/2</v>
      </c>
      <c r="E1879" s="2" t="str">
        <f>IFERROR(__xludf.DUMMYFUNCTION("""COMPUTED_VALUE"""),"หญิง")</f>
        <v>หญิง</v>
      </c>
      <c r="F1879" s="5" t="str">
        <f>IFERROR(__xludf.DUMMYFUNCTION("""COMPUTED_VALUE"""),"https://azizstan.net/student_image/26625.jpg")</f>
        <v>https://azizstan.net/student_image/26625.jpg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>
      <c r="A1880" s="3" t="str">
        <f>IFERROR(__xludf.DUMMYFUNCTION("""COMPUTED_VALUE"""),"26676")</f>
        <v>26676</v>
      </c>
      <c r="B1880" s="3" t="str">
        <f>IFERROR(__xludf.DUMMYFUNCTION("""COMPUTED_VALUE"""),"น.ส.สุรีนุช ขุนน้อย")</f>
        <v>น.ส.สุรีนุช ขุนน้อย</v>
      </c>
      <c r="C1880" s="3" t="str">
        <f>IFERROR(__xludf.DUMMYFUNCTION("""COMPUTED_VALUE"""),"ม.5/4")</f>
        <v>ม.5/4</v>
      </c>
      <c r="D1880" s="3" t="str">
        <f>IFERROR(__xludf.DUMMYFUNCTION("""COMPUTED_VALUE"""),"อป.2/2")</f>
        <v>อป.2/2</v>
      </c>
      <c r="E1880" s="2" t="str">
        <f>IFERROR(__xludf.DUMMYFUNCTION("""COMPUTED_VALUE"""),"หญิง")</f>
        <v>หญิง</v>
      </c>
      <c r="F1880" s="5" t="str">
        <f>IFERROR(__xludf.DUMMYFUNCTION("""COMPUTED_VALUE"""),"https://azizstan.net/student_image/26676.jpg")</f>
        <v>https://azizstan.net/student_image/26676.jpg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>
      <c r="A1881" s="3" t="str">
        <f>IFERROR(__xludf.DUMMYFUNCTION("""COMPUTED_VALUE"""),"26740")</f>
        <v>26740</v>
      </c>
      <c r="B1881" s="3" t="str">
        <f>IFERROR(__xludf.DUMMYFUNCTION("""COMPUTED_VALUE"""),"น.ส.ฮุสนา กาเดร์")</f>
        <v>น.ส.ฮุสนา กาเดร์</v>
      </c>
      <c r="C1881" s="3" t="str">
        <f>IFERROR(__xludf.DUMMYFUNCTION("""COMPUTED_VALUE"""),"ม.5/4")</f>
        <v>ม.5/4</v>
      </c>
      <c r="D1881" s="3" t="str">
        <f>IFERROR(__xludf.DUMMYFUNCTION("""COMPUTED_VALUE"""),"อป.2/2")</f>
        <v>อป.2/2</v>
      </c>
      <c r="E1881" s="2" t="str">
        <f>IFERROR(__xludf.DUMMYFUNCTION("""COMPUTED_VALUE"""),"หญิง")</f>
        <v>หญิง</v>
      </c>
      <c r="F1881" s="5" t="str">
        <f>IFERROR(__xludf.DUMMYFUNCTION("""COMPUTED_VALUE"""),"https://azizstan.net/student_image/26740.jpg")</f>
        <v>https://azizstan.net/student_image/26740.jpg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>
      <c r="A1882" s="3" t="str">
        <f>IFERROR(__xludf.DUMMYFUNCTION("""COMPUTED_VALUE"""),"23339")</f>
        <v>23339</v>
      </c>
      <c r="B1882" s="3" t="str">
        <f>IFERROR(__xludf.DUMMYFUNCTION("""COMPUTED_VALUE"""),"น.ส.อามานี วานิ")</f>
        <v>น.ส.อามานี วานิ</v>
      </c>
      <c r="C1882" s="3" t="str">
        <f>IFERROR(__xludf.DUMMYFUNCTION("""COMPUTED_VALUE"""),"ม.5/5")</f>
        <v>ม.5/5</v>
      </c>
      <c r="D1882" s="3" t="str">
        <f>IFERROR(__xludf.DUMMYFUNCTION("""COMPUTED_VALUE"""),"อป.2/5")</f>
        <v>อป.2/5</v>
      </c>
      <c r="E1882" s="2" t="str">
        <f>IFERROR(__xludf.DUMMYFUNCTION("""COMPUTED_VALUE"""),"หญิง")</f>
        <v>หญิง</v>
      </c>
      <c r="F1882" s="5" t="str">
        <f>IFERROR(__xludf.DUMMYFUNCTION("""COMPUTED_VALUE"""),"https://azizstan.net/student_image/23339.jpg")</f>
        <v>https://azizstan.net/student_image/23339.jpg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>
      <c r="A1883" s="3" t="str">
        <f>IFERROR(__xludf.DUMMYFUNCTION("""COMPUTED_VALUE"""),"23341")</f>
        <v>23341</v>
      </c>
      <c r="B1883" s="3" t="str">
        <f>IFERROR(__xludf.DUMMYFUNCTION("""COMPUTED_VALUE"""),"นายอัฟฮัม เดเระมะ")</f>
        <v>นายอัฟฮัม เดเระมะ</v>
      </c>
      <c r="C1883" s="3" t="str">
        <f>IFERROR(__xludf.DUMMYFUNCTION("""COMPUTED_VALUE"""),"ม.5/5")</f>
        <v>ม.5/5</v>
      </c>
      <c r="D1883" s="3" t="str">
        <f>IFERROR(__xludf.DUMMYFUNCTION("""COMPUTED_VALUE"""),"อป.2/5")</f>
        <v>อป.2/5</v>
      </c>
      <c r="E1883" s="2" t="str">
        <f>IFERROR(__xludf.DUMMYFUNCTION("""COMPUTED_VALUE"""),"ชาย")</f>
        <v>ชาย</v>
      </c>
      <c r="F1883" s="5" t="str">
        <f>IFERROR(__xludf.DUMMYFUNCTION("""COMPUTED_VALUE"""),"https://azizstan.net/student_image/23341.jpg")</f>
        <v>https://azizstan.net/student_image/23341.jpg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>
      <c r="A1884" s="3" t="str">
        <f>IFERROR(__xludf.DUMMYFUNCTION("""COMPUTED_VALUE"""),"23343")</f>
        <v>23343</v>
      </c>
      <c r="B1884" s="3" t="str">
        <f>IFERROR(__xludf.DUMMYFUNCTION("""COMPUTED_VALUE"""),"น.ส.เจ๊ะซุนนุรเดาส์ หลีดีใจ")</f>
        <v>น.ส.เจ๊ะซุนนุรเดาส์ หลีดีใจ</v>
      </c>
      <c r="C1884" s="3" t="str">
        <f>IFERROR(__xludf.DUMMYFUNCTION("""COMPUTED_VALUE"""),"ม.5/5")</f>
        <v>ม.5/5</v>
      </c>
      <c r="D1884" s="3" t="str">
        <f>IFERROR(__xludf.DUMMYFUNCTION("""COMPUTED_VALUE"""),"อป.2/5")</f>
        <v>อป.2/5</v>
      </c>
      <c r="E1884" s="2" t="str">
        <f>IFERROR(__xludf.DUMMYFUNCTION("""COMPUTED_VALUE"""),"หญิง")</f>
        <v>หญิง</v>
      </c>
      <c r="F1884" s="5" t="str">
        <f>IFERROR(__xludf.DUMMYFUNCTION("""COMPUTED_VALUE"""),"https://azizstan.net/student_image/23343.jpg")</f>
        <v>https://azizstan.net/student_image/23343.jpg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>
      <c r="A1885" s="3" t="str">
        <f>IFERROR(__xludf.DUMMYFUNCTION("""COMPUTED_VALUE"""),"23346")</f>
        <v>23346</v>
      </c>
      <c r="B1885" s="3" t="str">
        <f>IFERROR(__xludf.DUMMYFUNCTION("""COMPUTED_VALUE"""),"นายฟาดีล ตาเล๊ะ")</f>
        <v>นายฟาดีล ตาเล๊ะ</v>
      </c>
      <c r="C1885" s="3" t="str">
        <f>IFERROR(__xludf.DUMMYFUNCTION("""COMPUTED_VALUE"""),"ม.5/5")</f>
        <v>ม.5/5</v>
      </c>
      <c r="D1885" s="3" t="str">
        <f>IFERROR(__xludf.DUMMYFUNCTION("""COMPUTED_VALUE"""),"อป.2/5")</f>
        <v>อป.2/5</v>
      </c>
      <c r="E1885" s="2" t="str">
        <f>IFERROR(__xludf.DUMMYFUNCTION("""COMPUTED_VALUE"""),"ชาย")</f>
        <v>ชาย</v>
      </c>
      <c r="F1885" s="5" t="str">
        <f>IFERROR(__xludf.DUMMYFUNCTION("""COMPUTED_VALUE"""),"https://azizstan.net/student_image/23346.jpg")</f>
        <v>https://azizstan.net/student_image/23346.jpg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>
      <c r="A1886" s="3" t="str">
        <f>IFERROR(__xludf.DUMMYFUNCTION("""COMPUTED_VALUE"""),"23349")</f>
        <v>23349</v>
      </c>
      <c r="B1886" s="3" t="str">
        <f>IFERROR(__xludf.DUMMYFUNCTION("""COMPUTED_VALUE"""),"นายวิทยา อาหมัด")</f>
        <v>นายวิทยา อาหมัด</v>
      </c>
      <c r="C1886" s="3" t="str">
        <f>IFERROR(__xludf.DUMMYFUNCTION("""COMPUTED_VALUE"""),"ม.5/5")</f>
        <v>ม.5/5</v>
      </c>
      <c r="D1886" s="3" t="str">
        <f>IFERROR(__xludf.DUMMYFUNCTION("""COMPUTED_VALUE"""),"อป.2/5")</f>
        <v>อป.2/5</v>
      </c>
      <c r="E1886" s="2" t="str">
        <f>IFERROR(__xludf.DUMMYFUNCTION("""COMPUTED_VALUE"""),"ชาย")</f>
        <v>ชาย</v>
      </c>
      <c r="F1886" s="5" t="str">
        <f>IFERROR(__xludf.DUMMYFUNCTION("""COMPUTED_VALUE"""),"https://azizstan.net/student_image/23349.jpg")</f>
        <v>https://azizstan.net/student_image/23349.jpg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>
      <c r="A1887" s="3" t="str">
        <f>IFERROR(__xludf.DUMMYFUNCTION("""COMPUTED_VALUE"""),"23371")</f>
        <v>23371</v>
      </c>
      <c r="B1887" s="3" t="str">
        <f>IFERROR(__xludf.DUMMYFUNCTION("""COMPUTED_VALUE"""),"นายอานัส ใจมันดี")</f>
        <v>นายอานัส ใจมันดี</v>
      </c>
      <c r="C1887" s="3" t="str">
        <f>IFERROR(__xludf.DUMMYFUNCTION("""COMPUTED_VALUE"""),"ม.5/5")</f>
        <v>ม.5/5</v>
      </c>
      <c r="D1887" s="3" t="str">
        <f>IFERROR(__xludf.DUMMYFUNCTION("""COMPUTED_VALUE"""),"อป.2/5")</f>
        <v>อป.2/5</v>
      </c>
      <c r="E1887" s="2" t="str">
        <f>IFERROR(__xludf.DUMMYFUNCTION("""COMPUTED_VALUE"""),"ชาย")</f>
        <v>ชาย</v>
      </c>
      <c r="F1887" s="5" t="str">
        <f>IFERROR(__xludf.DUMMYFUNCTION("""COMPUTED_VALUE"""),"https://azizstan.net/student_image/23371.jpg")</f>
        <v>https://azizstan.net/student_image/23371.jpg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>
      <c r="A1888" s="3" t="str">
        <f>IFERROR(__xludf.DUMMYFUNCTION("""COMPUTED_VALUE"""),"23384")</f>
        <v>23384</v>
      </c>
      <c r="B1888" s="3" t="str">
        <f>IFERROR(__xludf.DUMMYFUNCTION("""COMPUTED_VALUE"""),"นายวาฟิร อาหวัง")</f>
        <v>นายวาฟิร อาหวัง</v>
      </c>
      <c r="C1888" s="3" t="str">
        <f>IFERROR(__xludf.DUMMYFUNCTION("""COMPUTED_VALUE"""),"ม.5/5")</f>
        <v>ม.5/5</v>
      </c>
      <c r="D1888" s="3" t="str">
        <f>IFERROR(__xludf.DUMMYFUNCTION("""COMPUTED_VALUE"""),"อป.2/5")</f>
        <v>อป.2/5</v>
      </c>
      <c r="E1888" s="2" t="str">
        <f>IFERROR(__xludf.DUMMYFUNCTION("""COMPUTED_VALUE"""),"ชาย")</f>
        <v>ชาย</v>
      </c>
      <c r="F1888" s="5" t="str">
        <f>IFERROR(__xludf.DUMMYFUNCTION("""COMPUTED_VALUE"""),"https://azizstan.net/student_image/23384.jpg")</f>
        <v>https://azizstan.net/student_image/23384.jpg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>
      <c r="A1889" s="3" t="str">
        <f>IFERROR(__xludf.DUMMYFUNCTION("""COMPUTED_VALUE"""),"23391")</f>
        <v>23391</v>
      </c>
      <c r="B1889" s="3" t="str">
        <f>IFERROR(__xludf.DUMMYFUNCTION("""COMPUTED_VALUE"""),"น.ส.โซเฟีย สมานเมธา")</f>
        <v>น.ส.โซเฟีย สมานเมธา</v>
      </c>
      <c r="C1889" s="3" t="str">
        <f>IFERROR(__xludf.DUMMYFUNCTION("""COMPUTED_VALUE"""),"ม.5/5")</f>
        <v>ม.5/5</v>
      </c>
      <c r="D1889" s="3" t="str">
        <f>IFERROR(__xludf.DUMMYFUNCTION("""COMPUTED_VALUE"""),"อป.2/5")</f>
        <v>อป.2/5</v>
      </c>
      <c r="E1889" s="2" t="str">
        <f>IFERROR(__xludf.DUMMYFUNCTION("""COMPUTED_VALUE"""),"หญิง")</f>
        <v>หญิง</v>
      </c>
      <c r="F1889" s="5" t="str">
        <f>IFERROR(__xludf.DUMMYFUNCTION("""COMPUTED_VALUE"""),"https://azizstan.net/student_image/23391.jpg")</f>
        <v>https://azizstan.net/student_image/23391.jpg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>
      <c r="A1890" s="3" t="str">
        <f>IFERROR(__xludf.DUMMYFUNCTION("""COMPUTED_VALUE"""),"23398")</f>
        <v>23398</v>
      </c>
      <c r="B1890" s="3" t="str">
        <f>IFERROR(__xludf.DUMMYFUNCTION("""COMPUTED_VALUE"""),"นายซาบูดีน สิริเต๊ะ")</f>
        <v>นายซาบูดีน สิริเต๊ะ</v>
      </c>
      <c r="C1890" s="3" t="str">
        <f>IFERROR(__xludf.DUMMYFUNCTION("""COMPUTED_VALUE"""),"ม.5/5")</f>
        <v>ม.5/5</v>
      </c>
      <c r="D1890" s="3" t="str">
        <f>IFERROR(__xludf.DUMMYFUNCTION("""COMPUTED_VALUE"""),"อป.2/5")</f>
        <v>อป.2/5</v>
      </c>
      <c r="E1890" s="2" t="str">
        <f>IFERROR(__xludf.DUMMYFUNCTION("""COMPUTED_VALUE"""),"ชาย")</f>
        <v>ชาย</v>
      </c>
      <c r="F1890" s="5" t="str">
        <f>IFERROR(__xludf.DUMMYFUNCTION("""COMPUTED_VALUE"""),"https://azizstan.net/student_image/23398.jpg")</f>
        <v>https://azizstan.net/student_image/23398.jpg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>
      <c r="A1891" s="3" t="str">
        <f>IFERROR(__xludf.DUMMYFUNCTION("""COMPUTED_VALUE"""),"23420")</f>
        <v>23420</v>
      </c>
      <c r="B1891" s="3" t="str">
        <f>IFERROR(__xludf.DUMMYFUNCTION("""COMPUTED_VALUE"""),"นายอามีร เจ๊ะโซะ")</f>
        <v>นายอามีร เจ๊ะโซะ</v>
      </c>
      <c r="C1891" s="3" t="str">
        <f>IFERROR(__xludf.DUMMYFUNCTION("""COMPUTED_VALUE"""),"ม.5/5")</f>
        <v>ม.5/5</v>
      </c>
      <c r="D1891" s="3" t="str">
        <f>IFERROR(__xludf.DUMMYFUNCTION("""COMPUTED_VALUE"""),"อป.2/5")</f>
        <v>อป.2/5</v>
      </c>
      <c r="E1891" s="2" t="str">
        <f>IFERROR(__xludf.DUMMYFUNCTION("""COMPUTED_VALUE"""),"ชาย")</f>
        <v>ชาย</v>
      </c>
      <c r="F1891" s="5" t="str">
        <f>IFERROR(__xludf.DUMMYFUNCTION("""COMPUTED_VALUE"""),"https://azizstan.net/student_image/23420.jpg")</f>
        <v>https://azizstan.net/student_image/23420.jpg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>
      <c r="A1892" s="3" t="str">
        <f>IFERROR(__xludf.DUMMYFUNCTION("""COMPUTED_VALUE"""),"23428")</f>
        <v>23428</v>
      </c>
      <c r="B1892" s="3" t="str">
        <f>IFERROR(__xludf.DUMMYFUNCTION("""COMPUTED_VALUE"""),"น.ส.นัสรีน โต๊ะเส็น")</f>
        <v>น.ส.นัสรีน โต๊ะเส็น</v>
      </c>
      <c r="C1892" s="3" t="str">
        <f>IFERROR(__xludf.DUMMYFUNCTION("""COMPUTED_VALUE"""),"ม.5/5")</f>
        <v>ม.5/5</v>
      </c>
      <c r="D1892" s="3" t="str">
        <f>IFERROR(__xludf.DUMMYFUNCTION("""COMPUTED_VALUE"""),"อป.2/5")</f>
        <v>อป.2/5</v>
      </c>
      <c r="E1892" s="2" t="str">
        <f>IFERROR(__xludf.DUMMYFUNCTION("""COMPUTED_VALUE"""),"หญิง")</f>
        <v>หญิง</v>
      </c>
      <c r="F1892" s="5" t="str">
        <f>IFERROR(__xludf.DUMMYFUNCTION("""COMPUTED_VALUE"""),"https://azizstan.net/student_image/23428.jpg")</f>
        <v>https://azizstan.net/student_image/23428.jpg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>
      <c r="A1893" s="3" t="str">
        <f>IFERROR(__xludf.DUMMYFUNCTION("""COMPUTED_VALUE"""),"23493")</f>
        <v>23493</v>
      </c>
      <c r="B1893" s="3" t="str">
        <f>IFERROR(__xludf.DUMMYFUNCTION("""COMPUTED_VALUE"""),"น.ส.ปิยณัฐ หัดขะเจ")</f>
        <v>น.ส.ปิยณัฐ หัดขะเจ</v>
      </c>
      <c r="C1893" s="3" t="str">
        <f>IFERROR(__xludf.DUMMYFUNCTION("""COMPUTED_VALUE"""),"ม.5/5")</f>
        <v>ม.5/5</v>
      </c>
      <c r="D1893" s="3" t="str">
        <f>IFERROR(__xludf.DUMMYFUNCTION("""COMPUTED_VALUE"""),"อป.2/5")</f>
        <v>อป.2/5</v>
      </c>
      <c r="E1893" s="2" t="str">
        <f>IFERROR(__xludf.DUMMYFUNCTION("""COMPUTED_VALUE"""),"หญิง")</f>
        <v>หญิง</v>
      </c>
      <c r="F1893" s="5" t="str">
        <f>IFERROR(__xludf.DUMMYFUNCTION("""COMPUTED_VALUE"""),"https://azizstan.net/student_image/23493.jpg")</f>
        <v>https://azizstan.net/student_image/23493.jpg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>
      <c r="A1894" s="3" t="str">
        <f>IFERROR(__xludf.DUMMYFUNCTION("""COMPUTED_VALUE"""),"23497")</f>
        <v>23497</v>
      </c>
      <c r="B1894" s="3" t="str">
        <f>IFERROR(__xludf.DUMMYFUNCTION("""COMPUTED_VALUE"""),"น.ส.วารีซีน หลีเด่ะ")</f>
        <v>น.ส.วารีซีน หลีเด่ะ</v>
      </c>
      <c r="C1894" s="3" t="str">
        <f>IFERROR(__xludf.DUMMYFUNCTION("""COMPUTED_VALUE"""),"ม.5/5")</f>
        <v>ม.5/5</v>
      </c>
      <c r="D1894" s="3" t="str">
        <f>IFERROR(__xludf.DUMMYFUNCTION("""COMPUTED_VALUE"""),"อป.2/5")</f>
        <v>อป.2/5</v>
      </c>
      <c r="E1894" s="2" t="str">
        <f>IFERROR(__xludf.DUMMYFUNCTION("""COMPUTED_VALUE"""),"หญิง")</f>
        <v>หญิง</v>
      </c>
      <c r="F1894" s="5" t="str">
        <f>IFERROR(__xludf.DUMMYFUNCTION("""COMPUTED_VALUE"""),"https://azizstan.net/student_image/23497.jpg")</f>
        <v>https://azizstan.net/student_image/23497.jpg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>
      <c r="A1895" s="3" t="str">
        <f>IFERROR(__xludf.DUMMYFUNCTION("""COMPUTED_VALUE"""),"23528")</f>
        <v>23528</v>
      </c>
      <c r="B1895" s="3" t="str">
        <f>IFERROR(__xludf.DUMMYFUNCTION("""COMPUTED_VALUE"""),"น.ส.ฮุสนา จิ")</f>
        <v>น.ส.ฮุสนา จิ</v>
      </c>
      <c r="C1895" s="3" t="str">
        <f>IFERROR(__xludf.DUMMYFUNCTION("""COMPUTED_VALUE"""),"ม.5/5")</f>
        <v>ม.5/5</v>
      </c>
      <c r="D1895" s="3" t="str">
        <f>IFERROR(__xludf.DUMMYFUNCTION("""COMPUTED_VALUE"""),"อป.2/5")</f>
        <v>อป.2/5</v>
      </c>
      <c r="E1895" s="2" t="str">
        <f>IFERROR(__xludf.DUMMYFUNCTION("""COMPUTED_VALUE"""),"หญิง")</f>
        <v>หญิง</v>
      </c>
      <c r="F1895" s="5" t="str">
        <f>IFERROR(__xludf.DUMMYFUNCTION("""COMPUTED_VALUE"""),"https://azizstan.net/student_image/23528.jpg")</f>
        <v>https://azizstan.net/student_image/23528.jpg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>
      <c r="A1896" s="3" t="str">
        <f>IFERROR(__xludf.DUMMYFUNCTION("""COMPUTED_VALUE"""),"23599")</f>
        <v>23599</v>
      </c>
      <c r="B1896" s="3" t="str">
        <f>IFERROR(__xludf.DUMMYFUNCTION("""COMPUTED_VALUE"""),"นายอาลีฟ มูนะ")</f>
        <v>นายอาลีฟ มูนะ</v>
      </c>
      <c r="C1896" s="3" t="str">
        <f>IFERROR(__xludf.DUMMYFUNCTION("""COMPUTED_VALUE"""),"ม.5/5")</f>
        <v>ม.5/5</v>
      </c>
      <c r="D1896" s="3" t="str">
        <f>IFERROR(__xludf.DUMMYFUNCTION("""COMPUTED_VALUE"""),"อป.2/5")</f>
        <v>อป.2/5</v>
      </c>
      <c r="E1896" s="2" t="str">
        <f>IFERROR(__xludf.DUMMYFUNCTION("""COMPUTED_VALUE"""),"ชาย")</f>
        <v>ชาย</v>
      </c>
      <c r="F1896" s="5" t="str">
        <f>IFERROR(__xludf.DUMMYFUNCTION("""COMPUTED_VALUE"""),"https://azizstan.net/student_image/23599.jpg")</f>
        <v>https://azizstan.net/student_image/23599.jpg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>
      <c r="A1897" s="3" t="str">
        <f>IFERROR(__xludf.DUMMYFUNCTION("""COMPUTED_VALUE"""),"23687")</f>
        <v>23687</v>
      </c>
      <c r="B1897" s="3" t="str">
        <f>IFERROR(__xludf.DUMMYFUNCTION("""COMPUTED_VALUE"""),"นายจักรินทร์ เหมสัน")</f>
        <v>นายจักรินทร์ เหมสัน</v>
      </c>
      <c r="C1897" s="3" t="str">
        <f>IFERROR(__xludf.DUMMYFUNCTION("""COMPUTED_VALUE"""),"ม.5/5")</f>
        <v>ม.5/5</v>
      </c>
      <c r="D1897" s="3" t="str">
        <f>IFERROR(__xludf.DUMMYFUNCTION("""COMPUTED_VALUE"""),"อป.2/5")</f>
        <v>อป.2/5</v>
      </c>
      <c r="E1897" s="2" t="str">
        <f>IFERROR(__xludf.DUMMYFUNCTION("""COMPUTED_VALUE"""),"ชาย")</f>
        <v>ชาย</v>
      </c>
      <c r="F1897" s="5" t="str">
        <f>IFERROR(__xludf.DUMMYFUNCTION("""COMPUTED_VALUE"""),"https://azizstan.net/student_image/23687.jpg")</f>
        <v>https://azizstan.net/student_image/23687.jpg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>
      <c r="A1898" s="3" t="str">
        <f>IFERROR(__xludf.DUMMYFUNCTION("""COMPUTED_VALUE"""),"23694")</f>
        <v>23694</v>
      </c>
      <c r="B1898" s="3" t="str">
        <f>IFERROR(__xludf.DUMMYFUNCTION("""COMPUTED_VALUE"""),"นายอัสซีซัน บินเตล็บ")</f>
        <v>นายอัสซีซัน บินเตล็บ</v>
      </c>
      <c r="C1898" s="3" t="str">
        <f>IFERROR(__xludf.DUMMYFUNCTION("""COMPUTED_VALUE"""),"ม.5/5")</f>
        <v>ม.5/5</v>
      </c>
      <c r="D1898" s="3" t="str">
        <f>IFERROR(__xludf.DUMMYFUNCTION("""COMPUTED_VALUE"""),"อป.2/5")</f>
        <v>อป.2/5</v>
      </c>
      <c r="E1898" s="2" t="str">
        <f>IFERROR(__xludf.DUMMYFUNCTION("""COMPUTED_VALUE"""),"ชาย")</f>
        <v>ชาย</v>
      </c>
      <c r="F1898" s="5" t="str">
        <f>IFERROR(__xludf.DUMMYFUNCTION("""COMPUTED_VALUE"""),"https://azizstan.net/student_image/23694.jpg")</f>
        <v>https://azizstan.net/student_image/23694.jpg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>
      <c r="A1899" s="3" t="str">
        <f>IFERROR(__xludf.DUMMYFUNCTION("""COMPUTED_VALUE"""),"23697")</f>
        <v>23697</v>
      </c>
      <c r="B1899" s="3" t="str">
        <f>IFERROR(__xludf.DUMMYFUNCTION("""COMPUTED_VALUE"""),"น.ส.อาตีฟ ดาหวี")</f>
        <v>น.ส.อาตีฟ ดาหวี</v>
      </c>
      <c r="C1899" s="3" t="str">
        <f>IFERROR(__xludf.DUMMYFUNCTION("""COMPUTED_VALUE"""),"ม.5/5")</f>
        <v>ม.5/5</v>
      </c>
      <c r="D1899" s="3" t="str">
        <f>IFERROR(__xludf.DUMMYFUNCTION("""COMPUTED_VALUE"""),"อป.2/5")</f>
        <v>อป.2/5</v>
      </c>
      <c r="E1899" s="2" t="str">
        <f>IFERROR(__xludf.DUMMYFUNCTION("""COMPUTED_VALUE"""),"หญิง")</f>
        <v>หญิง</v>
      </c>
      <c r="F1899" s="5" t="str">
        <f>IFERROR(__xludf.DUMMYFUNCTION("""COMPUTED_VALUE"""),"https://azizstan.net/student_image/23697.jpg")</f>
        <v>https://azizstan.net/student_image/23697.jpg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>
      <c r="A1900" s="3" t="str">
        <f>IFERROR(__xludf.DUMMYFUNCTION("""COMPUTED_VALUE"""),"23721")</f>
        <v>23721</v>
      </c>
      <c r="B1900" s="3" t="str">
        <f>IFERROR(__xludf.DUMMYFUNCTION("""COMPUTED_VALUE"""),"นายซัควาน หะยีอาแว")</f>
        <v>นายซัควาน หะยีอาแว</v>
      </c>
      <c r="C1900" s="3" t="str">
        <f>IFERROR(__xludf.DUMMYFUNCTION("""COMPUTED_VALUE"""),"ม.5/5")</f>
        <v>ม.5/5</v>
      </c>
      <c r="D1900" s="3" t="str">
        <f>IFERROR(__xludf.DUMMYFUNCTION("""COMPUTED_VALUE"""),"อป.2/5")</f>
        <v>อป.2/5</v>
      </c>
      <c r="E1900" s="2" t="str">
        <f>IFERROR(__xludf.DUMMYFUNCTION("""COMPUTED_VALUE"""),"ชาย")</f>
        <v>ชาย</v>
      </c>
      <c r="F1900" s="5" t="str">
        <f>IFERROR(__xludf.DUMMYFUNCTION("""COMPUTED_VALUE"""),"https://azizstan.net/student_image/23721.jpg")</f>
        <v>https://azizstan.net/student_image/23721.jpg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>
      <c r="A1901" s="3" t="str">
        <f>IFERROR(__xludf.DUMMYFUNCTION("""COMPUTED_VALUE"""),"23722")</f>
        <v>23722</v>
      </c>
      <c r="B1901" s="3" t="str">
        <f>IFERROR(__xludf.DUMMYFUNCTION("""COMPUTED_VALUE"""),"นายคอลิส ดอเล๊าะ")</f>
        <v>นายคอลิส ดอเล๊าะ</v>
      </c>
      <c r="C1901" s="3" t="str">
        <f>IFERROR(__xludf.DUMMYFUNCTION("""COMPUTED_VALUE"""),"ม.5/5")</f>
        <v>ม.5/5</v>
      </c>
      <c r="D1901" s="3" t="str">
        <f>IFERROR(__xludf.DUMMYFUNCTION("""COMPUTED_VALUE"""),"อป.2/5")</f>
        <v>อป.2/5</v>
      </c>
      <c r="E1901" s="2" t="str">
        <f>IFERROR(__xludf.DUMMYFUNCTION("""COMPUTED_VALUE"""),"ชาย")</f>
        <v>ชาย</v>
      </c>
      <c r="F1901" s="5" t="str">
        <f>IFERROR(__xludf.DUMMYFUNCTION("""COMPUTED_VALUE"""),"https://azizstan.net/student_image/23722.jpg")</f>
        <v>https://azizstan.net/student_image/23722.jpg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>
      <c r="A1902" s="3" t="str">
        <f>IFERROR(__xludf.DUMMYFUNCTION("""COMPUTED_VALUE"""),"23735")</f>
        <v>23735</v>
      </c>
      <c r="B1902" s="3" t="str">
        <f>IFERROR(__xludf.DUMMYFUNCTION("""COMPUTED_VALUE"""),"น.ส.มาเรีย อาลี")</f>
        <v>น.ส.มาเรีย อาลี</v>
      </c>
      <c r="C1902" s="3" t="str">
        <f>IFERROR(__xludf.DUMMYFUNCTION("""COMPUTED_VALUE"""),"ม.5/5")</f>
        <v>ม.5/5</v>
      </c>
      <c r="D1902" s="3" t="str">
        <f>IFERROR(__xludf.DUMMYFUNCTION("""COMPUTED_VALUE"""),"อป.2/5")</f>
        <v>อป.2/5</v>
      </c>
      <c r="E1902" s="2" t="str">
        <f>IFERROR(__xludf.DUMMYFUNCTION("""COMPUTED_VALUE"""),"หญิง")</f>
        <v>หญิง</v>
      </c>
      <c r="F1902" s="5" t="str">
        <f>IFERROR(__xludf.DUMMYFUNCTION("""COMPUTED_VALUE"""),"https://azizstan.net/student_image/23735.jpg")</f>
        <v>https://azizstan.net/student_image/23735.jpg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>
      <c r="A1903" s="3" t="str">
        <f>IFERROR(__xludf.DUMMYFUNCTION("""COMPUTED_VALUE"""),"23778")</f>
        <v>23778</v>
      </c>
      <c r="B1903" s="3" t="str">
        <f>IFERROR(__xludf.DUMMYFUNCTION("""COMPUTED_VALUE"""),"น.ส.ฮูดา โต๊ะหัด")</f>
        <v>น.ส.ฮูดา โต๊ะหัด</v>
      </c>
      <c r="C1903" s="3" t="str">
        <f>IFERROR(__xludf.DUMMYFUNCTION("""COMPUTED_VALUE"""),"ม.5/5")</f>
        <v>ม.5/5</v>
      </c>
      <c r="D1903" s="3" t="str">
        <f>IFERROR(__xludf.DUMMYFUNCTION("""COMPUTED_VALUE"""),"อป.2/5")</f>
        <v>อป.2/5</v>
      </c>
      <c r="E1903" s="2" t="str">
        <f>IFERROR(__xludf.DUMMYFUNCTION("""COMPUTED_VALUE"""),"หญิง")</f>
        <v>หญิง</v>
      </c>
      <c r="F1903" s="5" t="str">
        <f>IFERROR(__xludf.DUMMYFUNCTION("""COMPUTED_VALUE"""),"https://azizstan.net/student_image/23778.jpg")</f>
        <v>https://azizstan.net/student_image/23778.jpg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>
      <c r="A1904" s="3" t="str">
        <f>IFERROR(__xludf.DUMMYFUNCTION("""COMPUTED_VALUE"""),"23788")</f>
        <v>23788</v>
      </c>
      <c r="B1904" s="3" t="str">
        <f>IFERROR(__xludf.DUMMYFUNCTION("""COMPUTED_VALUE"""),"นายฮูซัยฟี เจะเลาะ")</f>
        <v>นายฮูซัยฟี เจะเลาะ</v>
      </c>
      <c r="C1904" s="3" t="str">
        <f>IFERROR(__xludf.DUMMYFUNCTION("""COMPUTED_VALUE"""),"ม.5/5")</f>
        <v>ม.5/5</v>
      </c>
      <c r="D1904" s="3" t="str">
        <f>IFERROR(__xludf.DUMMYFUNCTION("""COMPUTED_VALUE"""),"อป.2/5")</f>
        <v>อป.2/5</v>
      </c>
      <c r="E1904" s="2" t="str">
        <f>IFERROR(__xludf.DUMMYFUNCTION("""COMPUTED_VALUE"""),"ชาย")</f>
        <v>ชาย</v>
      </c>
      <c r="F1904" s="5" t="str">
        <f>IFERROR(__xludf.DUMMYFUNCTION("""COMPUTED_VALUE"""),"https://azizstan.net/student_image/23788.jpg")</f>
        <v>https://azizstan.net/student_image/23788.jpg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>
      <c r="A1905" s="3" t="str">
        <f>IFERROR(__xludf.DUMMYFUNCTION("""COMPUTED_VALUE"""),"23877")</f>
        <v>23877</v>
      </c>
      <c r="B1905" s="3" t="str">
        <f>IFERROR(__xludf.DUMMYFUNCTION("""COMPUTED_VALUE"""),"นายนัศรุจน์ ทันยุภัก")</f>
        <v>นายนัศรุจน์ ทันยุภัก</v>
      </c>
      <c r="C1905" s="3" t="str">
        <f>IFERROR(__xludf.DUMMYFUNCTION("""COMPUTED_VALUE"""),"ม.5/5")</f>
        <v>ม.5/5</v>
      </c>
      <c r="D1905" s="3" t="str">
        <f>IFERROR(__xludf.DUMMYFUNCTION("""COMPUTED_VALUE"""),"อป.2/5")</f>
        <v>อป.2/5</v>
      </c>
      <c r="E1905" s="2" t="str">
        <f>IFERROR(__xludf.DUMMYFUNCTION("""COMPUTED_VALUE"""),"ชาย")</f>
        <v>ชาย</v>
      </c>
      <c r="F1905" s="5" t="str">
        <f>IFERROR(__xludf.DUMMYFUNCTION("""COMPUTED_VALUE"""),"https://azizstan.net/student_image/23877.jpg")</f>
        <v>https://azizstan.net/student_image/23877.jpg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>
      <c r="A1906" s="3" t="str">
        <f>IFERROR(__xludf.DUMMYFUNCTION("""COMPUTED_VALUE"""),"23888")</f>
        <v>23888</v>
      </c>
      <c r="B1906" s="3" t="str">
        <f>IFERROR(__xludf.DUMMYFUNCTION("""COMPUTED_VALUE"""),"น.ส.นูรฟาร์ติน สะหะ")</f>
        <v>น.ส.นูรฟาร์ติน สะหะ</v>
      </c>
      <c r="C1906" s="3" t="str">
        <f>IFERROR(__xludf.DUMMYFUNCTION("""COMPUTED_VALUE"""),"ม.5/5")</f>
        <v>ม.5/5</v>
      </c>
      <c r="D1906" s="3" t="str">
        <f>IFERROR(__xludf.DUMMYFUNCTION("""COMPUTED_VALUE"""),"อป.2/5")</f>
        <v>อป.2/5</v>
      </c>
      <c r="E1906" s="2" t="str">
        <f>IFERROR(__xludf.DUMMYFUNCTION("""COMPUTED_VALUE"""),"หญิง")</f>
        <v>หญิง</v>
      </c>
      <c r="F1906" s="5" t="str">
        <f>IFERROR(__xludf.DUMMYFUNCTION("""COMPUTED_VALUE"""),"https://azizstan.net/student_image/23888.jpg")</f>
        <v>https://azizstan.net/student_image/23888.jpg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>
      <c r="A1907" s="3" t="str">
        <f>IFERROR(__xludf.DUMMYFUNCTION("""COMPUTED_VALUE"""),"23934")</f>
        <v>23934</v>
      </c>
      <c r="B1907" s="3" t="str">
        <f>IFERROR(__xludf.DUMMYFUNCTION("""COMPUTED_VALUE"""),"น.ส.ไรบีนา กล่อมสม")</f>
        <v>น.ส.ไรบีนา กล่อมสม</v>
      </c>
      <c r="C1907" s="3" t="str">
        <f>IFERROR(__xludf.DUMMYFUNCTION("""COMPUTED_VALUE"""),"ม.5/5")</f>
        <v>ม.5/5</v>
      </c>
      <c r="D1907" s="3" t="str">
        <f>IFERROR(__xludf.DUMMYFUNCTION("""COMPUTED_VALUE"""),"อป.2/5")</f>
        <v>อป.2/5</v>
      </c>
      <c r="E1907" s="2" t="str">
        <f>IFERROR(__xludf.DUMMYFUNCTION("""COMPUTED_VALUE"""),"หญิง")</f>
        <v>หญิง</v>
      </c>
      <c r="F1907" s="5" t="str">
        <f>IFERROR(__xludf.DUMMYFUNCTION("""COMPUTED_VALUE"""),"https://azizstan.net/student_image/23934.jpg")</f>
        <v>https://azizstan.net/student_image/23934.jpg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>
      <c r="A1908" s="3" t="str">
        <f>IFERROR(__xludf.DUMMYFUNCTION("""COMPUTED_VALUE"""),"25535")</f>
        <v>25535</v>
      </c>
      <c r="B1908" s="3" t="str">
        <f>IFERROR(__xludf.DUMMYFUNCTION("""COMPUTED_VALUE"""),"น.ส.ณธิดา นริศธราดล")</f>
        <v>น.ส.ณธิดา นริศธราดล</v>
      </c>
      <c r="C1908" s="3" t="str">
        <f>IFERROR(__xludf.DUMMYFUNCTION("""COMPUTED_VALUE"""),"ม.5/5")</f>
        <v>ม.5/5</v>
      </c>
      <c r="D1908" s="3" t="str">
        <f>IFERROR(__xludf.DUMMYFUNCTION("""COMPUTED_VALUE"""),"อป.2/5")</f>
        <v>อป.2/5</v>
      </c>
      <c r="E1908" s="2" t="str">
        <f>IFERROR(__xludf.DUMMYFUNCTION("""COMPUTED_VALUE"""),"หญิง")</f>
        <v>หญิง</v>
      </c>
      <c r="F1908" s="5" t="str">
        <f>IFERROR(__xludf.DUMMYFUNCTION("""COMPUTED_VALUE"""),"https://azizstan.net/student_image/25535.jpg")</f>
        <v>https://azizstan.net/student_image/25535.jpg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>
      <c r="A1909" s="3" t="str">
        <f>IFERROR(__xludf.DUMMYFUNCTION("""COMPUTED_VALUE"""),"25575")</f>
        <v>25575</v>
      </c>
      <c r="B1909" s="3" t="str">
        <f>IFERROR(__xludf.DUMMYFUNCTION("""COMPUTED_VALUE"""),"น.ส.ฟิรดาวส์ สาและ")</f>
        <v>น.ส.ฟิรดาวส์ สาและ</v>
      </c>
      <c r="C1909" s="3" t="str">
        <f>IFERROR(__xludf.DUMMYFUNCTION("""COMPUTED_VALUE"""),"ม.5/5")</f>
        <v>ม.5/5</v>
      </c>
      <c r="D1909" s="3" t="str">
        <f>IFERROR(__xludf.DUMMYFUNCTION("""COMPUTED_VALUE"""),"อป.2/5")</f>
        <v>อป.2/5</v>
      </c>
      <c r="E1909" s="2" t="str">
        <f>IFERROR(__xludf.DUMMYFUNCTION("""COMPUTED_VALUE"""),"หญิง")</f>
        <v>หญิง</v>
      </c>
      <c r="F1909" s="5" t="str">
        <f>IFERROR(__xludf.DUMMYFUNCTION("""COMPUTED_VALUE"""),"https://azizstan.net/student_image/25575.jpg")</f>
        <v>https://azizstan.net/student_image/25575.jpg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>
      <c r="A1910" s="3" t="str">
        <f>IFERROR(__xludf.DUMMYFUNCTION("""COMPUTED_VALUE"""),"25598")</f>
        <v>25598</v>
      </c>
      <c r="B1910" s="3" t="str">
        <f>IFERROR(__xludf.DUMMYFUNCTION("""COMPUTED_VALUE"""),"นายมูฮำหมัดจัฟรี ตาเยะ")</f>
        <v>นายมูฮำหมัดจัฟรี ตาเยะ</v>
      </c>
      <c r="C1910" s="3" t="str">
        <f>IFERROR(__xludf.DUMMYFUNCTION("""COMPUTED_VALUE"""),"ม.5/5")</f>
        <v>ม.5/5</v>
      </c>
      <c r="D1910" s="3" t="str">
        <f>IFERROR(__xludf.DUMMYFUNCTION("""COMPUTED_VALUE"""),"อป.2/5")</f>
        <v>อป.2/5</v>
      </c>
      <c r="E1910" s="2" t="str">
        <f>IFERROR(__xludf.DUMMYFUNCTION("""COMPUTED_VALUE"""),"ชาย")</f>
        <v>ชาย</v>
      </c>
      <c r="F1910" s="5" t="str">
        <f>IFERROR(__xludf.DUMMYFUNCTION("""COMPUTED_VALUE"""),"https://azizstan.net/student_image/25598.jpg")</f>
        <v>https://azizstan.net/student_image/25598.jpg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>
      <c r="A1911" s="3" t="str">
        <f>IFERROR(__xludf.DUMMYFUNCTION("""COMPUTED_VALUE"""),"25658")</f>
        <v>25658</v>
      </c>
      <c r="B1911" s="3" t="str">
        <f>IFERROR(__xludf.DUMMYFUNCTION("""COMPUTED_VALUE"""),"นายฟิรฮาน หัตถประดิษฐ์")</f>
        <v>นายฟิรฮาน หัตถประดิษฐ์</v>
      </c>
      <c r="C1911" s="3" t="str">
        <f>IFERROR(__xludf.DUMMYFUNCTION("""COMPUTED_VALUE"""),"ม.5/5")</f>
        <v>ม.5/5</v>
      </c>
      <c r="D1911" s="3" t="str">
        <f>IFERROR(__xludf.DUMMYFUNCTION("""COMPUTED_VALUE"""),"อป.2/5")</f>
        <v>อป.2/5</v>
      </c>
      <c r="E1911" s="2" t="str">
        <f>IFERROR(__xludf.DUMMYFUNCTION("""COMPUTED_VALUE"""),"ชาย")</f>
        <v>ชาย</v>
      </c>
      <c r="F1911" s="5" t="str">
        <f>IFERROR(__xludf.DUMMYFUNCTION("""COMPUTED_VALUE"""),"https://azizstan.net/student_image/25658.jpg")</f>
        <v>https://azizstan.net/student_image/25658.jpg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>
      <c r="A1912" s="3" t="str">
        <f>IFERROR(__xludf.DUMMYFUNCTION("""COMPUTED_VALUE"""),"25700")</f>
        <v>25700</v>
      </c>
      <c r="B1912" s="3" t="str">
        <f>IFERROR(__xludf.DUMMYFUNCTION("""COMPUTED_VALUE"""),"น.ส.จัสมิน สาเม๊าะ")</f>
        <v>น.ส.จัสมิน สาเม๊าะ</v>
      </c>
      <c r="C1912" s="3" t="str">
        <f>IFERROR(__xludf.DUMMYFUNCTION("""COMPUTED_VALUE"""),"ม.5/5")</f>
        <v>ม.5/5</v>
      </c>
      <c r="D1912" s="3" t="str">
        <f>IFERROR(__xludf.DUMMYFUNCTION("""COMPUTED_VALUE"""),"อป.2/5")</f>
        <v>อป.2/5</v>
      </c>
      <c r="E1912" s="2" t="str">
        <f>IFERROR(__xludf.DUMMYFUNCTION("""COMPUTED_VALUE"""),"หญิง")</f>
        <v>หญิง</v>
      </c>
      <c r="F1912" s="5" t="str">
        <f>IFERROR(__xludf.DUMMYFUNCTION("""COMPUTED_VALUE"""),"https://azizstan.net/student_image/25700.jpg")</f>
        <v>https://azizstan.net/student_image/25700.jpg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>
      <c r="A1913" s="3" t="str">
        <f>IFERROR(__xludf.DUMMYFUNCTION("""COMPUTED_VALUE"""),"25703")</f>
        <v>25703</v>
      </c>
      <c r="B1913" s="3" t="str">
        <f>IFERROR(__xludf.DUMMYFUNCTION("""COMPUTED_VALUE"""),"น.ส.มุสซีรา ดาอะ")</f>
        <v>น.ส.มุสซีรา ดาอะ</v>
      </c>
      <c r="C1913" s="3" t="str">
        <f>IFERROR(__xludf.DUMMYFUNCTION("""COMPUTED_VALUE"""),"ม.5/5")</f>
        <v>ม.5/5</v>
      </c>
      <c r="D1913" s="3" t="str">
        <f>IFERROR(__xludf.DUMMYFUNCTION("""COMPUTED_VALUE"""),"อป.2/5")</f>
        <v>อป.2/5</v>
      </c>
      <c r="E1913" s="2" t="str">
        <f>IFERROR(__xludf.DUMMYFUNCTION("""COMPUTED_VALUE"""),"หญิง")</f>
        <v>หญิง</v>
      </c>
      <c r="F1913" s="5" t="str">
        <f>IFERROR(__xludf.DUMMYFUNCTION("""COMPUTED_VALUE"""),"https://azizstan.net/student_image/25703.jpg")</f>
        <v>https://azizstan.net/student_image/25703.jpg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>
      <c r="A1914" s="3" t="str">
        <f>IFERROR(__xludf.DUMMYFUNCTION("""COMPUTED_VALUE"""),"25757")</f>
        <v>25757</v>
      </c>
      <c r="B1914" s="3" t="str">
        <f>IFERROR(__xludf.DUMMYFUNCTION("""COMPUTED_VALUE"""),"นายอารีฟ อับดุลลาเตะ")</f>
        <v>นายอารีฟ อับดุลลาเตะ</v>
      </c>
      <c r="C1914" s="3" t="str">
        <f>IFERROR(__xludf.DUMMYFUNCTION("""COMPUTED_VALUE"""),"ม.5/5")</f>
        <v>ม.5/5</v>
      </c>
      <c r="D1914" s="3" t="str">
        <f>IFERROR(__xludf.DUMMYFUNCTION("""COMPUTED_VALUE"""),"อป.2/5")</f>
        <v>อป.2/5</v>
      </c>
      <c r="E1914" s="2" t="str">
        <f>IFERROR(__xludf.DUMMYFUNCTION("""COMPUTED_VALUE"""),"ชาย")</f>
        <v>ชาย</v>
      </c>
      <c r="F1914" s="5" t="str">
        <f>IFERROR(__xludf.DUMMYFUNCTION("""COMPUTED_VALUE"""),"https://azizstan.net/student_image/25757.jpg")</f>
        <v>https://azizstan.net/student_image/25757.jpg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>
      <c r="A1915" s="3" t="str">
        <f>IFERROR(__xludf.DUMMYFUNCTION("""COMPUTED_VALUE"""),"25800")</f>
        <v>25800</v>
      </c>
      <c r="B1915" s="3" t="str">
        <f>IFERROR(__xludf.DUMMYFUNCTION("""COMPUTED_VALUE"""),"น.ส.ปิรนันท์ หมัดหมัน")</f>
        <v>น.ส.ปิรนันท์ หมัดหมัน</v>
      </c>
      <c r="C1915" s="3" t="str">
        <f>IFERROR(__xludf.DUMMYFUNCTION("""COMPUTED_VALUE"""),"ม.5/5")</f>
        <v>ม.5/5</v>
      </c>
      <c r="D1915" s="3" t="str">
        <f>IFERROR(__xludf.DUMMYFUNCTION("""COMPUTED_VALUE"""),"อป.2/5")</f>
        <v>อป.2/5</v>
      </c>
      <c r="E1915" s="2" t="str">
        <f>IFERROR(__xludf.DUMMYFUNCTION("""COMPUTED_VALUE"""),"หญิง")</f>
        <v>หญิง</v>
      </c>
      <c r="F1915" s="5" t="str">
        <f>IFERROR(__xludf.DUMMYFUNCTION("""COMPUTED_VALUE"""),"https://azizstan.net/student_image/25800.jpg")</f>
        <v>https://azizstan.net/student_image/25800.jpg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>
      <c r="A1916" s="3" t="str">
        <f>IFERROR(__xludf.DUMMYFUNCTION("""COMPUTED_VALUE"""),"23344")</f>
        <v>23344</v>
      </c>
      <c r="B1916" s="3" t="str">
        <f>IFERROR(__xludf.DUMMYFUNCTION("""COMPUTED_VALUE"""),"นายมูฮัมหมัด หะยีสาแม")</f>
        <v>นายมูฮัมหมัด หะยีสาแม</v>
      </c>
      <c r="C1916" s="3" t="str">
        <f>IFERROR(__xludf.DUMMYFUNCTION("""COMPUTED_VALUE"""),"ม.5/6")</f>
        <v>ม.5/6</v>
      </c>
      <c r="D1916" s="3" t="str">
        <f>IFERROR(__xludf.DUMMYFUNCTION("""COMPUTED_VALUE"""),"อป.2/6")</f>
        <v>อป.2/6</v>
      </c>
      <c r="E1916" s="2" t="str">
        <f>IFERROR(__xludf.DUMMYFUNCTION("""COMPUTED_VALUE"""),"ชาย")</f>
        <v>ชาย</v>
      </c>
      <c r="F1916" s="5" t="str">
        <f>IFERROR(__xludf.DUMMYFUNCTION("""COMPUTED_VALUE"""),"https://azizstan.net/student_image/23344.jpg")</f>
        <v>https://azizstan.net/student_image/23344.jpg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>
      <c r="A1917" s="3" t="str">
        <f>IFERROR(__xludf.DUMMYFUNCTION("""COMPUTED_VALUE"""),"23347")</f>
        <v>23347</v>
      </c>
      <c r="B1917" s="3" t="str">
        <f>IFERROR(__xludf.DUMMYFUNCTION("""COMPUTED_VALUE"""),"น.ส.อามัล อิละละ")</f>
        <v>น.ส.อามัล อิละละ</v>
      </c>
      <c r="C1917" s="3" t="str">
        <f>IFERROR(__xludf.DUMMYFUNCTION("""COMPUTED_VALUE"""),"ม.5/6")</f>
        <v>ม.5/6</v>
      </c>
      <c r="D1917" s="3" t="str">
        <f>IFERROR(__xludf.DUMMYFUNCTION("""COMPUTED_VALUE"""),"อป.2/6")</f>
        <v>อป.2/6</v>
      </c>
      <c r="E1917" s="2" t="str">
        <f>IFERROR(__xludf.DUMMYFUNCTION("""COMPUTED_VALUE"""),"หญิง")</f>
        <v>หญิง</v>
      </c>
      <c r="F1917" s="5" t="str">
        <f>IFERROR(__xludf.DUMMYFUNCTION("""COMPUTED_VALUE"""),"https://azizstan.net/student_image/23347.jpg")</f>
        <v>https://azizstan.net/student_image/23347.jpg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>
      <c r="A1918" s="3" t="str">
        <f>IFERROR(__xludf.DUMMYFUNCTION("""COMPUTED_VALUE"""),"23350")</f>
        <v>23350</v>
      </c>
      <c r="B1918" s="3" t="str">
        <f>IFERROR(__xludf.DUMMYFUNCTION("""COMPUTED_VALUE"""),"น.ส.โซฟีนา สิเดะ")</f>
        <v>น.ส.โซฟีนา สิเดะ</v>
      </c>
      <c r="C1918" s="3" t="str">
        <f>IFERROR(__xludf.DUMMYFUNCTION("""COMPUTED_VALUE"""),"ม.5/6")</f>
        <v>ม.5/6</v>
      </c>
      <c r="D1918" s="3" t="str">
        <f>IFERROR(__xludf.DUMMYFUNCTION("""COMPUTED_VALUE"""),"อป.2/6")</f>
        <v>อป.2/6</v>
      </c>
      <c r="E1918" s="2" t="str">
        <f>IFERROR(__xludf.DUMMYFUNCTION("""COMPUTED_VALUE"""),"หญิง")</f>
        <v>หญิง</v>
      </c>
      <c r="F1918" s="5" t="str">
        <f>IFERROR(__xludf.DUMMYFUNCTION("""COMPUTED_VALUE"""),"https://azizstan.net/student_image/23350.jpg")</f>
        <v>https://azizstan.net/student_image/23350.jpg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>
      <c r="A1919" s="3" t="str">
        <f>IFERROR(__xludf.DUMMYFUNCTION("""COMPUTED_VALUE"""),"23378")</f>
        <v>23378</v>
      </c>
      <c r="B1919" s="3" t="str">
        <f>IFERROR(__xludf.DUMMYFUNCTION("""COMPUTED_VALUE"""),"น.ส.อาตัสนีม สาและ")</f>
        <v>น.ส.อาตัสนีม สาและ</v>
      </c>
      <c r="C1919" s="3" t="str">
        <f>IFERROR(__xludf.DUMMYFUNCTION("""COMPUTED_VALUE"""),"ม.5/6")</f>
        <v>ม.5/6</v>
      </c>
      <c r="D1919" s="3" t="str">
        <f>IFERROR(__xludf.DUMMYFUNCTION("""COMPUTED_VALUE"""),"อป.2/6")</f>
        <v>อป.2/6</v>
      </c>
      <c r="E1919" s="2" t="str">
        <f>IFERROR(__xludf.DUMMYFUNCTION("""COMPUTED_VALUE"""),"หญิง")</f>
        <v>หญิง</v>
      </c>
      <c r="F1919" s="5" t="str">
        <f>IFERROR(__xludf.DUMMYFUNCTION("""COMPUTED_VALUE"""),"https://azizstan.net/student_image/23378.jpg")</f>
        <v>https://azizstan.net/student_image/23378.jpg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>
      <c r="A1920" s="3" t="str">
        <f>IFERROR(__xludf.DUMMYFUNCTION("""COMPUTED_VALUE"""),"23379")</f>
        <v>23379</v>
      </c>
      <c r="B1920" s="3" t="str">
        <f>IFERROR(__xludf.DUMMYFUNCTION("""COMPUTED_VALUE"""),"นายนินิสฟูร์ สะแต")</f>
        <v>นายนินิสฟูร์ สะแต</v>
      </c>
      <c r="C1920" s="3" t="str">
        <f>IFERROR(__xludf.DUMMYFUNCTION("""COMPUTED_VALUE"""),"ม.5/6")</f>
        <v>ม.5/6</v>
      </c>
      <c r="D1920" s="3" t="str">
        <f>IFERROR(__xludf.DUMMYFUNCTION("""COMPUTED_VALUE"""),"อป.2/6")</f>
        <v>อป.2/6</v>
      </c>
      <c r="E1920" s="2" t="str">
        <f>IFERROR(__xludf.DUMMYFUNCTION("""COMPUTED_VALUE"""),"ชาย")</f>
        <v>ชาย</v>
      </c>
      <c r="F1920" s="5" t="str">
        <f>IFERROR(__xludf.DUMMYFUNCTION("""COMPUTED_VALUE"""),"https://azizstan.net/student_image/23379.jpg")</f>
        <v>https://azizstan.net/student_image/23379.jpg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>
      <c r="A1921" s="3" t="str">
        <f>IFERROR(__xludf.DUMMYFUNCTION("""COMPUTED_VALUE"""),"23381")</f>
        <v>23381</v>
      </c>
      <c r="B1921" s="3" t="str">
        <f>IFERROR(__xludf.DUMMYFUNCTION("""COMPUTED_VALUE"""),"นายอิซรอฟ ตาเยะ")</f>
        <v>นายอิซรอฟ ตาเยะ</v>
      </c>
      <c r="C1921" s="3" t="str">
        <f>IFERROR(__xludf.DUMMYFUNCTION("""COMPUTED_VALUE"""),"ม.5/6")</f>
        <v>ม.5/6</v>
      </c>
      <c r="D1921" s="3" t="str">
        <f>IFERROR(__xludf.DUMMYFUNCTION("""COMPUTED_VALUE"""),"อป.2/6")</f>
        <v>อป.2/6</v>
      </c>
      <c r="E1921" s="2" t="str">
        <f>IFERROR(__xludf.DUMMYFUNCTION("""COMPUTED_VALUE"""),"ชาย")</f>
        <v>ชาย</v>
      </c>
      <c r="F1921" s="5" t="str">
        <f>IFERROR(__xludf.DUMMYFUNCTION("""COMPUTED_VALUE"""),"https://azizstan.net/student_image/23381.jpg")</f>
        <v>https://azizstan.net/student_image/23381.jpg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>
      <c r="A1922" s="3" t="str">
        <f>IFERROR(__xludf.DUMMYFUNCTION("""COMPUTED_VALUE"""),"23383")</f>
        <v>23383</v>
      </c>
      <c r="B1922" s="3" t="str">
        <f>IFERROR(__xludf.DUMMYFUNCTION("""COMPUTED_VALUE"""),"นายซอบีรีน อาลี")</f>
        <v>นายซอบีรีน อาลี</v>
      </c>
      <c r="C1922" s="3" t="str">
        <f>IFERROR(__xludf.DUMMYFUNCTION("""COMPUTED_VALUE"""),"ม.5/6")</f>
        <v>ม.5/6</v>
      </c>
      <c r="D1922" s="3" t="str">
        <f>IFERROR(__xludf.DUMMYFUNCTION("""COMPUTED_VALUE"""),"อป.2/6")</f>
        <v>อป.2/6</v>
      </c>
      <c r="E1922" s="2" t="str">
        <f>IFERROR(__xludf.DUMMYFUNCTION("""COMPUTED_VALUE"""),"ชาย")</f>
        <v>ชาย</v>
      </c>
      <c r="F1922" s="5" t="str">
        <f>IFERROR(__xludf.DUMMYFUNCTION("""COMPUTED_VALUE"""),"https://azizstan.net/student_image/23383.jpg")</f>
        <v>https://azizstan.net/student_image/23383.jpg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>
      <c r="A1923" s="3" t="str">
        <f>IFERROR(__xludf.DUMMYFUNCTION("""COMPUTED_VALUE"""),"23432")</f>
        <v>23432</v>
      </c>
      <c r="B1923" s="3" t="str">
        <f>IFERROR(__xludf.DUMMYFUNCTION("""COMPUTED_VALUE"""),"น.ส.ซอฟาวาตีย์ มะเด็ง")</f>
        <v>น.ส.ซอฟาวาตีย์ มะเด็ง</v>
      </c>
      <c r="C1923" s="3" t="str">
        <f>IFERROR(__xludf.DUMMYFUNCTION("""COMPUTED_VALUE"""),"ม.5/6")</f>
        <v>ม.5/6</v>
      </c>
      <c r="D1923" s="3" t="str">
        <f>IFERROR(__xludf.DUMMYFUNCTION("""COMPUTED_VALUE"""),"อป.2/6")</f>
        <v>อป.2/6</v>
      </c>
      <c r="E1923" s="2" t="str">
        <f>IFERROR(__xludf.DUMMYFUNCTION("""COMPUTED_VALUE"""),"หญิง")</f>
        <v>หญิง</v>
      </c>
      <c r="F1923" s="5" t="str">
        <f>IFERROR(__xludf.DUMMYFUNCTION("""COMPUTED_VALUE"""),"https://azizstan.net/student_image/23432.jpg")</f>
        <v>https://azizstan.net/student_image/23432.jpg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>
      <c r="A1924" s="3" t="str">
        <f>IFERROR(__xludf.DUMMYFUNCTION("""COMPUTED_VALUE"""),"23454")</f>
        <v>23454</v>
      </c>
      <c r="B1924" s="3" t="str">
        <f>IFERROR(__xludf.DUMMYFUNCTION("""COMPUTED_VALUE"""),"นายวุฒิชัย ขาเดร์")</f>
        <v>นายวุฒิชัย ขาเดร์</v>
      </c>
      <c r="C1924" s="3" t="str">
        <f>IFERROR(__xludf.DUMMYFUNCTION("""COMPUTED_VALUE"""),"ม.5/6")</f>
        <v>ม.5/6</v>
      </c>
      <c r="D1924" s="3" t="str">
        <f>IFERROR(__xludf.DUMMYFUNCTION("""COMPUTED_VALUE"""),"อป.2/6")</f>
        <v>อป.2/6</v>
      </c>
      <c r="E1924" s="2" t="str">
        <f>IFERROR(__xludf.DUMMYFUNCTION("""COMPUTED_VALUE"""),"ชาย")</f>
        <v>ชาย</v>
      </c>
      <c r="F1924" s="5" t="str">
        <f>IFERROR(__xludf.DUMMYFUNCTION("""COMPUTED_VALUE"""),"https://azizstan.net/student_image/23454.jpg")</f>
        <v>https://azizstan.net/student_image/23454.jpg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>
      <c r="A1925" s="3" t="str">
        <f>IFERROR(__xludf.DUMMYFUNCTION("""COMPUTED_VALUE"""),"23488")</f>
        <v>23488</v>
      </c>
      <c r="B1925" s="3" t="str">
        <f>IFERROR(__xludf.DUMMYFUNCTION("""COMPUTED_VALUE"""),"น.ส.นูรฮีดายะห์ อาฮา")</f>
        <v>น.ส.นูรฮีดายะห์ อาฮา</v>
      </c>
      <c r="C1925" s="3" t="str">
        <f>IFERROR(__xludf.DUMMYFUNCTION("""COMPUTED_VALUE"""),"ม.5/6")</f>
        <v>ม.5/6</v>
      </c>
      <c r="D1925" s="3" t="str">
        <f>IFERROR(__xludf.DUMMYFUNCTION("""COMPUTED_VALUE"""),"อป.2/6")</f>
        <v>อป.2/6</v>
      </c>
      <c r="E1925" s="2" t="str">
        <f>IFERROR(__xludf.DUMMYFUNCTION("""COMPUTED_VALUE"""),"หญิง")</f>
        <v>หญิง</v>
      </c>
      <c r="F1925" s="5" t="str">
        <f>IFERROR(__xludf.DUMMYFUNCTION("""COMPUTED_VALUE"""),"https://azizstan.net/student_image/23488.jpg")</f>
        <v>https://azizstan.net/student_image/23488.jpg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>
      <c r="A1926" s="3" t="str">
        <f>IFERROR(__xludf.DUMMYFUNCTION("""COMPUTED_VALUE"""),"23500")</f>
        <v>23500</v>
      </c>
      <c r="B1926" s="3" t="str">
        <f>IFERROR(__xludf.DUMMYFUNCTION("""COMPUTED_VALUE"""),"น.ส.แอนตีน่า โต๊ะยะ")</f>
        <v>น.ส.แอนตีน่า โต๊ะยะ</v>
      </c>
      <c r="C1926" s="3" t="str">
        <f>IFERROR(__xludf.DUMMYFUNCTION("""COMPUTED_VALUE"""),"ม.5/6")</f>
        <v>ม.5/6</v>
      </c>
      <c r="D1926" s="3" t="str">
        <f>IFERROR(__xludf.DUMMYFUNCTION("""COMPUTED_VALUE"""),"อป.2/6")</f>
        <v>อป.2/6</v>
      </c>
      <c r="E1926" s="2" t="str">
        <f>IFERROR(__xludf.DUMMYFUNCTION("""COMPUTED_VALUE"""),"หญิง")</f>
        <v>หญิง</v>
      </c>
      <c r="F1926" s="5" t="str">
        <f>IFERROR(__xludf.DUMMYFUNCTION("""COMPUTED_VALUE"""),"https://azizstan.net/student_image/23500.jpg")</f>
        <v>https://azizstan.net/student_image/23500.jpg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>
      <c r="A1927" s="3" t="str">
        <f>IFERROR(__xludf.DUMMYFUNCTION("""COMPUTED_VALUE"""),"23501")</f>
        <v>23501</v>
      </c>
      <c r="B1927" s="3" t="str">
        <f>IFERROR(__xludf.DUMMYFUNCTION("""COMPUTED_VALUE"""),"น.ส.นัสริน หะยีบากา")</f>
        <v>น.ส.นัสริน หะยีบากา</v>
      </c>
      <c r="C1927" s="3" t="str">
        <f>IFERROR(__xludf.DUMMYFUNCTION("""COMPUTED_VALUE"""),"ม.5/6")</f>
        <v>ม.5/6</v>
      </c>
      <c r="D1927" s="3" t="str">
        <f>IFERROR(__xludf.DUMMYFUNCTION("""COMPUTED_VALUE"""),"อป.2/6")</f>
        <v>อป.2/6</v>
      </c>
      <c r="E1927" s="2" t="str">
        <f>IFERROR(__xludf.DUMMYFUNCTION("""COMPUTED_VALUE"""),"หญิง")</f>
        <v>หญิง</v>
      </c>
      <c r="F1927" s="5" t="str">
        <f>IFERROR(__xludf.DUMMYFUNCTION("""COMPUTED_VALUE"""),"https://azizstan.net/student_image/23501.jpg")</f>
        <v>https://azizstan.net/student_image/23501.jpg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>
      <c r="A1928" s="3" t="str">
        <f>IFERROR(__xludf.DUMMYFUNCTION("""COMPUTED_VALUE"""),"23523")</f>
        <v>23523</v>
      </c>
      <c r="B1928" s="3" t="str">
        <f>IFERROR(__xludf.DUMMYFUNCTION("""COMPUTED_VALUE"""),"น.ส.รุสนาเดียร์ มูเลง")</f>
        <v>น.ส.รุสนาเดียร์ มูเลง</v>
      </c>
      <c r="C1928" s="3" t="str">
        <f>IFERROR(__xludf.DUMMYFUNCTION("""COMPUTED_VALUE"""),"ม.5/6")</f>
        <v>ม.5/6</v>
      </c>
      <c r="D1928" s="3" t="str">
        <f>IFERROR(__xludf.DUMMYFUNCTION("""COMPUTED_VALUE"""),"อป.2/6")</f>
        <v>อป.2/6</v>
      </c>
      <c r="E1928" s="2" t="str">
        <f>IFERROR(__xludf.DUMMYFUNCTION("""COMPUTED_VALUE"""),"หญิง")</f>
        <v>หญิง</v>
      </c>
      <c r="F1928" s="5" t="str">
        <f>IFERROR(__xludf.DUMMYFUNCTION("""COMPUTED_VALUE"""),"https://azizstan.net/student_image/23523.jpg")</f>
        <v>https://azizstan.net/student_image/23523.jpg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>
      <c r="A1929" s="3" t="str">
        <f>IFERROR(__xludf.DUMMYFUNCTION("""COMPUTED_VALUE"""),"23536")</f>
        <v>23536</v>
      </c>
      <c r="B1929" s="3" t="str">
        <f>IFERROR(__xludf.DUMMYFUNCTION("""COMPUTED_VALUE"""),"น.ส.ฟิรดาวส์ แวดือเร๊ะ")</f>
        <v>น.ส.ฟิรดาวส์ แวดือเร๊ะ</v>
      </c>
      <c r="C1929" s="3" t="str">
        <f>IFERROR(__xludf.DUMMYFUNCTION("""COMPUTED_VALUE"""),"ม.5/6")</f>
        <v>ม.5/6</v>
      </c>
      <c r="D1929" s="3" t="str">
        <f>IFERROR(__xludf.DUMMYFUNCTION("""COMPUTED_VALUE"""),"อป.2/6")</f>
        <v>อป.2/6</v>
      </c>
      <c r="E1929" s="2" t="str">
        <f>IFERROR(__xludf.DUMMYFUNCTION("""COMPUTED_VALUE"""),"หญิง")</f>
        <v>หญิง</v>
      </c>
      <c r="F1929" s="5" t="str">
        <f>IFERROR(__xludf.DUMMYFUNCTION("""COMPUTED_VALUE"""),"https://azizstan.net/student_image/23536.jpg")</f>
        <v>https://azizstan.net/student_image/23536.jpg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>
      <c r="A1930" s="3" t="str">
        <f>IFERROR(__xludf.DUMMYFUNCTION("""COMPUTED_VALUE"""),"23537")</f>
        <v>23537</v>
      </c>
      <c r="B1930" s="3" t="str">
        <f>IFERROR(__xludf.DUMMYFUNCTION("""COMPUTED_VALUE"""),"น.ส.ฟิรฮานส์ แวดือเร๊ะ")</f>
        <v>น.ส.ฟิรฮานส์ แวดือเร๊ะ</v>
      </c>
      <c r="C1930" s="3" t="str">
        <f>IFERROR(__xludf.DUMMYFUNCTION("""COMPUTED_VALUE"""),"ม.5/6")</f>
        <v>ม.5/6</v>
      </c>
      <c r="D1930" s="3" t="str">
        <f>IFERROR(__xludf.DUMMYFUNCTION("""COMPUTED_VALUE"""),"อป.2/6")</f>
        <v>อป.2/6</v>
      </c>
      <c r="E1930" s="2" t="str">
        <f>IFERROR(__xludf.DUMMYFUNCTION("""COMPUTED_VALUE"""),"หญิง")</f>
        <v>หญิง</v>
      </c>
      <c r="F1930" s="5" t="str">
        <f>IFERROR(__xludf.DUMMYFUNCTION("""COMPUTED_VALUE"""),"https://azizstan.net/student_image/23537.jpg")</f>
        <v>https://azizstan.net/student_image/23537.jpg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>
      <c r="A1931" s="3" t="str">
        <f>IFERROR(__xludf.DUMMYFUNCTION("""COMPUTED_VALUE"""),"23630")</f>
        <v>23630</v>
      </c>
      <c r="B1931" s="3" t="str">
        <f>IFERROR(__xludf.DUMMYFUNCTION("""COMPUTED_VALUE"""),"นายอิคลาศ แวสุหลง")</f>
        <v>นายอิคลาศ แวสุหลง</v>
      </c>
      <c r="C1931" s="3" t="str">
        <f>IFERROR(__xludf.DUMMYFUNCTION("""COMPUTED_VALUE"""),"ม.5/6")</f>
        <v>ม.5/6</v>
      </c>
      <c r="D1931" s="3" t="str">
        <f>IFERROR(__xludf.DUMMYFUNCTION("""COMPUTED_VALUE"""),"อป.2/6")</f>
        <v>อป.2/6</v>
      </c>
      <c r="E1931" s="2" t="str">
        <f>IFERROR(__xludf.DUMMYFUNCTION("""COMPUTED_VALUE"""),"ชาย")</f>
        <v>ชาย</v>
      </c>
      <c r="F1931" s="5" t="str">
        <f>IFERROR(__xludf.DUMMYFUNCTION("""COMPUTED_VALUE"""),"https://azizstan.net/student_image/23630.jpg")</f>
        <v>https://azizstan.net/student_image/23630.jpg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>
      <c r="A1932" s="3" t="str">
        <f>IFERROR(__xludf.DUMMYFUNCTION("""COMPUTED_VALUE"""),"23636")</f>
        <v>23636</v>
      </c>
      <c r="B1932" s="3" t="str">
        <f>IFERROR(__xludf.DUMMYFUNCTION("""COMPUTED_VALUE"""),"น.ส.นัจญวา ล่าหับ")</f>
        <v>น.ส.นัจญวา ล่าหับ</v>
      </c>
      <c r="C1932" s="3" t="str">
        <f>IFERROR(__xludf.DUMMYFUNCTION("""COMPUTED_VALUE"""),"ม.5/6")</f>
        <v>ม.5/6</v>
      </c>
      <c r="D1932" s="3" t="str">
        <f>IFERROR(__xludf.DUMMYFUNCTION("""COMPUTED_VALUE"""),"อป.2/6")</f>
        <v>อป.2/6</v>
      </c>
      <c r="E1932" s="2" t="str">
        <f>IFERROR(__xludf.DUMMYFUNCTION("""COMPUTED_VALUE"""),"หญิง")</f>
        <v>หญิง</v>
      </c>
      <c r="F1932" s="5" t="str">
        <f>IFERROR(__xludf.DUMMYFUNCTION("""COMPUTED_VALUE"""),"https://azizstan.net/student_image/23636.jpg")</f>
        <v>https://azizstan.net/student_image/23636.jpg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>
      <c r="A1933" s="3" t="str">
        <f>IFERROR(__xludf.DUMMYFUNCTION("""COMPUTED_VALUE"""),"23644")</f>
        <v>23644</v>
      </c>
      <c r="B1933" s="3" t="str">
        <f>IFERROR(__xludf.DUMMYFUNCTION("""COMPUTED_VALUE"""),"น.ส.ฟาดียะห์ ปาเนาะ")</f>
        <v>น.ส.ฟาดียะห์ ปาเนาะ</v>
      </c>
      <c r="C1933" s="3" t="str">
        <f>IFERROR(__xludf.DUMMYFUNCTION("""COMPUTED_VALUE"""),"ม.5/6")</f>
        <v>ม.5/6</v>
      </c>
      <c r="D1933" s="3" t="str">
        <f>IFERROR(__xludf.DUMMYFUNCTION("""COMPUTED_VALUE"""),"อป.2/6")</f>
        <v>อป.2/6</v>
      </c>
      <c r="E1933" s="2" t="str">
        <f>IFERROR(__xludf.DUMMYFUNCTION("""COMPUTED_VALUE"""),"หญิง")</f>
        <v>หญิง</v>
      </c>
      <c r="F1933" s="5" t="str">
        <f>IFERROR(__xludf.DUMMYFUNCTION("""COMPUTED_VALUE"""),"https://azizstan.net/student_image/23644.jpg")</f>
        <v>https://azizstan.net/student_image/23644.jpg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>
      <c r="A1934" s="3" t="str">
        <f>IFERROR(__xludf.DUMMYFUNCTION("""COMPUTED_VALUE"""),"23739")</f>
        <v>23739</v>
      </c>
      <c r="B1934" s="3" t="str">
        <f>IFERROR(__xludf.DUMMYFUNCTION("""COMPUTED_VALUE"""),"น.ส.นัซรินทร์ ดาราแม")</f>
        <v>น.ส.นัซรินทร์ ดาราแม</v>
      </c>
      <c r="C1934" s="3" t="str">
        <f>IFERROR(__xludf.DUMMYFUNCTION("""COMPUTED_VALUE"""),"ม.5/6")</f>
        <v>ม.5/6</v>
      </c>
      <c r="D1934" s="3" t="str">
        <f>IFERROR(__xludf.DUMMYFUNCTION("""COMPUTED_VALUE"""),"อป.2/6")</f>
        <v>อป.2/6</v>
      </c>
      <c r="E1934" s="2" t="str">
        <f>IFERROR(__xludf.DUMMYFUNCTION("""COMPUTED_VALUE"""),"หญิง")</f>
        <v>หญิง</v>
      </c>
      <c r="F1934" s="5" t="str">
        <f>IFERROR(__xludf.DUMMYFUNCTION("""COMPUTED_VALUE"""),"https://azizstan.net/student_image/23739.jpg")</f>
        <v>https://azizstan.net/student_image/23739.jpg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>
      <c r="A1935" s="3" t="str">
        <f>IFERROR(__xludf.DUMMYFUNCTION("""COMPUTED_VALUE"""),"23762")</f>
        <v>23762</v>
      </c>
      <c r="B1935" s="3" t="str">
        <f>IFERROR(__xludf.DUMMYFUNCTION("""COMPUTED_VALUE"""),"นายซูไฮมี สาอิ")</f>
        <v>นายซูไฮมี สาอิ</v>
      </c>
      <c r="C1935" s="3" t="str">
        <f>IFERROR(__xludf.DUMMYFUNCTION("""COMPUTED_VALUE"""),"ม.5/6")</f>
        <v>ม.5/6</v>
      </c>
      <c r="D1935" s="3" t="str">
        <f>IFERROR(__xludf.DUMMYFUNCTION("""COMPUTED_VALUE"""),"อป.2/6")</f>
        <v>อป.2/6</v>
      </c>
      <c r="E1935" s="2" t="str">
        <f>IFERROR(__xludf.DUMMYFUNCTION("""COMPUTED_VALUE"""),"ชาย")</f>
        <v>ชาย</v>
      </c>
      <c r="F1935" s="5" t="str">
        <f>IFERROR(__xludf.DUMMYFUNCTION("""COMPUTED_VALUE"""),"https://azizstan.net/student_image/23762.jpg")</f>
        <v>https://azizstan.net/student_image/23762.jpg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>
      <c r="A1936" s="3" t="str">
        <f>IFERROR(__xludf.DUMMYFUNCTION("""COMPUTED_VALUE"""),"23806")</f>
        <v>23806</v>
      </c>
      <c r="B1936" s="3" t="str">
        <f>IFERROR(__xludf.DUMMYFUNCTION("""COMPUTED_VALUE"""),"นายอัมรัน สุหลง")</f>
        <v>นายอัมรัน สุหลง</v>
      </c>
      <c r="C1936" s="3" t="str">
        <f>IFERROR(__xludf.DUMMYFUNCTION("""COMPUTED_VALUE"""),"ม.5/6")</f>
        <v>ม.5/6</v>
      </c>
      <c r="D1936" s="3" t="str">
        <f>IFERROR(__xludf.DUMMYFUNCTION("""COMPUTED_VALUE"""),"อป.2/6")</f>
        <v>อป.2/6</v>
      </c>
      <c r="E1936" s="2" t="str">
        <f>IFERROR(__xludf.DUMMYFUNCTION("""COMPUTED_VALUE"""),"ชาย")</f>
        <v>ชาย</v>
      </c>
      <c r="F1936" s="5" t="str">
        <f>IFERROR(__xludf.DUMMYFUNCTION("""COMPUTED_VALUE"""),"https://azizstan.net/student_image/23806.jpg")</f>
        <v>https://azizstan.net/student_image/23806.jpg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>
      <c r="A1937" s="3" t="str">
        <f>IFERROR(__xludf.DUMMYFUNCTION("""COMPUTED_VALUE"""),"23858")</f>
        <v>23858</v>
      </c>
      <c r="B1937" s="3" t="str">
        <f>IFERROR(__xludf.DUMMYFUNCTION("""COMPUTED_VALUE"""),"นายอิกรอม กาเดร์")</f>
        <v>นายอิกรอม กาเดร์</v>
      </c>
      <c r="C1937" s="3" t="str">
        <f>IFERROR(__xludf.DUMMYFUNCTION("""COMPUTED_VALUE"""),"ม.5/6")</f>
        <v>ม.5/6</v>
      </c>
      <c r="D1937" s="3" t="str">
        <f>IFERROR(__xludf.DUMMYFUNCTION("""COMPUTED_VALUE"""),"อป.2/6")</f>
        <v>อป.2/6</v>
      </c>
      <c r="E1937" s="2" t="str">
        <f>IFERROR(__xludf.DUMMYFUNCTION("""COMPUTED_VALUE"""),"ชาย")</f>
        <v>ชาย</v>
      </c>
      <c r="F1937" s="5" t="str">
        <f>IFERROR(__xludf.DUMMYFUNCTION("""COMPUTED_VALUE"""),"https://azizstan.net/student_image/23858.jpg")</f>
        <v>https://azizstan.net/student_image/23858.jpg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>
      <c r="A1938" s="3" t="str">
        <f>IFERROR(__xludf.DUMMYFUNCTION("""COMPUTED_VALUE"""),"25707")</f>
        <v>25707</v>
      </c>
      <c r="B1938" s="3" t="str">
        <f>IFERROR(__xludf.DUMMYFUNCTION("""COMPUTED_VALUE"""),"นายมูฮัมหมัดอัซมี เจะสะมะ")</f>
        <v>นายมูฮัมหมัดอัซมี เจะสะมะ</v>
      </c>
      <c r="C1938" s="3" t="str">
        <f>IFERROR(__xludf.DUMMYFUNCTION("""COMPUTED_VALUE"""),"ม.5/6")</f>
        <v>ม.5/6</v>
      </c>
      <c r="D1938" s="3" t="str">
        <f>IFERROR(__xludf.DUMMYFUNCTION("""COMPUTED_VALUE"""),"อป.2/6")</f>
        <v>อป.2/6</v>
      </c>
      <c r="E1938" s="2" t="str">
        <f>IFERROR(__xludf.DUMMYFUNCTION("""COMPUTED_VALUE"""),"ชาย")</f>
        <v>ชาย</v>
      </c>
      <c r="F1938" s="5" t="str">
        <f>IFERROR(__xludf.DUMMYFUNCTION("""COMPUTED_VALUE"""),"https://azizstan.net/student_image/25707.jpg")</f>
        <v>https://azizstan.net/student_image/25707.jpg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>
      <c r="A1939" s="3" t="str">
        <f>IFERROR(__xludf.DUMMYFUNCTION("""COMPUTED_VALUE"""),"23368")</f>
        <v>23368</v>
      </c>
      <c r="B1939" s="3" t="str">
        <f>IFERROR(__xludf.DUMMYFUNCTION("""COMPUTED_VALUE"""),"น.ส.นาริสา จารู")</f>
        <v>น.ส.นาริสา จารู</v>
      </c>
      <c r="C1939" s="3" t="str">
        <f>IFERROR(__xludf.DUMMYFUNCTION("""COMPUTED_VALUE"""),"ม.5/7")</f>
        <v>ม.5/7</v>
      </c>
      <c r="D1939" s="3" t="str">
        <f>IFERROR(__xludf.DUMMYFUNCTION("""COMPUTED_VALUE"""),"อป.2/7")</f>
        <v>อป.2/7</v>
      </c>
      <c r="E1939" s="2" t="str">
        <f>IFERROR(__xludf.DUMMYFUNCTION("""COMPUTED_VALUE"""),"หญิง")</f>
        <v>หญิง</v>
      </c>
      <c r="F1939" s="5" t="str">
        <f>IFERROR(__xludf.DUMMYFUNCTION("""COMPUTED_VALUE"""),"https://azizstan.net/student_image/23368.jpg")</f>
        <v>https://azizstan.net/student_image/23368.jpg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>
      <c r="A1940" s="3" t="str">
        <f>IFERROR(__xludf.DUMMYFUNCTION("""COMPUTED_VALUE"""),"23390")</f>
        <v>23390</v>
      </c>
      <c r="B1940" s="3" t="str">
        <f>IFERROR(__xludf.DUMMYFUNCTION("""COMPUTED_VALUE"""),"น.ส.แวนูรไอนี ยาโงะ")</f>
        <v>น.ส.แวนูรไอนี ยาโงะ</v>
      </c>
      <c r="C1940" s="3" t="str">
        <f>IFERROR(__xludf.DUMMYFUNCTION("""COMPUTED_VALUE"""),"ม.5/7")</f>
        <v>ม.5/7</v>
      </c>
      <c r="D1940" s="3" t="str">
        <f>IFERROR(__xludf.DUMMYFUNCTION("""COMPUTED_VALUE"""),"อป.2/7")</f>
        <v>อป.2/7</v>
      </c>
      <c r="E1940" s="2" t="str">
        <f>IFERROR(__xludf.DUMMYFUNCTION("""COMPUTED_VALUE"""),"หญิง")</f>
        <v>หญิง</v>
      </c>
      <c r="F1940" s="5" t="str">
        <f>IFERROR(__xludf.DUMMYFUNCTION("""COMPUTED_VALUE"""),"https://azizstan.net/student_image/23390.jpg")</f>
        <v>https://azizstan.net/student_image/23390.jpg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>
      <c r="A1941" s="3" t="str">
        <f>IFERROR(__xludf.DUMMYFUNCTION("""COMPUTED_VALUE"""),"23400")</f>
        <v>23400</v>
      </c>
      <c r="B1941" s="3" t="str">
        <f>IFERROR(__xludf.DUMMYFUNCTION("""COMPUTED_VALUE"""),"น.ส.มาดีฮะห์ เต๊ะกาแซ")</f>
        <v>น.ส.มาดีฮะห์ เต๊ะกาแซ</v>
      </c>
      <c r="C1941" s="3" t="str">
        <f>IFERROR(__xludf.DUMMYFUNCTION("""COMPUTED_VALUE"""),"ม.5/7")</f>
        <v>ม.5/7</v>
      </c>
      <c r="D1941" s="3" t="str">
        <f>IFERROR(__xludf.DUMMYFUNCTION("""COMPUTED_VALUE"""),"อป.2/7")</f>
        <v>อป.2/7</v>
      </c>
      <c r="E1941" s="2" t="str">
        <f>IFERROR(__xludf.DUMMYFUNCTION("""COMPUTED_VALUE"""),"หญิง")</f>
        <v>หญิง</v>
      </c>
      <c r="F1941" s="5" t="str">
        <f>IFERROR(__xludf.DUMMYFUNCTION("""COMPUTED_VALUE"""),"https://azizstan.net/student_image/23400.jpg")</f>
        <v>https://azizstan.net/student_image/23400.jpg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>
      <c r="A1942" s="3" t="str">
        <f>IFERROR(__xludf.DUMMYFUNCTION("""COMPUTED_VALUE"""),"23407")</f>
        <v>23407</v>
      </c>
      <c r="B1942" s="3" t="str">
        <f>IFERROR(__xludf.DUMMYFUNCTION("""COMPUTED_VALUE"""),"น.ส.ราเนีย สาซู")</f>
        <v>น.ส.ราเนีย สาซู</v>
      </c>
      <c r="C1942" s="3" t="str">
        <f>IFERROR(__xludf.DUMMYFUNCTION("""COMPUTED_VALUE"""),"ม.5/7")</f>
        <v>ม.5/7</v>
      </c>
      <c r="D1942" s="3" t="str">
        <f>IFERROR(__xludf.DUMMYFUNCTION("""COMPUTED_VALUE"""),"อป.2/7")</f>
        <v>อป.2/7</v>
      </c>
      <c r="E1942" s="2" t="str">
        <f>IFERROR(__xludf.DUMMYFUNCTION("""COMPUTED_VALUE"""),"หญิง")</f>
        <v>หญิง</v>
      </c>
      <c r="F1942" s="5" t="str">
        <f>IFERROR(__xludf.DUMMYFUNCTION("""COMPUTED_VALUE"""),"https://azizstan.net/student_image/23407.jpg")</f>
        <v>https://azizstan.net/student_image/23407.jpg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>
      <c r="A1943" s="3" t="str">
        <f>IFERROR(__xludf.DUMMYFUNCTION("""COMPUTED_VALUE"""),"23434")</f>
        <v>23434</v>
      </c>
      <c r="B1943" s="3" t="str">
        <f>IFERROR(__xludf.DUMMYFUNCTION("""COMPUTED_VALUE"""),"น.ส.ซูซาน ดาโหะ")</f>
        <v>น.ส.ซูซาน ดาโหะ</v>
      </c>
      <c r="C1943" s="3" t="str">
        <f>IFERROR(__xludf.DUMMYFUNCTION("""COMPUTED_VALUE"""),"ม.5/7")</f>
        <v>ม.5/7</v>
      </c>
      <c r="D1943" s="3" t="str">
        <f>IFERROR(__xludf.DUMMYFUNCTION("""COMPUTED_VALUE"""),"อป.2/7")</f>
        <v>อป.2/7</v>
      </c>
      <c r="E1943" s="2" t="str">
        <f>IFERROR(__xludf.DUMMYFUNCTION("""COMPUTED_VALUE"""),"หญิง")</f>
        <v>หญิง</v>
      </c>
      <c r="F1943" s="5" t="str">
        <f>IFERROR(__xludf.DUMMYFUNCTION("""COMPUTED_VALUE"""),"https://azizstan.net/student_image/23434.jpg")</f>
        <v>https://azizstan.net/student_image/23434.jpg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>
      <c r="A1944" s="3" t="str">
        <f>IFERROR(__xludf.DUMMYFUNCTION("""COMPUTED_VALUE"""),"23439")</f>
        <v>23439</v>
      </c>
      <c r="B1944" s="3" t="str">
        <f>IFERROR(__xludf.DUMMYFUNCTION("""COMPUTED_VALUE"""),"น.ส.นูรฮาฟีซา แวนาแว")</f>
        <v>น.ส.นูรฮาฟีซา แวนาแว</v>
      </c>
      <c r="C1944" s="3" t="str">
        <f>IFERROR(__xludf.DUMMYFUNCTION("""COMPUTED_VALUE"""),"ม.5/7")</f>
        <v>ม.5/7</v>
      </c>
      <c r="D1944" s="3" t="str">
        <f>IFERROR(__xludf.DUMMYFUNCTION("""COMPUTED_VALUE"""),"อป.2/7")</f>
        <v>อป.2/7</v>
      </c>
      <c r="E1944" s="2" t="str">
        <f>IFERROR(__xludf.DUMMYFUNCTION("""COMPUTED_VALUE"""),"หญิง")</f>
        <v>หญิง</v>
      </c>
      <c r="F1944" s="5" t="str">
        <f>IFERROR(__xludf.DUMMYFUNCTION("""COMPUTED_VALUE"""),"https://azizstan.net/student_image/23439.jpg")</f>
        <v>https://azizstan.net/student_image/23439.jpg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>
      <c r="A1945" s="3" t="str">
        <f>IFERROR(__xludf.DUMMYFUNCTION("""COMPUTED_VALUE"""),"23446")</f>
        <v>23446</v>
      </c>
      <c r="B1945" s="3" t="str">
        <f>IFERROR(__xludf.DUMMYFUNCTION("""COMPUTED_VALUE"""),"น.ส.นุชวรา สามะ")</f>
        <v>น.ส.นุชวรา สามะ</v>
      </c>
      <c r="C1945" s="3" t="str">
        <f>IFERROR(__xludf.DUMMYFUNCTION("""COMPUTED_VALUE"""),"ม.5/7")</f>
        <v>ม.5/7</v>
      </c>
      <c r="D1945" s="3" t="str">
        <f>IFERROR(__xludf.DUMMYFUNCTION("""COMPUTED_VALUE"""),"อป.2/7")</f>
        <v>อป.2/7</v>
      </c>
      <c r="E1945" s="2" t="str">
        <f>IFERROR(__xludf.DUMMYFUNCTION("""COMPUTED_VALUE"""),"หญิง")</f>
        <v>หญิง</v>
      </c>
      <c r="F1945" s="5" t="str">
        <f>IFERROR(__xludf.DUMMYFUNCTION("""COMPUTED_VALUE"""),"https://azizstan.net/student_image/23446.jpg")</f>
        <v>https://azizstan.net/student_image/23446.jpg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>
      <c r="A1946" s="3" t="str">
        <f>IFERROR(__xludf.DUMMYFUNCTION("""COMPUTED_VALUE"""),"23448")</f>
        <v>23448</v>
      </c>
      <c r="B1946" s="3" t="str">
        <f>IFERROR(__xludf.DUMMYFUNCTION("""COMPUTED_VALUE"""),"น.ส.อิฟฟานี ลือแบเต๊ะ")</f>
        <v>น.ส.อิฟฟานี ลือแบเต๊ะ</v>
      </c>
      <c r="C1946" s="3" t="str">
        <f>IFERROR(__xludf.DUMMYFUNCTION("""COMPUTED_VALUE"""),"ม.5/7")</f>
        <v>ม.5/7</v>
      </c>
      <c r="D1946" s="3" t="str">
        <f>IFERROR(__xludf.DUMMYFUNCTION("""COMPUTED_VALUE"""),"อป.2/7")</f>
        <v>อป.2/7</v>
      </c>
      <c r="E1946" s="2" t="str">
        <f>IFERROR(__xludf.DUMMYFUNCTION("""COMPUTED_VALUE"""),"หญิง")</f>
        <v>หญิง</v>
      </c>
      <c r="F1946" s="5" t="str">
        <f>IFERROR(__xludf.DUMMYFUNCTION("""COMPUTED_VALUE"""),"https://azizstan.net/student_image/23448.jpg")</f>
        <v>https://azizstan.net/student_image/23448.jpg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>
      <c r="A1947" s="3" t="str">
        <f>IFERROR(__xludf.DUMMYFUNCTION("""COMPUTED_VALUE"""),"23455")</f>
        <v>23455</v>
      </c>
      <c r="B1947" s="3" t="str">
        <f>IFERROR(__xludf.DUMMYFUNCTION("""COMPUTED_VALUE"""),"น.ส.อัลวานี โต๊ะแต")</f>
        <v>น.ส.อัลวานี โต๊ะแต</v>
      </c>
      <c r="C1947" s="3" t="str">
        <f>IFERROR(__xludf.DUMMYFUNCTION("""COMPUTED_VALUE"""),"ม.5/7")</f>
        <v>ม.5/7</v>
      </c>
      <c r="D1947" s="3" t="str">
        <f>IFERROR(__xludf.DUMMYFUNCTION("""COMPUTED_VALUE"""),"อป.2/7")</f>
        <v>อป.2/7</v>
      </c>
      <c r="E1947" s="2" t="str">
        <f>IFERROR(__xludf.DUMMYFUNCTION("""COMPUTED_VALUE"""),"หญิง")</f>
        <v>หญิง</v>
      </c>
      <c r="F1947" s="5" t="str">
        <f>IFERROR(__xludf.DUMMYFUNCTION("""COMPUTED_VALUE"""),"https://azizstan.net/student_image/23455.jpg")</f>
        <v>https://azizstan.net/student_image/23455.jpg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>
      <c r="A1948" s="3" t="str">
        <f>IFERROR(__xludf.DUMMYFUNCTION("""COMPUTED_VALUE"""),"23478")</f>
        <v>23478</v>
      </c>
      <c r="B1948" s="3" t="str">
        <f>IFERROR(__xludf.DUMMYFUNCTION("""COMPUTED_VALUE"""),"นายลุฏฟี สาตำ")</f>
        <v>นายลุฏฟี สาตำ</v>
      </c>
      <c r="C1948" s="3" t="str">
        <f>IFERROR(__xludf.DUMMYFUNCTION("""COMPUTED_VALUE"""),"ม.5/7")</f>
        <v>ม.5/7</v>
      </c>
      <c r="D1948" s="3" t="str">
        <f>IFERROR(__xludf.DUMMYFUNCTION("""COMPUTED_VALUE"""),"อป.2/7")</f>
        <v>อป.2/7</v>
      </c>
      <c r="E1948" s="2" t="str">
        <f>IFERROR(__xludf.DUMMYFUNCTION("""COMPUTED_VALUE"""),"ชาย")</f>
        <v>ชาย</v>
      </c>
      <c r="F1948" s="5" t="str">
        <f>IFERROR(__xludf.DUMMYFUNCTION("""COMPUTED_VALUE"""),"https://azizstan.net/student_image/23478.jpg")</f>
        <v>https://azizstan.net/student_image/23478.jpg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>
      <c r="A1949" s="3" t="str">
        <f>IFERROR(__xludf.DUMMYFUNCTION("""COMPUTED_VALUE"""),"23505")</f>
        <v>23505</v>
      </c>
      <c r="B1949" s="3" t="str">
        <f>IFERROR(__xludf.DUMMYFUNCTION("""COMPUTED_VALUE"""),"นายยูฟ่า สาเมาะ")</f>
        <v>นายยูฟ่า สาเมาะ</v>
      </c>
      <c r="C1949" s="3" t="str">
        <f>IFERROR(__xludf.DUMMYFUNCTION("""COMPUTED_VALUE"""),"ม.5/7")</f>
        <v>ม.5/7</v>
      </c>
      <c r="D1949" s="3" t="str">
        <f>IFERROR(__xludf.DUMMYFUNCTION("""COMPUTED_VALUE"""),"อป.2/7")</f>
        <v>อป.2/7</v>
      </c>
      <c r="E1949" s="2" t="str">
        <f>IFERROR(__xludf.DUMMYFUNCTION("""COMPUTED_VALUE"""),"ชาย")</f>
        <v>ชาย</v>
      </c>
      <c r="F1949" s="5" t="str">
        <f>IFERROR(__xludf.DUMMYFUNCTION("""COMPUTED_VALUE"""),"https://azizstan.net/student_image/23505.jpg")</f>
        <v>https://azizstan.net/student_image/23505.jpg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>
      <c r="A1950" s="3" t="str">
        <f>IFERROR(__xludf.DUMMYFUNCTION("""COMPUTED_VALUE"""),"23506")</f>
        <v>23506</v>
      </c>
      <c r="B1950" s="3" t="str">
        <f>IFERROR(__xludf.DUMMYFUNCTION("""COMPUTED_VALUE"""),"น.ส.นูรอามาล ซู")</f>
        <v>น.ส.นูรอามาล ซู</v>
      </c>
      <c r="C1950" s="3" t="str">
        <f>IFERROR(__xludf.DUMMYFUNCTION("""COMPUTED_VALUE"""),"ม.5/7")</f>
        <v>ม.5/7</v>
      </c>
      <c r="D1950" s="3" t="str">
        <f>IFERROR(__xludf.DUMMYFUNCTION("""COMPUTED_VALUE"""),"อป.2/7")</f>
        <v>อป.2/7</v>
      </c>
      <c r="E1950" s="2" t="str">
        <f>IFERROR(__xludf.DUMMYFUNCTION("""COMPUTED_VALUE"""),"หญิง")</f>
        <v>หญิง</v>
      </c>
      <c r="F1950" s="5" t="str">
        <f>IFERROR(__xludf.DUMMYFUNCTION("""COMPUTED_VALUE"""),"https://azizstan.net/student_image/23506.jpg")</f>
        <v>https://azizstan.net/student_image/23506.jpg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>
      <c r="A1951" s="3" t="str">
        <f>IFERROR(__xludf.DUMMYFUNCTION("""COMPUTED_VALUE"""),"23524")</f>
        <v>23524</v>
      </c>
      <c r="B1951" s="3" t="str">
        <f>IFERROR(__xludf.DUMMYFUNCTION("""COMPUTED_VALUE"""),"น.ส.ฟานิต้าร์ การี")</f>
        <v>น.ส.ฟานิต้าร์ การี</v>
      </c>
      <c r="C1951" s="3" t="str">
        <f>IFERROR(__xludf.DUMMYFUNCTION("""COMPUTED_VALUE"""),"ม.5/7")</f>
        <v>ม.5/7</v>
      </c>
      <c r="D1951" s="3" t="str">
        <f>IFERROR(__xludf.DUMMYFUNCTION("""COMPUTED_VALUE"""),"อป.2/7")</f>
        <v>อป.2/7</v>
      </c>
      <c r="E1951" s="2" t="str">
        <f>IFERROR(__xludf.DUMMYFUNCTION("""COMPUTED_VALUE"""),"หญิง")</f>
        <v>หญิง</v>
      </c>
      <c r="F1951" s="5" t="str">
        <f>IFERROR(__xludf.DUMMYFUNCTION("""COMPUTED_VALUE"""),"https://azizstan.net/student_image/23524.jpg")</f>
        <v>https://azizstan.net/student_image/23524.jpg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>
      <c r="A1952" s="3" t="str">
        <f>IFERROR(__xludf.DUMMYFUNCTION("""COMPUTED_VALUE"""),"23549")</f>
        <v>23549</v>
      </c>
      <c r="B1952" s="3" t="str">
        <f>IFERROR(__xludf.DUMMYFUNCTION("""COMPUTED_VALUE"""),"น.ส.นูรฮัดฟีน่า หัดกาเจ")</f>
        <v>น.ส.นูรฮัดฟีน่า หัดกาเจ</v>
      </c>
      <c r="C1952" s="3" t="str">
        <f>IFERROR(__xludf.DUMMYFUNCTION("""COMPUTED_VALUE"""),"ม.5/7")</f>
        <v>ม.5/7</v>
      </c>
      <c r="D1952" s="3" t="str">
        <f>IFERROR(__xludf.DUMMYFUNCTION("""COMPUTED_VALUE"""),"อป.2/7")</f>
        <v>อป.2/7</v>
      </c>
      <c r="E1952" s="2" t="str">
        <f>IFERROR(__xludf.DUMMYFUNCTION("""COMPUTED_VALUE"""),"หญิง")</f>
        <v>หญิง</v>
      </c>
      <c r="F1952" s="5" t="str">
        <f>IFERROR(__xludf.DUMMYFUNCTION("""COMPUTED_VALUE"""),"https://azizstan.net/student_image/23549.jpg")</f>
        <v>https://azizstan.net/student_image/23549.jpg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>
      <c r="A1953" s="3" t="str">
        <f>IFERROR(__xludf.DUMMYFUNCTION("""COMPUTED_VALUE"""),"23554")</f>
        <v>23554</v>
      </c>
      <c r="B1953" s="3" t="str">
        <f>IFERROR(__xludf.DUMMYFUNCTION("""COMPUTED_VALUE"""),"นายนาอิฟ สาฮะ")</f>
        <v>นายนาอิฟ สาฮะ</v>
      </c>
      <c r="C1953" s="3" t="str">
        <f>IFERROR(__xludf.DUMMYFUNCTION("""COMPUTED_VALUE"""),"ม.5/7")</f>
        <v>ม.5/7</v>
      </c>
      <c r="D1953" s="3" t="str">
        <f>IFERROR(__xludf.DUMMYFUNCTION("""COMPUTED_VALUE"""),"อป.2/7")</f>
        <v>อป.2/7</v>
      </c>
      <c r="E1953" s="2" t="str">
        <f>IFERROR(__xludf.DUMMYFUNCTION("""COMPUTED_VALUE"""),"ชาย")</f>
        <v>ชาย</v>
      </c>
      <c r="F1953" s="5" t="str">
        <f>IFERROR(__xludf.DUMMYFUNCTION("""COMPUTED_VALUE"""),"https://azizstan.net/student_image/23554.jpg")</f>
        <v>https://azizstan.net/student_image/23554.jpg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>
      <c r="A1954" s="3" t="str">
        <f>IFERROR(__xludf.DUMMYFUNCTION("""COMPUTED_VALUE"""),"23564")</f>
        <v>23564</v>
      </c>
      <c r="B1954" s="3" t="str">
        <f>IFERROR(__xludf.DUMMYFUNCTION("""COMPUTED_VALUE"""),"นายมูฮัมหมัดซัยฟุดดีน บาโลย")</f>
        <v>นายมูฮัมหมัดซัยฟุดดีน บาโลย</v>
      </c>
      <c r="C1954" s="3" t="str">
        <f>IFERROR(__xludf.DUMMYFUNCTION("""COMPUTED_VALUE"""),"ม.5/7")</f>
        <v>ม.5/7</v>
      </c>
      <c r="D1954" s="3" t="str">
        <f>IFERROR(__xludf.DUMMYFUNCTION("""COMPUTED_VALUE"""),"อป.2/7")</f>
        <v>อป.2/7</v>
      </c>
      <c r="E1954" s="2" t="str">
        <f>IFERROR(__xludf.DUMMYFUNCTION("""COMPUTED_VALUE"""),"ชาย")</f>
        <v>ชาย</v>
      </c>
      <c r="F1954" s="5" t="str">
        <f>IFERROR(__xludf.DUMMYFUNCTION("""COMPUTED_VALUE"""),"https://azizstan.net/student_image/23564.jpg")</f>
        <v>https://azizstan.net/student_image/23564.jpg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>
      <c r="A1955" s="3" t="str">
        <f>IFERROR(__xludf.DUMMYFUNCTION("""COMPUTED_VALUE"""),"23601")</f>
        <v>23601</v>
      </c>
      <c r="B1955" s="3" t="str">
        <f>IFERROR(__xludf.DUMMYFUNCTION("""COMPUTED_VALUE"""),"น.ส.ตัสนีม โตะมิง")</f>
        <v>น.ส.ตัสนีม โตะมิง</v>
      </c>
      <c r="C1955" s="3" t="str">
        <f>IFERROR(__xludf.DUMMYFUNCTION("""COMPUTED_VALUE"""),"ม.5/7")</f>
        <v>ม.5/7</v>
      </c>
      <c r="D1955" s="3" t="str">
        <f>IFERROR(__xludf.DUMMYFUNCTION("""COMPUTED_VALUE"""),"อป.2/7")</f>
        <v>อป.2/7</v>
      </c>
      <c r="E1955" s="2" t="str">
        <f>IFERROR(__xludf.DUMMYFUNCTION("""COMPUTED_VALUE"""),"หญิง")</f>
        <v>หญิง</v>
      </c>
      <c r="F1955" s="5" t="str">
        <f>IFERROR(__xludf.DUMMYFUNCTION("""COMPUTED_VALUE"""),"https://azizstan.net/student_image/23601.jpg")</f>
        <v>https://azizstan.net/student_image/23601.jpg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>
      <c r="A1956" s="3" t="str">
        <f>IFERROR(__xludf.DUMMYFUNCTION("""COMPUTED_VALUE"""),"23605")</f>
        <v>23605</v>
      </c>
      <c r="B1956" s="3" t="str">
        <f>IFERROR(__xludf.DUMMYFUNCTION("""COMPUTED_VALUE"""),"น.ส.มัสสุหรี บุญฤทธิ์")</f>
        <v>น.ส.มัสสุหรี บุญฤทธิ์</v>
      </c>
      <c r="C1956" s="3" t="str">
        <f>IFERROR(__xludf.DUMMYFUNCTION("""COMPUTED_VALUE"""),"ม.5/7")</f>
        <v>ม.5/7</v>
      </c>
      <c r="D1956" s="3" t="str">
        <f>IFERROR(__xludf.DUMMYFUNCTION("""COMPUTED_VALUE"""),"อป.2/7")</f>
        <v>อป.2/7</v>
      </c>
      <c r="E1956" s="2" t="str">
        <f>IFERROR(__xludf.DUMMYFUNCTION("""COMPUTED_VALUE"""),"หญิง")</f>
        <v>หญิง</v>
      </c>
      <c r="F1956" s="5" t="str">
        <f>IFERROR(__xludf.DUMMYFUNCTION("""COMPUTED_VALUE"""),"https://azizstan.net/student_image/23605.jpg")</f>
        <v>https://azizstan.net/student_image/23605.jpg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>
      <c r="A1957" s="3" t="str">
        <f>IFERROR(__xludf.DUMMYFUNCTION("""COMPUTED_VALUE"""),"23611")</f>
        <v>23611</v>
      </c>
      <c r="B1957" s="3" t="str">
        <f>IFERROR(__xludf.DUMMYFUNCTION("""COMPUTED_VALUE"""),"น.ส.บัลกีส บากา")</f>
        <v>น.ส.บัลกีส บากา</v>
      </c>
      <c r="C1957" s="3" t="str">
        <f>IFERROR(__xludf.DUMMYFUNCTION("""COMPUTED_VALUE"""),"ม.5/7")</f>
        <v>ม.5/7</v>
      </c>
      <c r="D1957" s="3" t="str">
        <f>IFERROR(__xludf.DUMMYFUNCTION("""COMPUTED_VALUE"""),"อป.2/7")</f>
        <v>อป.2/7</v>
      </c>
      <c r="E1957" s="2" t="str">
        <f>IFERROR(__xludf.DUMMYFUNCTION("""COMPUTED_VALUE"""),"หญิง")</f>
        <v>หญิง</v>
      </c>
      <c r="F1957" s="5" t="str">
        <f>IFERROR(__xludf.DUMMYFUNCTION("""COMPUTED_VALUE"""),"https://azizstan.net/student_image/23611.jpg")</f>
        <v>https://azizstan.net/student_image/23611.jpg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>
      <c r="A1958" s="3" t="str">
        <f>IFERROR(__xludf.DUMMYFUNCTION("""COMPUTED_VALUE"""),"23681")</f>
        <v>23681</v>
      </c>
      <c r="B1958" s="3" t="str">
        <f>IFERROR(__xludf.DUMMYFUNCTION("""COMPUTED_VALUE"""),"น.ส.นูรคานซาร์ อะแว")</f>
        <v>น.ส.นูรคานซาร์ อะแว</v>
      </c>
      <c r="C1958" s="3" t="str">
        <f>IFERROR(__xludf.DUMMYFUNCTION("""COMPUTED_VALUE"""),"ม.5/7")</f>
        <v>ม.5/7</v>
      </c>
      <c r="D1958" s="3" t="str">
        <f>IFERROR(__xludf.DUMMYFUNCTION("""COMPUTED_VALUE"""),"อป.2/7")</f>
        <v>อป.2/7</v>
      </c>
      <c r="E1958" s="2" t="str">
        <f>IFERROR(__xludf.DUMMYFUNCTION("""COMPUTED_VALUE"""),"หญิง")</f>
        <v>หญิง</v>
      </c>
      <c r="F1958" s="5" t="str">
        <f>IFERROR(__xludf.DUMMYFUNCTION("""COMPUTED_VALUE"""),"https://azizstan.net/student_image/23681.jpg")</f>
        <v>https://azizstan.net/student_image/23681.jpg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>
      <c r="A1959" s="3" t="str">
        <f>IFERROR(__xludf.DUMMYFUNCTION("""COMPUTED_VALUE"""),"23707")</f>
        <v>23707</v>
      </c>
      <c r="B1959" s="3" t="str">
        <f>IFERROR(__xludf.DUMMYFUNCTION("""COMPUTED_VALUE"""),"น.ส.นัสรินทร์ เจะดือราแม")</f>
        <v>น.ส.นัสรินทร์ เจะดือราแม</v>
      </c>
      <c r="C1959" s="3" t="str">
        <f>IFERROR(__xludf.DUMMYFUNCTION("""COMPUTED_VALUE"""),"ม.5/7")</f>
        <v>ม.5/7</v>
      </c>
      <c r="D1959" s="3" t="str">
        <f>IFERROR(__xludf.DUMMYFUNCTION("""COMPUTED_VALUE"""),"อป.2/7")</f>
        <v>อป.2/7</v>
      </c>
      <c r="E1959" s="2" t="str">
        <f>IFERROR(__xludf.DUMMYFUNCTION("""COMPUTED_VALUE"""),"หญิง")</f>
        <v>หญิง</v>
      </c>
      <c r="F1959" s="5" t="str">
        <f>IFERROR(__xludf.DUMMYFUNCTION("""COMPUTED_VALUE"""),"https://azizstan.net/student_image/23707.jpg")</f>
        <v>https://azizstan.net/student_image/23707.jpg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>
      <c r="A1960" s="3" t="str">
        <f>IFERROR(__xludf.DUMMYFUNCTION("""COMPUTED_VALUE"""),"23759")</f>
        <v>23759</v>
      </c>
      <c r="B1960" s="3" t="str">
        <f>IFERROR(__xludf.DUMMYFUNCTION("""COMPUTED_VALUE"""),"นายแวฮาซิร หะยีสะอิ")</f>
        <v>นายแวฮาซิร หะยีสะอิ</v>
      </c>
      <c r="C1960" s="3" t="str">
        <f>IFERROR(__xludf.DUMMYFUNCTION("""COMPUTED_VALUE"""),"ม.5/7")</f>
        <v>ม.5/7</v>
      </c>
      <c r="D1960" s="3" t="str">
        <f>IFERROR(__xludf.DUMMYFUNCTION("""COMPUTED_VALUE"""),"อป.2/7")</f>
        <v>อป.2/7</v>
      </c>
      <c r="E1960" s="2" t="str">
        <f>IFERROR(__xludf.DUMMYFUNCTION("""COMPUTED_VALUE"""),"ชาย")</f>
        <v>ชาย</v>
      </c>
      <c r="F1960" s="5" t="str">
        <f>IFERROR(__xludf.DUMMYFUNCTION("""COMPUTED_VALUE"""),"https://azizstan.net/student_image/23759.jpg")</f>
        <v>https://azizstan.net/student_image/23759.jpg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>
      <c r="A1961" s="3" t="str">
        <f>IFERROR(__xludf.DUMMYFUNCTION("""COMPUTED_VALUE"""),"23867")</f>
        <v>23867</v>
      </c>
      <c r="B1961" s="3" t="str">
        <f>IFERROR(__xludf.DUMMYFUNCTION("""COMPUTED_VALUE"""),"น.ส.อิฮซาน แยนา")</f>
        <v>น.ส.อิฮซาน แยนา</v>
      </c>
      <c r="C1961" s="3" t="str">
        <f>IFERROR(__xludf.DUMMYFUNCTION("""COMPUTED_VALUE"""),"ม.5/7")</f>
        <v>ม.5/7</v>
      </c>
      <c r="D1961" s="3" t="str">
        <f>IFERROR(__xludf.DUMMYFUNCTION("""COMPUTED_VALUE"""),"อป.2/7")</f>
        <v>อป.2/7</v>
      </c>
      <c r="E1961" s="2" t="str">
        <f>IFERROR(__xludf.DUMMYFUNCTION("""COMPUTED_VALUE"""),"หญิง")</f>
        <v>หญิง</v>
      </c>
      <c r="F1961" s="5" t="str">
        <f>IFERROR(__xludf.DUMMYFUNCTION("""COMPUTED_VALUE"""),"https://azizstan.net/student_image/23867.jpg")</f>
        <v>https://azizstan.net/student_image/23867.jpg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>
      <c r="A1962" s="3" t="str">
        <f>IFERROR(__xludf.DUMMYFUNCTION("""COMPUTED_VALUE"""),"23937")</f>
        <v>23937</v>
      </c>
      <c r="B1962" s="3" t="str">
        <f>IFERROR(__xludf.DUMMYFUNCTION("""COMPUTED_VALUE"""),"น.ส.มาซายา กาซอ")</f>
        <v>น.ส.มาซายา กาซอ</v>
      </c>
      <c r="C1962" s="3" t="str">
        <f>IFERROR(__xludf.DUMMYFUNCTION("""COMPUTED_VALUE"""),"ม.5/7")</f>
        <v>ม.5/7</v>
      </c>
      <c r="D1962" s="3" t="str">
        <f>IFERROR(__xludf.DUMMYFUNCTION("""COMPUTED_VALUE"""),"อป.2/7")</f>
        <v>อป.2/7</v>
      </c>
      <c r="E1962" s="2" t="str">
        <f>IFERROR(__xludf.DUMMYFUNCTION("""COMPUTED_VALUE"""),"หญิง")</f>
        <v>หญิง</v>
      </c>
      <c r="F1962" s="5" t="str">
        <f>IFERROR(__xludf.DUMMYFUNCTION("""COMPUTED_VALUE"""),"https://azizstan.net/student_image/23937.jpg")</f>
        <v>https://azizstan.net/student_image/23937.jpg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>
      <c r="A1963" s="3" t="str">
        <f>IFERROR(__xludf.DUMMYFUNCTION("""COMPUTED_VALUE"""),"24528")</f>
        <v>24528</v>
      </c>
      <c r="B1963" s="3" t="str">
        <f>IFERROR(__xludf.DUMMYFUNCTION("""COMPUTED_VALUE"""),"นายอิมรอน แวฮามะ")</f>
        <v>นายอิมรอน แวฮามะ</v>
      </c>
      <c r="C1963" s="3" t="str">
        <f>IFERROR(__xludf.DUMMYFUNCTION("""COMPUTED_VALUE"""),"ม.5/7")</f>
        <v>ม.5/7</v>
      </c>
      <c r="D1963" s="3" t="str">
        <f>IFERROR(__xludf.DUMMYFUNCTION("""COMPUTED_VALUE"""),"อป.2/7")</f>
        <v>อป.2/7</v>
      </c>
      <c r="E1963" s="2" t="str">
        <f>IFERROR(__xludf.DUMMYFUNCTION("""COMPUTED_VALUE"""),"ชาย")</f>
        <v>ชาย</v>
      </c>
      <c r="F1963" s="5" t="str">
        <f>IFERROR(__xludf.DUMMYFUNCTION("""COMPUTED_VALUE"""),"https://azizstan.net/student_image/24528.jpg")</f>
        <v>https://azizstan.net/student_image/24528.jpg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>
      <c r="A1964" s="3" t="str">
        <f>IFERROR(__xludf.DUMMYFUNCTION("""COMPUTED_VALUE"""),"24756")</f>
        <v>24756</v>
      </c>
      <c r="B1964" s="3" t="str">
        <f>IFERROR(__xludf.DUMMYFUNCTION("""COMPUTED_VALUE"""),"น.ส.นูรอีมาน มะหะมะ")</f>
        <v>น.ส.นูรอีมาน มะหะมะ</v>
      </c>
      <c r="C1964" s="3" t="str">
        <f>IFERROR(__xludf.DUMMYFUNCTION("""COMPUTED_VALUE"""),"ม.5/7")</f>
        <v>ม.5/7</v>
      </c>
      <c r="D1964" s="3" t="str">
        <f>IFERROR(__xludf.DUMMYFUNCTION("""COMPUTED_VALUE"""),"อป.2/7")</f>
        <v>อป.2/7</v>
      </c>
      <c r="E1964" s="2" t="str">
        <f>IFERROR(__xludf.DUMMYFUNCTION("""COMPUTED_VALUE"""),"หญิง")</f>
        <v>หญิง</v>
      </c>
      <c r="F1964" s="5" t="str">
        <f>IFERROR(__xludf.DUMMYFUNCTION("""COMPUTED_VALUE"""),"https://azizstan.net/student_image/24756.jpg")</f>
        <v>https://azizstan.net/student_image/24756.jpg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>
      <c r="A1965" s="3" t="str">
        <f>IFERROR(__xludf.DUMMYFUNCTION("""COMPUTED_VALUE"""),"25462")</f>
        <v>25462</v>
      </c>
      <c r="B1965" s="3" t="str">
        <f>IFERROR(__xludf.DUMMYFUNCTION("""COMPUTED_VALUE"""),"นายอิลฮาม ดอเลาะ")</f>
        <v>นายอิลฮาม ดอเลาะ</v>
      </c>
      <c r="C1965" s="3" t="str">
        <f>IFERROR(__xludf.DUMMYFUNCTION("""COMPUTED_VALUE"""),"ม.5/7")</f>
        <v>ม.5/7</v>
      </c>
      <c r="D1965" s="3" t="str">
        <f>IFERROR(__xludf.DUMMYFUNCTION("""COMPUTED_VALUE"""),"อป.2/7")</f>
        <v>อป.2/7</v>
      </c>
      <c r="E1965" s="2" t="str">
        <f>IFERROR(__xludf.DUMMYFUNCTION("""COMPUTED_VALUE"""),"ชาย")</f>
        <v>ชาย</v>
      </c>
      <c r="F1965" s="5" t="str">
        <f>IFERROR(__xludf.DUMMYFUNCTION("""COMPUTED_VALUE"""),"https://azizstan.net/student_image/25462.jpg")</f>
        <v>https://azizstan.net/student_image/25462.jpg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>
      <c r="A1966" s="3" t="str">
        <f>IFERROR(__xludf.DUMMYFUNCTION("""COMPUTED_VALUE"""),"25722")</f>
        <v>25722</v>
      </c>
      <c r="B1966" s="3" t="str">
        <f>IFERROR(__xludf.DUMMYFUNCTION("""COMPUTED_VALUE"""),"น.ส.นุอัยม์ มามะ")</f>
        <v>น.ส.นุอัยม์ มามะ</v>
      </c>
      <c r="C1966" s="3" t="str">
        <f>IFERROR(__xludf.DUMMYFUNCTION("""COMPUTED_VALUE"""),"ม.5/7")</f>
        <v>ม.5/7</v>
      </c>
      <c r="D1966" s="3" t="str">
        <f>IFERROR(__xludf.DUMMYFUNCTION("""COMPUTED_VALUE"""),"อป.2/7")</f>
        <v>อป.2/7</v>
      </c>
      <c r="E1966" s="2" t="str">
        <f>IFERROR(__xludf.DUMMYFUNCTION("""COMPUTED_VALUE"""),"หญิง")</f>
        <v>หญิง</v>
      </c>
      <c r="F1966" s="5" t="str">
        <f>IFERROR(__xludf.DUMMYFUNCTION("""COMPUTED_VALUE"""),"https://azizstan.net/student_image/25722.jpg")</f>
        <v>https://azizstan.net/student_image/25722.jpg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>
      <c r="A1967" s="3" t="str">
        <f>IFERROR(__xludf.DUMMYFUNCTION("""COMPUTED_VALUE"""),"25900")</f>
        <v>25900</v>
      </c>
      <c r="B1967" s="3" t="str">
        <f>IFERROR(__xludf.DUMMYFUNCTION("""COMPUTED_VALUE"""),"น.ส.ฮัลวา พายุ")</f>
        <v>น.ส.ฮัลวา พายุ</v>
      </c>
      <c r="C1967" s="3" t="str">
        <f>IFERROR(__xludf.DUMMYFUNCTION("""COMPUTED_VALUE"""),"ม.5/7")</f>
        <v>ม.5/7</v>
      </c>
      <c r="D1967" s="3" t="str">
        <f>IFERROR(__xludf.DUMMYFUNCTION("""COMPUTED_VALUE"""),"อป.2/7")</f>
        <v>อป.2/7</v>
      </c>
      <c r="E1967" s="2" t="str">
        <f>IFERROR(__xludf.DUMMYFUNCTION("""COMPUTED_VALUE"""),"หญิง")</f>
        <v>หญิง</v>
      </c>
      <c r="F1967" s="5" t="str">
        <f>IFERROR(__xludf.DUMMYFUNCTION("""COMPUTED_VALUE"""),"https://azizstan.net/student_image/25900.jpg")</f>
        <v>https://azizstan.net/student_image/25900.jpg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>
      <c r="A1968" s="3" t="str">
        <f>IFERROR(__xludf.DUMMYFUNCTION("""COMPUTED_VALUE"""),"25937")</f>
        <v>25937</v>
      </c>
      <c r="B1968" s="3" t="str">
        <f>IFERROR(__xludf.DUMMYFUNCTION("""COMPUTED_VALUE"""),"นายฮาฟิส บ้านนบ")</f>
        <v>นายฮาฟิส บ้านนบ</v>
      </c>
      <c r="C1968" s="3" t="str">
        <f>IFERROR(__xludf.DUMMYFUNCTION("""COMPUTED_VALUE"""),"ม.5/7")</f>
        <v>ม.5/7</v>
      </c>
      <c r="D1968" s="3" t="str">
        <f>IFERROR(__xludf.DUMMYFUNCTION("""COMPUTED_VALUE"""),"อป.2/7")</f>
        <v>อป.2/7</v>
      </c>
      <c r="E1968" s="2" t="str">
        <f>IFERROR(__xludf.DUMMYFUNCTION("""COMPUTED_VALUE"""),"ชาย")</f>
        <v>ชาย</v>
      </c>
      <c r="F1968" s="5" t="str">
        <f>IFERROR(__xludf.DUMMYFUNCTION("""COMPUTED_VALUE"""),"https://azizstan.net/student_image/25937.jpg")</f>
        <v>https://azizstan.net/student_image/25937.jpg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>
      <c r="A1969" s="3" t="str">
        <f>IFERROR(__xludf.DUMMYFUNCTION("""COMPUTED_VALUE"""),"26028")</f>
        <v>26028</v>
      </c>
      <c r="B1969" s="3" t="str">
        <f>IFERROR(__xludf.DUMMYFUNCTION("""COMPUTED_VALUE"""),"นายอามีน หายีดือแน")</f>
        <v>นายอามีน หายีดือแน</v>
      </c>
      <c r="C1969" s="3" t="str">
        <f>IFERROR(__xludf.DUMMYFUNCTION("""COMPUTED_VALUE"""),"ม.5/7")</f>
        <v>ม.5/7</v>
      </c>
      <c r="D1969" s="3" t="str">
        <f>IFERROR(__xludf.DUMMYFUNCTION("""COMPUTED_VALUE"""),"อป.2/7")</f>
        <v>อป.2/7</v>
      </c>
      <c r="E1969" s="2" t="str">
        <f>IFERROR(__xludf.DUMMYFUNCTION("""COMPUTED_VALUE"""),"ชาย")</f>
        <v>ชาย</v>
      </c>
      <c r="F1969" s="5" t="str">
        <f>IFERROR(__xludf.DUMMYFUNCTION("""COMPUTED_VALUE"""),"https://azizstan.net/student_image/26028.jpg")</f>
        <v>https://azizstan.net/student_image/26028.jpg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>
      <c r="A1970" s="3" t="str">
        <f>IFERROR(__xludf.DUMMYFUNCTION("""COMPUTED_VALUE"""),"26373")</f>
        <v>26373</v>
      </c>
      <c r="B1970" s="3" t="str">
        <f>IFERROR(__xludf.DUMMYFUNCTION("""COMPUTED_VALUE"""),"น.ส.บิลกีส หมัดสี")</f>
        <v>น.ส.บิลกีส หมัดสี</v>
      </c>
      <c r="C1970" s="3" t="str">
        <f>IFERROR(__xludf.DUMMYFUNCTION("""COMPUTED_VALUE"""),"ม.5/7")</f>
        <v>ม.5/7</v>
      </c>
      <c r="D1970" s="3" t="str">
        <f>IFERROR(__xludf.DUMMYFUNCTION("""COMPUTED_VALUE"""),"อป.2/7")</f>
        <v>อป.2/7</v>
      </c>
      <c r="E1970" s="2" t="str">
        <f>IFERROR(__xludf.DUMMYFUNCTION("""COMPUTED_VALUE"""),"หญิง")</f>
        <v>หญิง</v>
      </c>
      <c r="F1970" s="5" t="str">
        <f>IFERROR(__xludf.DUMMYFUNCTION("""COMPUTED_VALUE"""),"https://azizstan.net/student_image/26373.jpg")</f>
        <v>https://azizstan.net/student_image/26373.jpg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>
      <c r="A1971" s="3" t="str">
        <f>IFERROR(__xludf.DUMMYFUNCTION("""COMPUTED_VALUE"""),"26752")</f>
        <v>26752</v>
      </c>
      <c r="B1971" s="3" t="str">
        <f>IFERROR(__xludf.DUMMYFUNCTION("""COMPUTED_VALUE"""),"น.ส.สิริวิภา พาลีเขตต์")</f>
        <v>น.ส.สิริวิภา พาลีเขตต์</v>
      </c>
      <c r="C1971" s="3" t="str">
        <f>IFERROR(__xludf.DUMMYFUNCTION("""COMPUTED_VALUE"""),"ม.5/7")</f>
        <v>ม.5/7</v>
      </c>
      <c r="D1971" s="3" t="str">
        <f>IFERROR(__xludf.DUMMYFUNCTION("""COMPUTED_VALUE"""),"อป.2/7")</f>
        <v>อป.2/7</v>
      </c>
      <c r="E1971" s="2" t="str">
        <f>IFERROR(__xludf.DUMMYFUNCTION("""COMPUTED_VALUE"""),"หญิง")</f>
        <v>หญิง</v>
      </c>
      <c r="F1971" s="5" t="str">
        <f>IFERROR(__xludf.DUMMYFUNCTION("""COMPUTED_VALUE"""),"https://azizstan.net/student_image/26752.jpg")</f>
        <v>https://azizstan.net/student_image/26752.jpg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>
      <c r="A1972" s="3" t="str">
        <f>IFERROR(__xludf.DUMMYFUNCTION("""COMPUTED_VALUE"""),"26799")</f>
        <v>26799</v>
      </c>
      <c r="B1972" s="3" t="str">
        <f>IFERROR(__xludf.DUMMYFUNCTION("""COMPUTED_VALUE"""),"น.ส.นูรดีญานา ฤทธิ์หมุน")</f>
        <v>น.ส.นูรดีญานา ฤทธิ์หมุน</v>
      </c>
      <c r="C1972" s="3" t="str">
        <f>IFERROR(__xludf.DUMMYFUNCTION("""COMPUTED_VALUE"""),"ม.5/7")</f>
        <v>ม.5/7</v>
      </c>
      <c r="D1972" s="3" t="str">
        <f>IFERROR(__xludf.DUMMYFUNCTION("""COMPUTED_VALUE"""),"อป.2/7")</f>
        <v>อป.2/7</v>
      </c>
      <c r="E1972" s="2" t="str">
        <f>IFERROR(__xludf.DUMMYFUNCTION("""COMPUTED_VALUE"""),"หญิง")</f>
        <v>หญิง</v>
      </c>
      <c r="F1972" s="5" t="str">
        <f>IFERROR(__xludf.DUMMYFUNCTION("""COMPUTED_VALUE"""),"https://azizstan.net/student_image/26799.jpg")</f>
        <v>https://azizstan.net/student_image/26799.jpg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>
      <c r="A1973" s="3" t="str">
        <f>IFERROR(__xludf.DUMMYFUNCTION("""COMPUTED_VALUE"""),"23372")</f>
        <v>23372</v>
      </c>
      <c r="B1973" s="3" t="str">
        <f>IFERROR(__xludf.DUMMYFUNCTION("""COMPUTED_VALUE"""),"น.ส.นูรัชมีย์ ไชยมิกัน")</f>
        <v>น.ส.นูรัชมีย์ ไชยมิกัน</v>
      </c>
      <c r="C1973" s="3" t="str">
        <f>IFERROR(__xludf.DUMMYFUNCTION("""COMPUTED_VALUE"""),"ม.5/8")</f>
        <v>ม.5/8</v>
      </c>
      <c r="D1973" s="3" t="str">
        <f>IFERROR(__xludf.DUMMYFUNCTION("""COMPUTED_VALUE"""),"อป.2/8")</f>
        <v>อป.2/8</v>
      </c>
      <c r="E1973" s="2" t="str">
        <f>IFERROR(__xludf.DUMMYFUNCTION("""COMPUTED_VALUE"""),"หญิง")</f>
        <v>หญิง</v>
      </c>
      <c r="F1973" s="5" t="str">
        <f>IFERROR(__xludf.DUMMYFUNCTION("""COMPUTED_VALUE"""),"https://azizstan.net/student_image/23372.jpg")</f>
        <v>https://azizstan.net/student_image/23372.jpg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>
      <c r="A1974" s="3" t="str">
        <f>IFERROR(__xludf.DUMMYFUNCTION("""COMPUTED_VALUE"""),"23380")</f>
        <v>23380</v>
      </c>
      <c r="B1974" s="3" t="str">
        <f>IFERROR(__xludf.DUMMYFUNCTION("""COMPUTED_VALUE"""),"น.ส.นัจมีญร์ ดายี")</f>
        <v>น.ส.นัจมีญร์ ดายี</v>
      </c>
      <c r="C1974" s="3" t="str">
        <f>IFERROR(__xludf.DUMMYFUNCTION("""COMPUTED_VALUE"""),"ม.5/8")</f>
        <v>ม.5/8</v>
      </c>
      <c r="D1974" s="3" t="str">
        <f>IFERROR(__xludf.DUMMYFUNCTION("""COMPUTED_VALUE"""),"อป.2/8")</f>
        <v>อป.2/8</v>
      </c>
      <c r="E1974" s="2" t="str">
        <f>IFERROR(__xludf.DUMMYFUNCTION("""COMPUTED_VALUE"""),"หญิง")</f>
        <v>หญิง</v>
      </c>
      <c r="F1974" s="5" t="str">
        <f>IFERROR(__xludf.DUMMYFUNCTION("""COMPUTED_VALUE"""),"https://azizstan.net/student_image/23380.jpg")</f>
        <v>https://azizstan.net/student_image/23380.jpg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>
      <c r="A1975" s="3" t="str">
        <f>IFERROR(__xludf.DUMMYFUNCTION("""COMPUTED_VALUE"""),"23397")</f>
        <v>23397</v>
      </c>
      <c r="B1975" s="3" t="str">
        <f>IFERROR(__xludf.DUMMYFUNCTION("""COMPUTED_VALUE"""),"นายลุฐฟีย์ บือราเฮง")</f>
        <v>นายลุฐฟีย์ บือราเฮง</v>
      </c>
      <c r="C1975" s="3" t="str">
        <f>IFERROR(__xludf.DUMMYFUNCTION("""COMPUTED_VALUE"""),"ม.5/8")</f>
        <v>ม.5/8</v>
      </c>
      <c r="D1975" s="3" t="str">
        <f>IFERROR(__xludf.DUMMYFUNCTION("""COMPUTED_VALUE"""),"อป.2/8")</f>
        <v>อป.2/8</v>
      </c>
      <c r="E1975" s="2" t="str">
        <f>IFERROR(__xludf.DUMMYFUNCTION("""COMPUTED_VALUE"""),"ชาย")</f>
        <v>ชาย</v>
      </c>
      <c r="F1975" s="5" t="str">
        <f>IFERROR(__xludf.DUMMYFUNCTION("""COMPUTED_VALUE"""),"https://azizstan.net/student_image/23397.jpg")</f>
        <v>https://azizstan.net/student_image/23397.jpg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>
      <c r="A1976" s="3" t="str">
        <f>IFERROR(__xludf.DUMMYFUNCTION("""COMPUTED_VALUE"""),"23404")</f>
        <v>23404</v>
      </c>
      <c r="B1976" s="3" t="str">
        <f>IFERROR(__xludf.DUMMYFUNCTION("""COMPUTED_VALUE"""),"น.ส.อทิตยา หวังสมัน")</f>
        <v>น.ส.อทิตยา หวังสมัน</v>
      </c>
      <c r="C1976" s="3" t="str">
        <f>IFERROR(__xludf.DUMMYFUNCTION("""COMPUTED_VALUE"""),"ม.5/8")</f>
        <v>ม.5/8</v>
      </c>
      <c r="D1976" s="3" t="str">
        <f>IFERROR(__xludf.DUMMYFUNCTION("""COMPUTED_VALUE"""),"อป.2/8")</f>
        <v>อป.2/8</v>
      </c>
      <c r="E1976" s="2" t="str">
        <f>IFERROR(__xludf.DUMMYFUNCTION("""COMPUTED_VALUE"""),"หญิง")</f>
        <v>หญิง</v>
      </c>
      <c r="F1976" s="5" t="str">
        <f>IFERROR(__xludf.DUMMYFUNCTION("""COMPUTED_VALUE"""),"https://azizstan.net/student_image/23404.jpg")</f>
        <v>https://azizstan.net/student_image/23404.jpg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>
      <c r="A1977" s="3" t="str">
        <f>IFERROR(__xludf.DUMMYFUNCTION("""COMPUTED_VALUE"""),"23411")</f>
        <v>23411</v>
      </c>
      <c r="B1977" s="3" t="str">
        <f>IFERROR(__xludf.DUMMYFUNCTION("""COMPUTED_VALUE"""),"น.ส.ซีตีอายู มะดารี")</f>
        <v>น.ส.ซีตีอายู มะดารี</v>
      </c>
      <c r="C1977" s="3" t="str">
        <f>IFERROR(__xludf.DUMMYFUNCTION("""COMPUTED_VALUE"""),"ม.5/8")</f>
        <v>ม.5/8</v>
      </c>
      <c r="D1977" s="3" t="str">
        <f>IFERROR(__xludf.DUMMYFUNCTION("""COMPUTED_VALUE"""),"อป.2/8")</f>
        <v>อป.2/8</v>
      </c>
      <c r="E1977" s="2" t="str">
        <f>IFERROR(__xludf.DUMMYFUNCTION("""COMPUTED_VALUE"""),"หญิง")</f>
        <v>หญิง</v>
      </c>
      <c r="F1977" s="5" t="str">
        <f>IFERROR(__xludf.DUMMYFUNCTION("""COMPUTED_VALUE"""),"https://azizstan.net/student_image/23411.jpg")</f>
        <v>https://azizstan.net/student_image/23411.jpg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>
      <c r="A1978" s="3" t="str">
        <f>IFERROR(__xludf.DUMMYFUNCTION("""COMPUTED_VALUE"""),"23437")</f>
        <v>23437</v>
      </c>
      <c r="B1978" s="3" t="str">
        <f>IFERROR(__xludf.DUMMYFUNCTION("""COMPUTED_VALUE"""),"น.ส.อมัลดา อาแว")</f>
        <v>น.ส.อมัลดา อาแว</v>
      </c>
      <c r="C1978" s="3" t="str">
        <f>IFERROR(__xludf.DUMMYFUNCTION("""COMPUTED_VALUE"""),"ม.5/8")</f>
        <v>ม.5/8</v>
      </c>
      <c r="D1978" s="3" t="str">
        <f>IFERROR(__xludf.DUMMYFUNCTION("""COMPUTED_VALUE"""),"อป.2/8")</f>
        <v>อป.2/8</v>
      </c>
      <c r="E1978" s="2" t="str">
        <f>IFERROR(__xludf.DUMMYFUNCTION("""COMPUTED_VALUE"""),"หญิง")</f>
        <v>หญิง</v>
      </c>
      <c r="F1978" s="5" t="str">
        <f>IFERROR(__xludf.DUMMYFUNCTION("""COMPUTED_VALUE"""),"https://azizstan.net/student_image/23437.jpg")</f>
        <v>https://azizstan.net/student_image/23437.jpg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>
      <c r="A1979" s="3" t="str">
        <f>IFERROR(__xludf.DUMMYFUNCTION("""COMPUTED_VALUE"""),"23475")</f>
        <v>23475</v>
      </c>
      <c r="B1979" s="3" t="str">
        <f>IFERROR(__xludf.DUMMYFUNCTION("""COMPUTED_VALUE"""),"น.ส.นูรซาฮีรา หะยีอาซา")</f>
        <v>น.ส.นูรซาฮีรา หะยีอาซา</v>
      </c>
      <c r="C1979" s="3" t="str">
        <f>IFERROR(__xludf.DUMMYFUNCTION("""COMPUTED_VALUE"""),"ม.5/8")</f>
        <v>ม.5/8</v>
      </c>
      <c r="D1979" s="3" t="str">
        <f>IFERROR(__xludf.DUMMYFUNCTION("""COMPUTED_VALUE"""),"อป.2/8")</f>
        <v>อป.2/8</v>
      </c>
      <c r="E1979" s="2" t="str">
        <f>IFERROR(__xludf.DUMMYFUNCTION("""COMPUTED_VALUE"""),"หญิง")</f>
        <v>หญิง</v>
      </c>
      <c r="F1979" s="5" t="str">
        <f>IFERROR(__xludf.DUMMYFUNCTION("""COMPUTED_VALUE"""),"https://azizstan.net/student_image/23475.jpg")</f>
        <v>https://azizstan.net/student_image/23475.jpg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>
      <c r="A1980" s="3" t="str">
        <f>IFERROR(__xludf.DUMMYFUNCTION("""COMPUTED_VALUE"""),"23487")</f>
        <v>23487</v>
      </c>
      <c r="B1980" s="3" t="str">
        <f>IFERROR(__xludf.DUMMYFUNCTION("""COMPUTED_VALUE"""),"นายฟัยซอล ตาเฮ")</f>
        <v>นายฟัยซอล ตาเฮ</v>
      </c>
      <c r="C1980" s="3" t="str">
        <f>IFERROR(__xludf.DUMMYFUNCTION("""COMPUTED_VALUE"""),"ม.5/8")</f>
        <v>ม.5/8</v>
      </c>
      <c r="D1980" s="3" t="str">
        <f>IFERROR(__xludf.DUMMYFUNCTION("""COMPUTED_VALUE"""),"อป.2/8")</f>
        <v>อป.2/8</v>
      </c>
      <c r="E1980" s="2" t="str">
        <f>IFERROR(__xludf.DUMMYFUNCTION("""COMPUTED_VALUE"""),"ชาย")</f>
        <v>ชาย</v>
      </c>
      <c r="F1980" s="5" t="str">
        <f>IFERROR(__xludf.DUMMYFUNCTION("""COMPUTED_VALUE"""),"https://azizstan.net/student_image/23487.jpg")</f>
        <v>https://azizstan.net/student_image/23487.jpg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>
      <c r="A1981" s="3" t="str">
        <f>IFERROR(__xludf.DUMMYFUNCTION("""COMPUTED_VALUE"""),"23508")</f>
        <v>23508</v>
      </c>
      <c r="B1981" s="3" t="str">
        <f>IFERROR(__xludf.DUMMYFUNCTION("""COMPUTED_VALUE"""),"น.ส.โศรยา สาและ")</f>
        <v>น.ส.โศรยา สาและ</v>
      </c>
      <c r="C1981" s="3" t="str">
        <f>IFERROR(__xludf.DUMMYFUNCTION("""COMPUTED_VALUE"""),"ม.5/8")</f>
        <v>ม.5/8</v>
      </c>
      <c r="D1981" s="3" t="str">
        <f>IFERROR(__xludf.DUMMYFUNCTION("""COMPUTED_VALUE"""),"อป.2/8")</f>
        <v>อป.2/8</v>
      </c>
      <c r="E1981" s="2" t="str">
        <f>IFERROR(__xludf.DUMMYFUNCTION("""COMPUTED_VALUE"""),"หญิง")</f>
        <v>หญิง</v>
      </c>
      <c r="F1981" s="5" t="str">
        <f>IFERROR(__xludf.DUMMYFUNCTION("""COMPUTED_VALUE"""),"https://azizstan.net/student_image/23508.jpg")</f>
        <v>https://azizstan.net/student_image/23508.jpg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>
      <c r="A1982" s="3" t="str">
        <f>IFERROR(__xludf.DUMMYFUNCTION("""COMPUTED_VALUE"""),"23513")</f>
        <v>23513</v>
      </c>
      <c r="B1982" s="3" t="str">
        <f>IFERROR(__xludf.DUMMYFUNCTION("""COMPUTED_VALUE"""),"น.ส.นูรมา โดซา")</f>
        <v>น.ส.นูรมา โดซา</v>
      </c>
      <c r="C1982" s="3" t="str">
        <f>IFERROR(__xludf.DUMMYFUNCTION("""COMPUTED_VALUE"""),"ม.5/8")</f>
        <v>ม.5/8</v>
      </c>
      <c r="D1982" s="3" t="str">
        <f>IFERROR(__xludf.DUMMYFUNCTION("""COMPUTED_VALUE"""),"อป.2/8")</f>
        <v>อป.2/8</v>
      </c>
      <c r="E1982" s="2" t="str">
        <f>IFERROR(__xludf.DUMMYFUNCTION("""COMPUTED_VALUE"""),"หญิง")</f>
        <v>หญิง</v>
      </c>
      <c r="F1982" s="5" t="str">
        <f>IFERROR(__xludf.DUMMYFUNCTION("""COMPUTED_VALUE"""),"https://azizstan.net/student_image/23513.jpg")</f>
        <v>https://azizstan.net/student_image/23513.jpg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>
      <c r="A1983" s="3" t="str">
        <f>IFERROR(__xludf.DUMMYFUNCTION("""COMPUTED_VALUE"""),"23545")</f>
        <v>23545</v>
      </c>
      <c r="B1983" s="3" t="str">
        <f>IFERROR(__xludf.DUMMYFUNCTION("""COMPUTED_VALUE"""),"น.ส.อิสตีฟาร์ สะอะ")</f>
        <v>น.ส.อิสตีฟาร์ สะอะ</v>
      </c>
      <c r="C1983" s="3" t="str">
        <f>IFERROR(__xludf.DUMMYFUNCTION("""COMPUTED_VALUE"""),"ม.5/8")</f>
        <v>ม.5/8</v>
      </c>
      <c r="D1983" s="3" t="str">
        <f>IFERROR(__xludf.DUMMYFUNCTION("""COMPUTED_VALUE"""),"อป.2/8")</f>
        <v>อป.2/8</v>
      </c>
      <c r="E1983" s="2" t="str">
        <f>IFERROR(__xludf.DUMMYFUNCTION("""COMPUTED_VALUE"""),"หญิง")</f>
        <v>หญิง</v>
      </c>
      <c r="F1983" s="5" t="str">
        <f>IFERROR(__xludf.DUMMYFUNCTION("""COMPUTED_VALUE"""),"https://azizstan.net/student_image/23545.jpg")</f>
        <v>https://azizstan.net/student_image/23545.jpg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>
      <c r="A1984" s="3" t="str">
        <f>IFERROR(__xludf.DUMMYFUNCTION("""COMPUTED_VALUE"""),"23580")</f>
        <v>23580</v>
      </c>
      <c r="B1984" s="3" t="str">
        <f>IFERROR(__xludf.DUMMYFUNCTION("""COMPUTED_VALUE"""),"น.ส.ฮัสนีม สิดิ")</f>
        <v>น.ส.ฮัสนีม สิดิ</v>
      </c>
      <c r="C1984" s="3" t="str">
        <f>IFERROR(__xludf.DUMMYFUNCTION("""COMPUTED_VALUE"""),"ม.5/8")</f>
        <v>ม.5/8</v>
      </c>
      <c r="D1984" s="3" t="str">
        <f>IFERROR(__xludf.DUMMYFUNCTION("""COMPUTED_VALUE"""),"อป.2/8")</f>
        <v>อป.2/8</v>
      </c>
      <c r="E1984" s="2" t="str">
        <f>IFERROR(__xludf.DUMMYFUNCTION("""COMPUTED_VALUE"""),"หญิง")</f>
        <v>หญิง</v>
      </c>
      <c r="F1984" s="5" t="str">
        <f>IFERROR(__xludf.DUMMYFUNCTION("""COMPUTED_VALUE"""),"https://azizstan.net/student_image/23580.jpg")</f>
        <v>https://azizstan.net/student_image/23580.jpg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>
      <c r="A1985" s="3" t="str">
        <f>IFERROR(__xludf.DUMMYFUNCTION("""COMPUTED_VALUE"""),"23597")</f>
        <v>23597</v>
      </c>
      <c r="B1985" s="3" t="str">
        <f>IFERROR(__xludf.DUMMYFUNCTION("""COMPUTED_VALUE"""),"นายอับดุลมุตตอเล็บ เหมหมัด")</f>
        <v>นายอับดุลมุตตอเล็บ เหมหมัด</v>
      </c>
      <c r="C1985" s="3" t="str">
        <f>IFERROR(__xludf.DUMMYFUNCTION("""COMPUTED_VALUE"""),"ม.5/8")</f>
        <v>ม.5/8</v>
      </c>
      <c r="D1985" s="3" t="str">
        <f>IFERROR(__xludf.DUMMYFUNCTION("""COMPUTED_VALUE"""),"อป.2/8")</f>
        <v>อป.2/8</v>
      </c>
      <c r="E1985" s="2" t="str">
        <f>IFERROR(__xludf.DUMMYFUNCTION("""COMPUTED_VALUE"""),"ชาย")</f>
        <v>ชาย</v>
      </c>
      <c r="F1985" s="5" t="str">
        <f>IFERROR(__xludf.DUMMYFUNCTION("""COMPUTED_VALUE"""),"https://azizstan.net/student_image/23597.jpg")</f>
        <v>https://azizstan.net/student_image/23597.jpg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>
      <c r="A1986" s="3" t="str">
        <f>IFERROR(__xludf.DUMMYFUNCTION("""COMPUTED_VALUE"""),"23606")</f>
        <v>23606</v>
      </c>
      <c r="B1986" s="3" t="str">
        <f>IFERROR(__xludf.DUMMYFUNCTION("""COMPUTED_VALUE"""),"น.ส.อัฟนันท์ สาแม")</f>
        <v>น.ส.อัฟนันท์ สาแม</v>
      </c>
      <c r="C1986" s="3" t="str">
        <f>IFERROR(__xludf.DUMMYFUNCTION("""COMPUTED_VALUE"""),"ม.5/8")</f>
        <v>ม.5/8</v>
      </c>
      <c r="D1986" s="3" t="str">
        <f>IFERROR(__xludf.DUMMYFUNCTION("""COMPUTED_VALUE"""),"อป.2/8")</f>
        <v>อป.2/8</v>
      </c>
      <c r="E1986" s="2" t="str">
        <f>IFERROR(__xludf.DUMMYFUNCTION("""COMPUTED_VALUE"""),"หญิง")</f>
        <v>หญิง</v>
      </c>
      <c r="F1986" s="5" t="str">
        <f>IFERROR(__xludf.DUMMYFUNCTION("""COMPUTED_VALUE"""),"https://azizstan.net/student_image/23606.jpg")</f>
        <v>https://azizstan.net/student_image/23606.jpg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>
      <c r="A1987" s="3" t="str">
        <f>IFERROR(__xludf.DUMMYFUNCTION("""COMPUTED_VALUE"""),"23656")</f>
        <v>23656</v>
      </c>
      <c r="B1987" s="3" t="str">
        <f>IFERROR(__xludf.DUMMYFUNCTION("""COMPUTED_VALUE"""),"นายซาการียา ยอยเหาะ")</f>
        <v>นายซาการียา ยอยเหาะ</v>
      </c>
      <c r="C1987" s="3" t="str">
        <f>IFERROR(__xludf.DUMMYFUNCTION("""COMPUTED_VALUE"""),"ม.5/8")</f>
        <v>ม.5/8</v>
      </c>
      <c r="D1987" s="3" t="str">
        <f>IFERROR(__xludf.DUMMYFUNCTION("""COMPUTED_VALUE"""),"อป.2/8")</f>
        <v>อป.2/8</v>
      </c>
      <c r="E1987" s="2" t="str">
        <f>IFERROR(__xludf.DUMMYFUNCTION("""COMPUTED_VALUE"""),"ชาย")</f>
        <v>ชาย</v>
      </c>
      <c r="F1987" s="5" t="str">
        <f>IFERROR(__xludf.DUMMYFUNCTION("""COMPUTED_VALUE"""),"https://azizstan.net/student_image/23656.jpg")</f>
        <v>https://azizstan.net/student_image/23656.jpg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>
      <c r="A1988" s="3" t="str">
        <f>IFERROR(__xludf.DUMMYFUNCTION("""COMPUTED_VALUE"""),"23671")</f>
        <v>23671</v>
      </c>
      <c r="B1988" s="3" t="str">
        <f>IFERROR(__xludf.DUMMYFUNCTION("""COMPUTED_VALUE"""),"น.ส.ยุซลีซา ดาอุแม")</f>
        <v>น.ส.ยุซลีซา ดาอุแม</v>
      </c>
      <c r="C1988" s="3" t="str">
        <f>IFERROR(__xludf.DUMMYFUNCTION("""COMPUTED_VALUE"""),"ม.5/8")</f>
        <v>ม.5/8</v>
      </c>
      <c r="D1988" s="3" t="str">
        <f>IFERROR(__xludf.DUMMYFUNCTION("""COMPUTED_VALUE"""),"อป.2/8")</f>
        <v>อป.2/8</v>
      </c>
      <c r="E1988" s="2" t="str">
        <f>IFERROR(__xludf.DUMMYFUNCTION("""COMPUTED_VALUE"""),"หญิง")</f>
        <v>หญิง</v>
      </c>
      <c r="F1988" s="5" t="str">
        <f>IFERROR(__xludf.DUMMYFUNCTION("""COMPUTED_VALUE"""),"https://azizstan.net/student_image/23671.jpg")</f>
        <v>https://azizstan.net/student_image/23671.jpg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>
      <c r="A1989" s="3" t="str">
        <f>IFERROR(__xludf.DUMMYFUNCTION("""COMPUTED_VALUE"""),"23734")</f>
        <v>23734</v>
      </c>
      <c r="B1989" s="3" t="str">
        <f>IFERROR(__xludf.DUMMYFUNCTION("""COMPUTED_VALUE"""),"นายรุจฮาน วันอิดริส")</f>
        <v>นายรุจฮาน วันอิดริส</v>
      </c>
      <c r="C1989" s="3" t="str">
        <f>IFERROR(__xludf.DUMMYFUNCTION("""COMPUTED_VALUE"""),"ม.5/8")</f>
        <v>ม.5/8</v>
      </c>
      <c r="D1989" s="3" t="str">
        <f>IFERROR(__xludf.DUMMYFUNCTION("""COMPUTED_VALUE"""),"อป.2/8")</f>
        <v>อป.2/8</v>
      </c>
      <c r="E1989" s="2" t="str">
        <f>IFERROR(__xludf.DUMMYFUNCTION("""COMPUTED_VALUE"""),"ชาย")</f>
        <v>ชาย</v>
      </c>
      <c r="F1989" s="5" t="str">
        <f>IFERROR(__xludf.DUMMYFUNCTION("""COMPUTED_VALUE"""),"https://azizstan.net/student_image/23734.jpg")</f>
        <v>https://azizstan.net/student_image/23734.jpg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>
      <c r="A1990" s="3" t="str">
        <f>IFERROR(__xludf.DUMMYFUNCTION("""COMPUTED_VALUE"""),"23771")</f>
        <v>23771</v>
      </c>
      <c r="B1990" s="3" t="str">
        <f>IFERROR(__xludf.DUMMYFUNCTION("""COMPUTED_VALUE"""),"น.ส.นูรฟิสรี เหตุหาก")</f>
        <v>น.ส.นูรฟิสรี เหตุหาก</v>
      </c>
      <c r="C1990" s="3" t="str">
        <f>IFERROR(__xludf.DUMMYFUNCTION("""COMPUTED_VALUE"""),"ม.5/8")</f>
        <v>ม.5/8</v>
      </c>
      <c r="D1990" s="3" t="str">
        <f>IFERROR(__xludf.DUMMYFUNCTION("""COMPUTED_VALUE"""),"อป.2/8")</f>
        <v>อป.2/8</v>
      </c>
      <c r="E1990" s="2" t="str">
        <f>IFERROR(__xludf.DUMMYFUNCTION("""COMPUTED_VALUE"""),"หญิง")</f>
        <v>หญิง</v>
      </c>
      <c r="F1990" s="5" t="str">
        <f>IFERROR(__xludf.DUMMYFUNCTION("""COMPUTED_VALUE"""),"https://azizstan.net/student_image/23771.jpg")</f>
        <v>https://azizstan.net/student_image/23771.jpg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>
      <c r="A1991" s="3" t="str">
        <f>IFERROR(__xludf.DUMMYFUNCTION("""COMPUTED_VALUE"""),"23948")</f>
        <v>23948</v>
      </c>
      <c r="B1991" s="3" t="str">
        <f>IFERROR(__xludf.DUMMYFUNCTION("""COMPUTED_VALUE"""),"น.ส.นูรดาเรีย หัดขะเจ")</f>
        <v>น.ส.นูรดาเรีย หัดขะเจ</v>
      </c>
      <c r="C1991" s="3" t="str">
        <f>IFERROR(__xludf.DUMMYFUNCTION("""COMPUTED_VALUE"""),"ม.5/8")</f>
        <v>ม.5/8</v>
      </c>
      <c r="D1991" s="3" t="str">
        <f>IFERROR(__xludf.DUMMYFUNCTION("""COMPUTED_VALUE"""),"อป.2/8")</f>
        <v>อป.2/8</v>
      </c>
      <c r="E1991" s="2" t="str">
        <f>IFERROR(__xludf.DUMMYFUNCTION("""COMPUTED_VALUE"""),"หญิง")</f>
        <v>หญิง</v>
      </c>
      <c r="F1991" s="5" t="str">
        <f>IFERROR(__xludf.DUMMYFUNCTION("""COMPUTED_VALUE"""),"https://azizstan.net/student_image/23948.jpg")</f>
        <v>https://azizstan.net/student_image/23948.jpg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>
      <c r="A1992" s="3" t="str">
        <f>IFERROR(__xludf.DUMMYFUNCTION("""COMPUTED_VALUE"""),"23974")</f>
        <v>23974</v>
      </c>
      <c r="B1992" s="3" t="str">
        <f>IFERROR(__xludf.DUMMYFUNCTION("""COMPUTED_VALUE"""),"นายเจษฎากร อภิพัฒน์พลากร")</f>
        <v>นายเจษฎากร อภิพัฒน์พลากร</v>
      </c>
      <c r="C1992" s="3" t="str">
        <f>IFERROR(__xludf.DUMMYFUNCTION("""COMPUTED_VALUE"""),"ม.5/8")</f>
        <v>ม.5/8</v>
      </c>
      <c r="D1992" s="3" t="str">
        <f>IFERROR(__xludf.DUMMYFUNCTION("""COMPUTED_VALUE"""),"อป.2/8")</f>
        <v>อป.2/8</v>
      </c>
      <c r="E1992" s="2" t="str">
        <f>IFERROR(__xludf.DUMMYFUNCTION("""COMPUTED_VALUE"""),"ชาย")</f>
        <v>ชาย</v>
      </c>
      <c r="F1992" s="5" t="str">
        <f>IFERROR(__xludf.DUMMYFUNCTION("""COMPUTED_VALUE"""),"https://azizstan.net/student_image/23974.jpg")</f>
        <v>https://azizstan.net/student_image/23974.jpg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>
      <c r="A1993" s="3" t="str">
        <f>IFERROR(__xludf.DUMMYFUNCTION("""COMPUTED_VALUE"""),"23986")</f>
        <v>23986</v>
      </c>
      <c r="B1993" s="3" t="str">
        <f>IFERROR(__xludf.DUMMYFUNCTION("""COMPUTED_VALUE"""),"น.ส.ตัสนีม เจ๊ะดอมะ")</f>
        <v>น.ส.ตัสนีม เจ๊ะดอมะ</v>
      </c>
      <c r="C1993" s="3" t="str">
        <f>IFERROR(__xludf.DUMMYFUNCTION("""COMPUTED_VALUE"""),"ม.5/8")</f>
        <v>ม.5/8</v>
      </c>
      <c r="D1993" s="3" t="str">
        <f>IFERROR(__xludf.DUMMYFUNCTION("""COMPUTED_VALUE"""),"อป.2/8")</f>
        <v>อป.2/8</v>
      </c>
      <c r="E1993" s="2" t="str">
        <f>IFERROR(__xludf.DUMMYFUNCTION("""COMPUTED_VALUE"""),"หญิง")</f>
        <v>หญิง</v>
      </c>
      <c r="F1993" s="5" t="str">
        <f>IFERROR(__xludf.DUMMYFUNCTION("""COMPUTED_VALUE"""),"https://azizstan.net/student_image/23986.jpg")</f>
        <v>https://azizstan.net/student_image/23986.jpg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>
      <c r="A1994" s="3" t="str">
        <f>IFERROR(__xludf.DUMMYFUNCTION("""COMPUTED_VALUE"""),"25364")</f>
        <v>25364</v>
      </c>
      <c r="B1994" s="3" t="str">
        <f>IFERROR(__xludf.DUMMYFUNCTION("""COMPUTED_VALUE"""),"นายอิดดาริส ตุกังหัน")</f>
        <v>นายอิดดาริส ตุกังหัน</v>
      </c>
      <c r="C1994" s="3" t="str">
        <f>IFERROR(__xludf.DUMMYFUNCTION("""COMPUTED_VALUE"""),"ม.5/8")</f>
        <v>ม.5/8</v>
      </c>
      <c r="D1994" s="3" t="str">
        <f>IFERROR(__xludf.DUMMYFUNCTION("""COMPUTED_VALUE"""),"อป.2/8")</f>
        <v>อป.2/8</v>
      </c>
      <c r="E1994" s="2" t="str">
        <f>IFERROR(__xludf.DUMMYFUNCTION("""COMPUTED_VALUE"""),"ชาย")</f>
        <v>ชาย</v>
      </c>
      <c r="F1994" s="5" t="str">
        <f>IFERROR(__xludf.DUMMYFUNCTION("""COMPUTED_VALUE"""),"https://azizstan.net/student_image/25364.jpg")</f>
        <v>https://azizstan.net/student_image/25364.jpg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>
      <c r="A1995" s="3" t="str">
        <f>IFERROR(__xludf.DUMMYFUNCTION("""COMPUTED_VALUE"""),"25536")</f>
        <v>25536</v>
      </c>
      <c r="B1995" s="3" t="str">
        <f>IFERROR(__xludf.DUMMYFUNCTION("""COMPUTED_VALUE"""),"น.ส.ซุลวารี มายิ")</f>
        <v>น.ส.ซุลวารี มายิ</v>
      </c>
      <c r="C1995" s="3" t="str">
        <f>IFERROR(__xludf.DUMMYFUNCTION("""COMPUTED_VALUE"""),"ม.5/8")</f>
        <v>ม.5/8</v>
      </c>
      <c r="D1995" s="3" t="str">
        <f>IFERROR(__xludf.DUMMYFUNCTION("""COMPUTED_VALUE"""),"อป.2/8")</f>
        <v>อป.2/8</v>
      </c>
      <c r="E1995" s="2" t="str">
        <f>IFERROR(__xludf.DUMMYFUNCTION("""COMPUTED_VALUE"""),"หญิง")</f>
        <v>หญิง</v>
      </c>
      <c r="F1995" s="5" t="str">
        <f>IFERROR(__xludf.DUMMYFUNCTION("""COMPUTED_VALUE"""),"https://azizstan.net/student_image/25536.jpg")</f>
        <v>https://azizstan.net/student_image/25536.jpg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>
      <c r="A1996" s="3" t="str">
        <f>IFERROR(__xludf.DUMMYFUNCTION("""COMPUTED_VALUE"""),"25682")</f>
        <v>25682</v>
      </c>
      <c r="B1996" s="3" t="str">
        <f>IFERROR(__xludf.DUMMYFUNCTION("""COMPUTED_VALUE"""),"น.ส.อันดา เจะโจทย์")</f>
        <v>น.ส.อันดา เจะโจทย์</v>
      </c>
      <c r="C1996" s="3" t="str">
        <f>IFERROR(__xludf.DUMMYFUNCTION("""COMPUTED_VALUE"""),"ม.5/8")</f>
        <v>ม.5/8</v>
      </c>
      <c r="D1996" s="3" t="str">
        <f>IFERROR(__xludf.DUMMYFUNCTION("""COMPUTED_VALUE"""),"อป.2/8")</f>
        <v>อป.2/8</v>
      </c>
      <c r="E1996" s="2" t="str">
        <f>IFERROR(__xludf.DUMMYFUNCTION("""COMPUTED_VALUE"""),"หญิง")</f>
        <v>หญิง</v>
      </c>
      <c r="F1996" s="5" t="str">
        <f>IFERROR(__xludf.DUMMYFUNCTION("""COMPUTED_VALUE"""),"https://azizstan.net/student_image/25682.jpg")</f>
        <v>https://azizstan.net/student_image/25682.jpg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>
      <c r="A1997" s="3" t="str">
        <f>IFERROR(__xludf.DUMMYFUNCTION("""COMPUTED_VALUE"""),"25683")</f>
        <v>25683</v>
      </c>
      <c r="B1997" s="3" t="str">
        <f>IFERROR(__xludf.DUMMYFUNCTION("""COMPUTED_VALUE"""),"น.ส.นริสรา เป๊าะซา")</f>
        <v>น.ส.นริสรา เป๊าะซา</v>
      </c>
      <c r="C1997" s="3" t="str">
        <f>IFERROR(__xludf.DUMMYFUNCTION("""COMPUTED_VALUE"""),"ม.5/8")</f>
        <v>ม.5/8</v>
      </c>
      <c r="D1997" s="3" t="str">
        <f>IFERROR(__xludf.DUMMYFUNCTION("""COMPUTED_VALUE"""),"อป.2/8")</f>
        <v>อป.2/8</v>
      </c>
      <c r="E1997" s="2" t="str">
        <f>IFERROR(__xludf.DUMMYFUNCTION("""COMPUTED_VALUE"""),"หญิง")</f>
        <v>หญิง</v>
      </c>
      <c r="F1997" s="5" t="str">
        <f>IFERROR(__xludf.DUMMYFUNCTION("""COMPUTED_VALUE"""),"https://azizstan.net/student_image/25683.jpg")</f>
        <v>https://azizstan.net/student_image/25683.jpg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>
      <c r="A1998" s="3" t="str">
        <f>IFERROR(__xludf.DUMMYFUNCTION("""COMPUTED_VALUE"""),"25698")</f>
        <v>25698</v>
      </c>
      <c r="B1998" s="3" t="str">
        <f>IFERROR(__xludf.DUMMYFUNCTION("""COMPUTED_VALUE"""),"น.ส.นูรตัสนิม ลาเต๊ะ")</f>
        <v>น.ส.นูรตัสนิม ลาเต๊ะ</v>
      </c>
      <c r="C1998" s="3" t="str">
        <f>IFERROR(__xludf.DUMMYFUNCTION("""COMPUTED_VALUE"""),"ม.5/8")</f>
        <v>ม.5/8</v>
      </c>
      <c r="D1998" s="3" t="str">
        <f>IFERROR(__xludf.DUMMYFUNCTION("""COMPUTED_VALUE"""),"อป.2/8")</f>
        <v>อป.2/8</v>
      </c>
      <c r="E1998" s="2" t="str">
        <f>IFERROR(__xludf.DUMMYFUNCTION("""COMPUTED_VALUE"""),"หญิง")</f>
        <v>หญิง</v>
      </c>
      <c r="F1998" s="5" t="str">
        <f>IFERROR(__xludf.DUMMYFUNCTION("""COMPUTED_VALUE"""),"https://azizstan.net/student_image/25698.jpg")</f>
        <v>https://azizstan.net/student_image/25698.jpg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>
      <c r="A1999" s="3" t="str">
        <f>IFERROR(__xludf.DUMMYFUNCTION("""COMPUTED_VALUE"""),"25704")</f>
        <v>25704</v>
      </c>
      <c r="B1999" s="3" t="str">
        <f>IFERROR(__xludf.DUMMYFUNCTION("""COMPUTED_VALUE"""),"น.ส.นัดวา หมัดสะแหละ")</f>
        <v>น.ส.นัดวา หมัดสะแหละ</v>
      </c>
      <c r="C1999" s="3" t="str">
        <f>IFERROR(__xludf.DUMMYFUNCTION("""COMPUTED_VALUE"""),"ม.5/8")</f>
        <v>ม.5/8</v>
      </c>
      <c r="D1999" s="3" t="str">
        <f>IFERROR(__xludf.DUMMYFUNCTION("""COMPUTED_VALUE"""),"อป.2/8")</f>
        <v>อป.2/8</v>
      </c>
      <c r="E1999" s="2" t="str">
        <f>IFERROR(__xludf.DUMMYFUNCTION("""COMPUTED_VALUE"""),"หญิง")</f>
        <v>หญิง</v>
      </c>
      <c r="F1999" s="5" t="str">
        <f>IFERROR(__xludf.DUMMYFUNCTION("""COMPUTED_VALUE"""),"https://azizstan.net/student_image/25704.jpg")</f>
        <v>https://azizstan.net/student_image/25704.jpg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>
      <c r="A2000" s="3" t="str">
        <f>IFERROR(__xludf.DUMMYFUNCTION("""COMPUTED_VALUE"""),"25714")</f>
        <v>25714</v>
      </c>
      <c r="B2000" s="3" t="str">
        <f>IFERROR(__xludf.DUMMYFUNCTION("""COMPUTED_VALUE"""),"น.ส.อัยมี่ ปิระซอ")</f>
        <v>น.ส.อัยมี่ ปิระซอ</v>
      </c>
      <c r="C2000" s="3" t="str">
        <f>IFERROR(__xludf.DUMMYFUNCTION("""COMPUTED_VALUE"""),"ม.5/8")</f>
        <v>ม.5/8</v>
      </c>
      <c r="D2000" s="3" t="str">
        <f>IFERROR(__xludf.DUMMYFUNCTION("""COMPUTED_VALUE"""),"อป.2/8")</f>
        <v>อป.2/8</v>
      </c>
      <c r="E2000" s="2" t="str">
        <f>IFERROR(__xludf.DUMMYFUNCTION("""COMPUTED_VALUE"""),"หญิง")</f>
        <v>หญิง</v>
      </c>
      <c r="F2000" s="5" t="str">
        <f>IFERROR(__xludf.DUMMYFUNCTION("""COMPUTED_VALUE"""),"https://azizstan.net/student_image/25714.jpg")</f>
        <v>https://azizstan.net/student_image/25714.jpg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>
      <c r="A2001" s="3" t="str">
        <f>IFERROR(__xludf.DUMMYFUNCTION("""COMPUTED_VALUE"""),"25772")</f>
        <v>25772</v>
      </c>
      <c r="B2001" s="3" t="str">
        <f>IFERROR(__xludf.DUMMYFUNCTION("""COMPUTED_VALUE"""),"น.ส.นรรจวา อาแด")</f>
        <v>น.ส.นรรจวา อาแด</v>
      </c>
      <c r="C2001" s="3" t="str">
        <f>IFERROR(__xludf.DUMMYFUNCTION("""COMPUTED_VALUE"""),"ม.5/8")</f>
        <v>ม.5/8</v>
      </c>
      <c r="D2001" s="3" t="str">
        <f>IFERROR(__xludf.DUMMYFUNCTION("""COMPUTED_VALUE"""),"อป.2/8")</f>
        <v>อป.2/8</v>
      </c>
      <c r="E2001" s="2" t="str">
        <f>IFERROR(__xludf.DUMMYFUNCTION("""COMPUTED_VALUE"""),"หญิง")</f>
        <v>หญิง</v>
      </c>
      <c r="F2001" s="5" t="str">
        <f>IFERROR(__xludf.DUMMYFUNCTION("""COMPUTED_VALUE"""),"https://azizstan.net/student_image/25772.jpg")</f>
        <v>https://azizstan.net/student_image/25772.jpg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>
      <c r="A2002" s="3" t="str">
        <f>IFERROR(__xludf.DUMMYFUNCTION("""COMPUTED_VALUE"""),"25925")</f>
        <v>25925</v>
      </c>
      <c r="B2002" s="3" t="str">
        <f>IFERROR(__xludf.DUMMYFUNCTION("""COMPUTED_VALUE"""),"นายซีรอจญ์ ฮัดญีสิดดิก")</f>
        <v>นายซีรอจญ์ ฮัดญีสิดดิก</v>
      </c>
      <c r="C2002" s="3" t="str">
        <f>IFERROR(__xludf.DUMMYFUNCTION("""COMPUTED_VALUE"""),"ม.5/8")</f>
        <v>ม.5/8</v>
      </c>
      <c r="D2002" s="3" t="str">
        <f>IFERROR(__xludf.DUMMYFUNCTION("""COMPUTED_VALUE"""),"อป.2/8")</f>
        <v>อป.2/8</v>
      </c>
      <c r="E2002" s="2" t="str">
        <f>IFERROR(__xludf.DUMMYFUNCTION("""COMPUTED_VALUE"""),"ชาย")</f>
        <v>ชาย</v>
      </c>
      <c r="F2002" s="5" t="str">
        <f>IFERROR(__xludf.DUMMYFUNCTION("""COMPUTED_VALUE"""),"https://azizstan.net/student_image/25925.jpg")</f>
        <v>https://azizstan.net/student_image/25925.jpg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>
      <c r="A2003" s="3" t="str">
        <f>IFERROR(__xludf.DUMMYFUNCTION("""COMPUTED_VALUE"""),"25938")</f>
        <v>25938</v>
      </c>
      <c r="B2003" s="3" t="str">
        <f>IFERROR(__xludf.DUMMYFUNCTION("""COMPUTED_VALUE"""),"น.ส.ศรุตา ดุงศรีแก้ว")</f>
        <v>น.ส.ศรุตา ดุงศรีแก้ว</v>
      </c>
      <c r="C2003" s="3" t="str">
        <f>IFERROR(__xludf.DUMMYFUNCTION("""COMPUTED_VALUE"""),"ม.5/8")</f>
        <v>ม.5/8</v>
      </c>
      <c r="D2003" s="3" t="str">
        <f>IFERROR(__xludf.DUMMYFUNCTION("""COMPUTED_VALUE"""),"อป.2/8")</f>
        <v>อป.2/8</v>
      </c>
      <c r="E2003" s="2" t="str">
        <f>IFERROR(__xludf.DUMMYFUNCTION("""COMPUTED_VALUE"""),"หญิง")</f>
        <v>หญิง</v>
      </c>
      <c r="F2003" s="5" t="str">
        <f>IFERROR(__xludf.DUMMYFUNCTION("""COMPUTED_VALUE"""),"https://azizstan.net/student_image/25938.jpg")</f>
        <v>https://azizstan.net/student_image/25938.jpg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>
      <c r="A2004" s="3" t="str">
        <f>IFERROR(__xludf.DUMMYFUNCTION("""COMPUTED_VALUE"""),"25982")</f>
        <v>25982</v>
      </c>
      <c r="B2004" s="3" t="str">
        <f>IFERROR(__xludf.DUMMYFUNCTION("""COMPUTED_VALUE"""),"น.ส.ซารีนา หมัดอาด้ำ")</f>
        <v>น.ส.ซารีนา หมัดอาด้ำ</v>
      </c>
      <c r="C2004" s="3" t="str">
        <f>IFERROR(__xludf.DUMMYFUNCTION("""COMPUTED_VALUE"""),"ม.5/8")</f>
        <v>ม.5/8</v>
      </c>
      <c r="D2004" s="3" t="str">
        <f>IFERROR(__xludf.DUMMYFUNCTION("""COMPUTED_VALUE"""),"อป.2/8")</f>
        <v>อป.2/8</v>
      </c>
      <c r="E2004" s="2" t="str">
        <f>IFERROR(__xludf.DUMMYFUNCTION("""COMPUTED_VALUE"""),"หญิง")</f>
        <v>หญิง</v>
      </c>
      <c r="F2004" s="5" t="str">
        <f>IFERROR(__xludf.DUMMYFUNCTION("""COMPUTED_VALUE"""),"https://azizstan.net/student_image/25982.jpg")</f>
        <v>https://azizstan.net/student_image/25982.jpg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>
      <c r="A2005" s="3" t="str">
        <f>IFERROR(__xludf.DUMMYFUNCTION("""COMPUTED_VALUE"""),"26423")</f>
        <v>26423</v>
      </c>
      <c r="B2005" s="3" t="str">
        <f>IFERROR(__xludf.DUMMYFUNCTION("""COMPUTED_VALUE"""),"น.ส.การีมะฮ์ รอยิง")</f>
        <v>น.ส.การีมะฮ์ รอยิง</v>
      </c>
      <c r="C2005" s="3" t="str">
        <f>IFERROR(__xludf.DUMMYFUNCTION("""COMPUTED_VALUE"""),"ม.5/8")</f>
        <v>ม.5/8</v>
      </c>
      <c r="D2005" s="3" t="str">
        <f>IFERROR(__xludf.DUMMYFUNCTION("""COMPUTED_VALUE"""),"อป.2/8")</f>
        <v>อป.2/8</v>
      </c>
      <c r="E2005" s="2" t="str">
        <f>IFERROR(__xludf.DUMMYFUNCTION("""COMPUTED_VALUE"""),"หญิง")</f>
        <v>หญิง</v>
      </c>
      <c r="F2005" s="5" t="str">
        <f>IFERROR(__xludf.DUMMYFUNCTION("""COMPUTED_VALUE"""),"https://azizstan.net/student_image/26423.jpg")</f>
        <v>https://azizstan.net/student_image/26423.jpg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>
      <c r="A2006" s="3" t="str">
        <f>IFERROR(__xludf.DUMMYFUNCTION("""COMPUTED_VALUE"""),"23364")</f>
        <v>23364</v>
      </c>
      <c r="B2006" s="3" t="str">
        <f>IFERROR(__xludf.DUMMYFUNCTION("""COMPUTED_VALUE"""),"น.ส.ซาอีดา นิ")</f>
        <v>น.ส.ซาอีดา นิ</v>
      </c>
      <c r="C2006" s="3" t="str">
        <f>IFERROR(__xludf.DUMMYFUNCTION("""COMPUTED_VALUE"""),"ม.5/9")</f>
        <v>ม.5/9</v>
      </c>
      <c r="D2006" s="3" t="str">
        <f>IFERROR(__xludf.DUMMYFUNCTION("""COMPUTED_VALUE"""),"อก.3/9")</f>
        <v>อก.3/9</v>
      </c>
      <c r="E2006" s="2" t="str">
        <f>IFERROR(__xludf.DUMMYFUNCTION("""COMPUTED_VALUE"""),"หญิง")</f>
        <v>หญิง</v>
      </c>
      <c r="F2006" s="5" t="str">
        <f>IFERROR(__xludf.DUMMYFUNCTION("""COMPUTED_VALUE"""),"https://azizstan.net/student_image/23364.jpg")</f>
        <v>https://azizstan.net/student_image/23364.jpg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>
      <c r="A2007" s="3" t="str">
        <f>IFERROR(__xludf.DUMMYFUNCTION("""COMPUTED_VALUE"""),"23408")</f>
        <v>23408</v>
      </c>
      <c r="B2007" s="3" t="str">
        <f>IFERROR(__xludf.DUMMYFUNCTION("""COMPUTED_VALUE"""),"น.ส.ฮุซนี สาเมาะ")</f>
        <v>น.ส.ฮุซนี สาเมาะ</v>
      </c>
      <c r="C2007" s="3" t="str">
        <f>IFERROR(__xludf.DUMMYFUNCTION("""COMPUTED_VALUE"""),"ม.5/9")</f>
        <v>ม.5/9</v>
      </c>
      <c r="D2007" s="3" t="str">
        <f>IFERROR(__xludf.DUMMYFUNCTION("""COMPUTED_VALUE"""),"อป.2/1")</f>
        <v>อป.2/1</v>
      </c>
      <c r="E2007" s="2" t="str">
        <f>IFERROR(__xludf.DUMMYFUNCTION("""COMPUTED_VALUE"""),"หญิง")</f>
        <v>หญิง</v>
      </c>
      <c r="F2007" s="5" t="str">
        <f>IFERROR(__xludf.DUMMYFUNCTION("""COMPUTED_VALUE"""),"https://azizstan.net/student_image/23408.jpg")</f>
        <v>https://azizstan.net/student_image/23408.jpg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>
      <c r="A2008" s="3" t="str">
        <f>IFERROR(__xludf.DUMMYFUNCTION("""COMPUTED_VALUE"""),"23476")</f>
        <v>23476</v>
      </c>
      <c r="B2008" s="3" t="str">
        <f>IFERROR(__xludf.DUMMYFUNCTION("""COMPUTED_VALUE"""),"น.ส.นุรซัลวาล ปิรู")</f>
        <v>น.ส.นุรซัลวาล ปิรู</v>
      </c>
      <c r="C2008" s="3" t="str">
        <f>IFERROR(__xludf.DUMMYFUNCTION("""COMPUTED_VALUE"""),"ม.5/9")</f>
        <v>ม.5/9</v>
      </c>
      <c r="D2008" s="3" t="str">
        <f>IFERROR(__xludf.DUMMYFUNCTION("""COMPUTED_VALUE"""),"อป.2/1")</f>
        <v>อป.2/1</v>
      </c>
      <c r="E2008" s="2" t="str">
        <f>IFERROR(__xludf.DUMMYFUNCTION("""COMPUTED_VALUE"""),"หญิง")</f>
        <v>หญิง</v>
      </c>
      <c r="F2008" s="5" t="str">
        <f>IFERROR(__xludf.DUMMYFUNCTION("""COMPUTED_VALUE"""),"https://azizstan.net/student_image/23476.jpg")</f>
        <v>https://azizstan.net/student_image/23476.jpg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>
      <c r="A2009" s="3" t="str">
        <f>IFERROR(__xludf.DUMMYFUNCTION("""COMPUTED_VALUE"""),"23571")</f>
        <v>23571</v>
      </c>
      <c r="B2009" s="3" t="str">
        <f>IFERROR(__xludf.DUMMYFUNCTION("""COMPUTED_VALUE"""),"น.ส.อานีตา ยีดือเระ")</f>
        <v>น.ส.อานีตา ยีดือเระ</v>
      </c>
      <c r="C2009" s="3" t="str">
        <f>IFERROR(__xludf.DUMMYFUNCTION("""COMPUTED_VALUE"""),"ม.5/9")</f>
        <v>ม.5/9</v>
      </c>
      <c r="D2009" s="3" t="str">
        <f>IFERROR(__xludf.DUMMYFUNCTION("""COMPUTED_VALUE"""),"อป.1/3")</f>
        <v>อป.1/3</v>
      </c>
      <c r="E2009" s="2" t="str">
        <f>IFERROR(__xludf.DUMMYFUNCTION("""COMPUTED_VALUE"""),"หญิง")</f>
        <v>หญิง</v>
      </c>
      <c r="F2009" s="5" t="str">
        <f>IFERROR(__xludf.DUMMYFUNCTION("""COMPUTED_VALUE"""),"https://azizstan.net/student_image/23571.jpg")</f>
        <v>https://azizstan.net/student_image/23571.jpg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>
      <c r="A2010" s="3" t="str">
        <f>IFERROR(__xludf.DUMMYFUNCTION("""COMPUTED_VALUE"""),"23604")</f>
        <v>23604</v>
      </c>
      <c r="B2010" s="3" t="str">
        <f>IFERROR(__xludf.DUMMYFUNCTION("""COMPUTED_VALUE"""),"น.ส.สุนิสา และบรานิง")</f>
        <v>น.ส.สุนิสา และบรานิง</v>
      </c>
      <c r="C2010" s="3" t="str">
        <f>IFERROR(__xludf.DUMMYFUNCTION("""COMPUTED_VALUE"""),"ม.5/9")</f>
        <v>ม.5/9</v>
      </c>
      <c r="D2010" s="3" t="str">
        <f>IFERROR(__xludf.DUMMYFUNCTION("""COMPUTED_VALUE"""),"อป.1/3")</f>
        <v>อป.1/3</v>
      </c>
      <c r="E2010" s="2" t="str">
        <f>IFERROR(__xludf.DUMMYFUNCTION("""COMPUTED_VALUE"""),"หญิง")</f>
        <v>หญิง</v>
      </c>
      <c r="F2010" s="5" t="str">
        <f>IFERROR(__xludf.DUMMYFUNCTION("""COMPUTED_VALUE"""),"https://azizstan.net/student_image/23604.jpg")</f>
        <v>https://azizstan.net/student_image/23604.jpg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>
      <c r="A2011" s="3" t="str">
        <f>IFERROR(__xludf.DUMMYFUNCTION("""COMPUTED_VALUE"""),"23612")</f>
        <v>23612</v>
      </c>
      <c r="B2011" s="3" t="str">
        <f>IFERROR(__xludf.DUMMYFUNCTION("""COMPUTED_VALUE"""),"น.ส.อิกรีม๊ะฮ โตะโยะ")</f>
        <v>น.ส.อิกรีม๊ะฮ โตะโยะ</v>
      </c>
      <c r="C2011" s="3" t="str">
        <f>IFERROR(__xludf.DUMMYFUNCTION("""COMPUTED_VALUE"""),"ม.5/9")</f>
        <v>ม.5/9</v>
      </c>
      <c r="D2011" s="3" t="str">
        <f>IFERROR(__xludf.DUMMYFUNCTION("""COMPUTED_VALUE"""),"อป.1/3")</f>
        <v>อป.1/3</v>
      </c>
      <c r="E2011" s="2" t="str">
        <f>IFERROR(__xludf.DUMMYFUNCTION("""COMPUTED_VALUE"""),"หญิง")</f>
        <v>หญิง</v>
      </c>
      <c r="F2011" s="5" t="str">
        <f>IFERROR(__xludf.DUMMYFUNCTION("""COMPUTED_VALUE"""),"https://azizstan.net/student_image/23612.jpg")</f>
        <v>https://azizstan.net/student_image/23612.jpg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>
      <c r="A2012" s="3" t="str">
        <f>IFERROR(__xludf.DUMMYFUNCTION("""COMPUTED_VALUE"""),"23640")</f>
        <v>23640</v>
      </c>
      <c r="B2012" s="3" t="str">
        <f>IFERROR(__xludf.DUMMYFUNCTION("""COMPUTED_VALUE"""),"น.ส.อาราบีญ่า สะอะ")</f>
        <v>น.ส.อาราบีญ่า สะอะ</v>
      </c>
      <c r="C2012" s="3" t="str">
        <f>IFERROR(__xludf.DUMMYFUNCTION("""COMPUTED_VALUE"""),"ม.5/9")</f>
        <v>ม.5/9</v>
      </c>
      <c r="D2012" s="3" t="str">
        <f>IFERROR(__xludf.DUMMYFUNCTION("""COMPUTED_VALUE"""),"อก.3/9")</f>
        <v>อก.3/9</v>
      </c>
      <c r="E2012" s="2" t="str">
        <f>IFERROR(__xludf.DUMMYFUNCTION("""COMPUTED_VALUE"""),"หญิง")</f>
        <v>หญิง</v>
      </c>
      <c r="F2012" s="5" t="str">
        <f>IFERROR(__xludf.DUMMYFUNCTION("""COMPUTED_VALUE"""),"https://azizstan.net/student_image/23640.jpg")</f>
        <v>https://azizstan.net/student_image/23640.jpg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>
      <c r="A2013" s="3" t="str">
        <f>IFERROR(__xludf.DUMMYFUNCTION("""COMPUTED_VALUE"""),"23655")</f>
        <v>23655</v>
      </c>
      <c r="B2013" s="3" t="str">
        <f>IFERROR(__xludf.DUMMYFUNCTION("""COMPUTED_VALUE"""),"น.ส.อาอีเซ๊าะห์ บาซา")</f>
        <v>น.ส.อาอีเซ๊าะห์ บาซา</v>
      </c>
      <c r="C2013" s="3" t="str">
        <f>IFERROR(__xludf.DUMMYFUNCTION("""COMPUTED_VALUE"""),"ม.5/9")</f>
        <v>ม.5/9</v>
      </c>
      <c r="D2013" s="3" t="str">
        <f>IFERROR(__xludf.DUMMYFUNCTION("""COMPUTED_VALUE"""),"อก.3/9")</f>
        <v>อก.3/9</v>
      </c>
      <c r="E2013" s="2" t="str">
        <f>IFERROR(__xludf.DUMMYFUNCTION("""COMPUTED_VALUE"""),"หญิง")</f>
        <v>หญิง</v>
      </c>
      <c r="F2013" s="5" t="str">
        <f>IFERROR(__xludf.DUMMYFUNCTION("""COMPUTED_VALUE"""),"https://azizstan.net/student_image/23655.jpg")</f>
        <v>https://azizstan.net/student_image/23655.jpg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>
      <c r="A2014" s="3" t="str">
        <f>IFERROR(__xludf.DUMMYFUNCTION("""COMPUTED_VALUE"""),"23662")</f>
        <v>23662</v>
      </c>
      <c r="B2014" s="3" t="str">
        <f>IFERROR(__xludf.DUMMYFUNCTION("""COMPUTED_VALUE"""),"น.ส.มาริษา มูนะ")</f>
        <v>น.ส.มาริษา มูนะ</v>
      </c>
      <c r="C2014" s="3" t="str">
        <f>IFERROR(__xludf.DUMMYFUNCTION("""COMPUTED_VALUE"""),"ม.5/9")</f>
        <v>ม.5/9</v>
      </c>
      <c r="D2014" s="3" t="str">
        <f>IFERROR(__xludf.DUMMYFUNCTION("""COMPUTED_VALUE"""),"อป.2/1")</f>
        <v>อป.2/1</v>
      </c>
      <c r="E2014" s="2" t="str">
        <f>IFERROR(__xludf.DUMMYFUNCTION("""COMPUTED_VALUE"""),"หญิง")</f>
        <v>หญิง</v>
      </c>
      <c r="F2014" s="5" t="str">
        <f>IFERROR(__xludf.DUMMYFUNCTION("""COMPUTED_VALUE"""),"https://azizstan.net/student_image/23662.jpg")</f>
        <v>https://azizstan.net/student_image/23662.jpg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>
      <c r="A2015" s="3" t="str">
        <f>IFERROR(__xludf.DUMMYFUNCTION("""COMPUTED_VALUE"""),"23712")</f>
        <v>23712</v>
      </c>
      <c r="B2015" s="3" t="str">
        <f>IFERROR(__xludf.DUMMYFUNCTION("""COMPUTED_VALUE"""),"น.ส.ซารีฮา สือรี")</f>
        <v>น.ส.ซารีฮา สือรี</v>
      </c>
      <c r="C2015" s="3" t="str">
        <f>IFERROR(__xludf.DUMMYFUNCTION("""COMPUTED_VALUE"""),"ม.5/9")</f>
        <v>ม.5/9</v>
      </c>
      <c r="D2015" s="3" t="str">
        <f>IFERROR(__xludf.DUMMYFUNCTION("""COMPUTED_VALUE"""),"อก.3/9")</f>
        <v>อก.3/9</v>
      </c>
      <c r="E2015" s="2" t="str">
        <f>IFERROR(__xludf.DUMMYFUNCTION("""COMPUTED_VALUE"""),"หญิง")</f>
        <v>หญิง</v>
      </c>
      <c r="F2015" s="5" t="str">
        <f>IFERROR(__xludf.DUMMYFUNCTION("""COMPUTED_VALUE"""),"https://azizstan.net/student_image/23712.jpg")</f>
        <v>https://azizstan.net/student_image/23712.jpg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>
      <c r="A2016" s="3" t="str">
        <f>IFERROR(__xludf.DUMMYFUNCTION("""COMPUTED_VALUE"""),"23752")</f>
        <v>23752</v>
      </c>
      <c r="B2016" s="3" t="str">
        <f>IFERROR(__xludf.DUMMYFUNCTION("""COMPUTED_VALUE"""),"น.ส.รอฮานี ยงมาเก๊ะ")</f>
        <v>น.ส.รอฮานี ยงมาเก๊ะ</v>
      </c>
      <c r="C2016" s="3" t="str">
        <f>IFERROR(__xludf.DUMMYFUNCTION("""COMPUTED_VALUE"""),"ม.5/9")</f>
        <v>ม.5/9</v>
      </c>
      <c r="D2016" s="3" t="str">
        <f>IFERROR(__xludf.DUMMYFUNCTION("""COMPUTED_VALUE"""),"อก.3/9")</f>
        <v>อก.3/9</v>
      </c>
      <c r="E2016" s="2" t="str">
        <f>IFERROR(__xludf.DUMMYFUNCTION("""COMPUTED_VALUE"""),"หญิง")</f>
        <v>หญิง</v>
      </c>
      <c r="F2016" s="5" t="str">
        <f>IFERROR(__xludf.DUMMYFUNCTION("""COMPUTED_VALUE"""),"https://azizstan.net/student_image/23752.jpg")</f>
        <v>https://azizstan.net/student_image/23752.jpg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>
      <c r="A2017" s="3" t="str">
        <f>IFERROR(__xludf.DUMMYFUNCTION("""COMPUTED_VALUE"""),"23795")</f>
        <v>23795</v>
      </c>
      <c r="B2017" s="3" t="str">
        <f>IFERROR(__xludf.DUMMYFUNCTION("""COMPUTED_VALUE"""),"น.ส.นุรอัยซะห์ แวโดยี")</f>
        <v>น.ส.นุรอัยซะห์ แวโดยี</v>
      </c>
      <c r="C2017" s="3" t="str">
        <f>IFERROR(__xludf.DUMMYFUNCTION("""COMPUTED_VALUE"""),"ม.5/9")</f>
        <v>ม.5/9</v>
      </c>
      <c r="D2017" s="3" t="str">
        <f>IFERROR(__xludf.DUMMYFUNCTION("""COMPUTED_VALUE"""),"อป.1/3")</f>
        <v>อป.1/3</v>
      </c>
      <c r="E2017" s="2" t="str">
        <f>IFERROR(__xludf.DUMMYFUNCTION("""COMPUTED_VALUE"""),"หญิง")</f>
        <v>หญิง</v>
      </c>
      <c r="F2017" s="5" t="str">
        <f>IFERROR(__xludf.DUMMYFUNCTION("""COMPUTED_VALUE"""),"https://azizstan.net/student_image/23795.jpg")</f>
        <v>https://azizstan.net/student_image/23795.jpg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>
      <c r="A2018" s="3" t="str">
        <f>IFERROR(__xludf.DUMMYFUNCTION("""COMPUTED_VALUE"""),"23801")</f>
        <v>23801</v>
      </c>
      <c r="B2018" s="3" t="str">
        <f>IFERROR(__xludf.DUMMYFUNCTION("""COMPUTED_VALUE"""),"น.ส.ซัลวา มะกูวิง")</f>
        <v>น.ส.ซัลวา มะกูวิง</v>
      </c>
      <c r="C2018" s="3" t="str">
        <f>IFERROR(__xludf.DUMMYFUNCTION("""COMPUTED_VALUE"""),"ม.5/9")</f>
        <v>ม.5/9</v>
      </c>
      <c r="D2018" s="3" t="str">
        <f>IFERROR(__xludf.DUMMYFUNCTION("""COMPUTED_VALUE"""),"อป.2/1")</f>
        <v>อป.2/1</v>
      </c>
      <c r="E2018" s="2" t="str">
        <f>IFERROR(__xludf.DUMMYFUNCTION("""COMPUTED_VALUE"""),"หญิง")</f>
        <v>หญิง</v>
      </c>
      <c r="F2018" s="5" t="str">
        <f>IFERROR(__xludf.DUMMYFUNCTION("""COMPUTED_VALUE"""),"https://azizstan.net/student_image/23801.jpg")</f>
        <v>https://azizstan.net/student_image/23801.jpg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>
      <c r="A2019" s="3" t="str">
        <f>IFERROR(__xludf.DUMMYFUNCTION("""COMPUTED_VALUE"""),"23886")</f>
        <v>23886</v>
      </c>
      <c r="B2019" s="3" t="str">
        <f>IFERROR(__xludf.DUMMYFUNCTION("""COMPUTED_VALUE"""),"น.ส.อามีเน๊าะ การีนา")</f>
        <v>น.ส.อามีเน๊าะ การีนา</v>
      </c>
      <c r="C2019" s="3" t="str">
        <f>IFERROR(__xludf.DUMMYFUNCTION("""COMPUTED_VALUE"""),"ม.5/9")</f>
        <v>ม.5/9</v>
      </c>
      <c r="D2019" s="3" t="str">
        <f>IFERROR(__xludf.DUMMYFUNCTION("""COMPUTED_VALUE"""),"อก.3/9")</f>
        <v>อก.3/9</v>
      </c>
      <c r="E2019" s="2" t="str">
        <f>IFERROR(__xludf.DUMMYFUNCTION("""COMPUTED_VALUE"""),"หญิง")</f>
        <v>หญิง</v>
      </c>
      <c r="F2019" s="5" t="str">
        <f>IFERROR(__xludf.DUMMYFUNCTION("""COMPUTED_VALUE"""),"https://azizstan.net/student_image/23886.jpg")</f>
        <v>https://azizstan.net/student_image/23886.jpg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>
      <c r="A2020" s="3" t="str">
        <f>IFERROR(__xludf.DUMMYFUNCTION("""COMPUTED_VALUE"""),"23965")</f>
        <v>23965</v>
      </c>
      <c r="B2020" s="3" t="str">
        <f>IFERROR(__xludf.DUMMYFUNCTION("""COMPUTED_VALUE"""),"น.ส.ณัจวาร์ แวเดร์")</f>
        <v>น.ส.ณัจวาร์ แวเดร์</v>
      </c>
      <c r="C2020" s="3" t="str">
        <f>IFERROR(__xludf.DUMMYFUNCTION("""COMPUTED_VALUE"""),"ม.5/9")</f>
        <v>ม.5/9</v>
      </c>
      <c r="D2020" s="3" t="str">
        <f>IFERROR(__xludf.DUMMYFUNCTION("""COMPUTED_VALUE"""),"อป.2/1")</f>
        <v>อป.2/1</v>
      </c>
      <c r="E2020" s="2" t="str">
        <f>IFERROR(__xludf.DUMMYFUNCTION("""COMPUTED_VALUE"""),"หญิง")</f>
        <v>หญิง</v>
      </c>
      <c r="F2020" s="5" t="str">
        <f>IFERROR(__xludf.DUMMYFUNCTION("""COMPUTED_VALUE"""),"https://azizstan.net/student_image/23965.jpg")</f>
        <v>https://azizstan.net/student_image/23965.jpg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>
      <c r="A2021" s="3" t="str">
        <f>IFERROR(__xludf.DUMMYFUNCTION("""COMPUTED_VALUE"""),"24776")</f>
        <v>24776</v>
      </c>
      <c r="B2021" s="3" t="str">
        <f>IFERROR(__xludf.DUMMYFUNCTION("""COMPUTED_VALUE"""),"น.ส.นุสรา มุนิมะ")</f>
        <v>น.ส.นุสรา มุนิมะ</v>
      </c>
      <c r="C2021" s="3" t="str">
        <f>IFERROR(__xludf.DUMMYFUNCTION("""COMPUTED_VALUE"""),"ม.5/9")</f>
        <v>ม.5/9</v>
      </c>
      <c r="D2021" s="3" t="str">
        <f>IFERROR(__xludf.DUMMYFUNCTION("""COMPUTED_VALUE"""),"อก.3/9")</f>
        <v>อก.3/9</v>
      </c>
      <c r="E2021" s="2" t="str">
        <f>IFERROR(__xludf.DUMMYFUNCTION("""COMPUTED_VALUE"""),"หญิง")</f>
        <v>หญิง</v>
      </c>
      <c r="F2021" s="5" t="str">
        <f>IFERROR(__xludf.DUMMYFUNCTION("""COMPUTED_VALUE"""),"https://azizstan.net/student_image/24776.jpg")</f>
        <v>https://azizstan.net/student_image/24776.jpg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>
      <c r="A2022" s="3" t="str">
        <f>IFERROR(__xludf.DUMMYFUNCTION("""COMPUTED_VALUE"""),"25124")</f>
        <v>25124</v>
      </c>
      <c r="B2022" s="3" t="str">
        <f>IFERROR(__xludf.DUMMYFUNCTION("""COMPUTED_VALUE"""),"น.ส.นูร์อาฟีตาร์ ยา")</f>
        <v>น.ส.นูร์อาฟีตาร์ ยา</v>
      </c>
      <c r="C2022" s="3" t="str">
        <f>IFERROR(__xludf.DUMMYFUNCTION("""COMPUTED_VALUE"""),"ม.5/9")</f>
        <v>ม.5/9</v>
      </c>
      <c r="D2022" s="3" t="str">
        <f>IFERROR(__xludf.DUMMYFUNCTION("""COMPUTED_VALUE"""),"อป.2/1")</f>
        <v>อป.2/1</v>
      </c>
      <c r="E2022" s="2" t="str">
        <f>IFERROR(__xludf.DUMMYFUNCTION("""COMPUTED_VALUE"""),"หญิง")</f>
        <v>หญิง</v>
      </c>
      <c r="F2022" s="5" t="str">
        <f>IFERROR(__xludf.DUMMYFUNCTION("""COMPUTED_VALUE"""),"https://azizstan.net/student_image/25124.jpg")</f>
        <v>https://azizstan.net/student_image/25124.jpg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>
      <c r="A2023" s="3" t="str">
        <f>IFERROR(__xludf.DUMMYFUNCTION("""COMPUTED_VALUE"""),"25204")</f>
        <v>25204</v>
      </c>
      <c r="B2023" s="3" t="str">
        <f>IFERROR(__xludf.DUMMYFUNCTION("""COMPUTED_VALUE"""),"น.ส.นัรมี สะแม")</f>
        <v>น.ส.นัรมี สะแม</v>
      </c>
      <c r="C2023" s="3" t="str">
        <f>IFERROR(__xludf.DUMMYFUNCTION("""COMPUTED_VALUE"""),"ม.5/9")</f>
        <v>ม.5/9</v>
      </c>
      <c r="D2023" s="3" t="str">
        <f>IFERROR(__xludf.DUMMYFUNCTION("""COMPUTED_VALUE"""),"อป.2/1")</f>
        <v>อป.2/1</v>
      </c>
      <c r="E2023" s="2" t="str">
        <f>IFERROR(__xludf.DUMMYFUNCTION("""COMPUTED_VALUE"""),"หญิง")</f>
        <v>หญิง</v>
      </c>
      <c r="F2023" s="5" t="str">
        <f>IFERROR(__xludf.DUMMYFUNCTION("""COMPUTED_VALUE"""),"https://azizstan.net/student_image/25204.jpg")</f>
        <v>https://azizstan.net/student_image/25204.jpg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>
      <c r="A2024" s="3" t="str">
        <f>IFERROR(__xludf.DUMMYFUNCTION("""COMPUTED_VALUE"""),"25335")</f>
        <v>25335</v>
      </c>
      <c r="B2024" s="3" t="str">
        <f>IFERROR(__xludf.DUMMYFUNCTION("""COMPUTED_VALUE"""),"น.ส.มารีน่า วานิ")</f>
        <v>น.ส.มารีน่า วานิ</v>
      </c>
      <c r="C2024" s="3" t="str">
        <f>IFERROR(__xludf.DUMMYFUNCTION("""COMPUTED_VALUE"""),"ม.5/9")</f>
        <v>ม.5/9</v>
      </c>
      <c r="D2024" s="3" t="str">
        <f>IFERROR(__xludf.DUMMYFUNCTION("""COMPUTED_VALUE"""),"อป.2/1")</f>
        <v>อป.2/1</v>
      </c>
      <c r="E2024" s="2" t="str">
        <f>IFERROR(__xludf.DUMMYFUNCTION("""COMPUTED_VALUE"""),"หญิง")</f>
        <v>หญิง</v>
      </c>
      <c r="F2024" s="5" t="str">
        <f>IFERROR(__xludf.DUMMYFUNCTION("""COMPUTED_VALUE"""),"https://azizstan.net/student_image/25335.jpg")</f>
        <v>https://azizstan.net/student_image/25335.jpg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>
      <c r="A2025" s="3" t="str">
        <f>IFERROR(__xludf.DUMMYFUNCTION("""COMPUTED_VALUE"""),"25355")</f>
        <v>25355</v>
      </c>
      <c r="B2025" s="3" t="str">
        <f>IFERROR(__xludf.DUMMYFUNCTION("""COMPUTED_VALUE"""),"น.ส.นาเดีย โสะปนแอ")</f>
        <v>น.ส.นาเดีย โสะปนแอ</v>
      </c>
      <c r="C2025" s="3" t="str">
        <f>IFERROR(__xludf.DUMMYFUNCTION("""COMPUTED_VALUE"""),"ม.5/9")</f>
        <v>ม.5/9</v>
      </c>
      <c r="D2025" s="3" t="str">
        <f>IFERROR(__xludf.DUMMYFUNCTION("""COMPUTED_VALUE"""),"อป.2/1")</f>
        <v>อป.2/1</v>
      </c>
      <c r="E2025" s="2" t="str">
        <f>IFERROR(__xludf.DUMMYFUNCTION("""COMPUTED_VALUE"""),"หญิง")</f>
        <v>หญิง</v>
      </c>
      <c r="F2025" s="5" t="str">
        <f>IFERROR(__xludf.DUMMYFUNCTION("""COMPUTED_VALUE"""),"https://azizstan.net/student_image/25355.jpg")</f>
        <v>https://azizstan.net/student_image/25355.jpg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>
      <c r="A2026" s="3" t="str">
        <f>IFERROR(__xludf.DUMMYFUNCTION("""COMPUTED_VALUE"""),"25403")</f>
        <v>25403</v>
      </c>
      <c r="B2026" s="3" t="str">
        <f>IFERROR(__xludf.DUMMYFUNCTION("""COMPUTED_VALUE"""),"น.ส.ซูไฮลา สาแม")</f>
        <v>น.ส.ซูไฮลา สาแม</v>
      </c>
      <c r="C2026" s="3" t="str">
        <f>IFERROR(__xludf.DUMMYFUNCTION("""COMPUTED_VALUE"""),"ม.5/9")</f>
        <v>ม.5/9</v>
      </c>
      <c r="D2026" s="3" t="str">
        <f>IFERROR(__xludf.DUMMYFUNCTION("""COMPUTED_VALUE"""),"อก.2/13")</f>
        <v>อก.2/13</v>
      </c>
      <c r="E2026" s="2" t="str">
        <f>IFERROR(__xludf.DUMMYFUNCTION("""COMPUTED_VALUE"""),"หญิง")</f>
        <v>หญิง</v>
      </c>
      <c r="F2026" s="5" t="str">
        <f>IFERROR(__xludf.DUMMYFUNCTION("""COMPUTED_VALUE"""),"https://azizstan.net/student_image/25403.jpg")</f>
        <v>https://azizstan.net/student_image/25403.jpg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>
      <c r="A2027" s="3" t="str">
        <f>IFERROR(__xludf.DUMMYFUNCTION("""COMPUTED_VALUE"""),"25467")</f>
        <v>25467</v>
      </c>
      <c r="B2027" s="3" t="str">
        <f>IFERROR(__xludf.DUMMYFUNCTION("""COMPUTED_VALUE"""),"น.ส.อารีดา สาแม")</f>
        <v>น.ส.อารีดา สาแม</v>
      </c>
      <c r="C2027" s="3" t="str">
        <f>IFERROR(__xludf.DUMMYFUNCTION("""COMPUTED_VALUE"""),"ม.5/9")</f>
        <v>ม.5/9</v>
      </c>
      <c r="D2027" s="3" t="str">
        <f>IFERROR(__xludf.DUMMYFUNCTION("""COMPUTED_VALUE"""),"อก.2/13")</f>
        <v>อก.2/13</v>
      </c>
      <c r="E2027" s="2" t="str">
        <f>IFERROR(__xludf.DUMMYFUNCTION("""COMPUTED_VALUE"""),"หญิง")</f>
        <v>หญิง</v>
      </c>
      <c r="F2027" s="5" t="str">
        <f>IFERROR(__xludf.DUMMYFUNCTION("""COMPUTED_VALUE"""),"https://azizstan.net/student_image/25467.jpg")</f>
        <v>https://azizstan.net/student_image/25467.jpg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>
      <c r="A2028" s="3" t="str">
        <f>IFERROR(__xludf.DUMMYFUNCTION("""COMPUTED_VALUE"""),"25468")</f>
        <v>25468</v>
      </c>
      <c r="B2028" s="3" t="str">
        <f>IFERROR(__xludf.DUMMYFUNCTION("""COMPUTED_VALUE"""),"น.ส.ลันตีรา ลาเตะ")</f>
        <v>น.ส.ลันตีรา ลาเตะ</v>
      </c>
      <c r="C2028" s="3" t="str">
        <f>IFERROR(__xludf.DUMMYFUNCTION("""COMPUTED_VALUE"""),"ม.5/9")</f>
        <v>ม.5/9</v>
      </c>
      <c r="D2028" s="3" t="str">
        <f>IFERROR(__xludf.DUMMYFUNCTION("""COMPUTED_VALUE"""),"อก.2/13")</f>
        <v>อก.2/13</v>
      </c>
      <c r="E2028" s="2" t="str">
        <f>IFERROR(__xludf.DUMMYFUNCTION("""COMPUTED_VALUE"""),"หญิง")</f>
        <v>หญิง</v>
      </c>
      <c r="F2028" s="5" t="str">
        <f>IFERROR(__xludf.DUMMYFUNCTION("""COMPUTED_VALUE"""),"https://azizstan.net/student_image/25468.jpg")</f>
        <v>https://azizstan.net/student_image/25468.jpg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>
      <c r="A2029" s="3" t="str">
        <f>IFERROR(__xludf.DUMMYFUNCTION("""COMPUTED_VALUE"""),"25508")</f>
        <v>25508</v>
      </c>
      <c r="B2029" s="3" t="str">
        <f>IFERROR(__xludf.DUMMYFUNCTION("""COMPUTED_VALUE"""),"น.ส.นูรฟาเดียร์ ดาหะหลี")</f>
        <v>น.ส.นูรฟาเดียร์ ดาหะหลี</v>
      </c>
      <c r="C2029" s="3" t="str">
        <f>IFERROR(__xludf.DUMMYFUNCTION("""COMPUTED_VALUE"""),"ม.5/9")</f>
        <v>ม.5/9</v>
      </c>
      <c r="D2029" s="3" t="str">
        <f>IFERROR(__xludf.DUMMYFUNCTION("""COMPUTED_VALUE"""),"อป.2/1")</f>
        <v>อป.2/1</v>
      </c>
      <c r="E2029" s="2" t="str">
        <f>IFERROR(__xludf.DUMMYFUNCTION("""COMPUTED_VALUE"""),"หญิง")</f>
        <v>หญิง</v>
      </c>
      <c r="F2029" s="5" t="str">
        <f>IFERROR(__xludf.DUMMYFUNCTION("""COMPUTED_VALUE"""),"https://azizstan.net/student_image/25508.jpg")</f>
        <v>https://azizstan.net/student_image/25508.jpg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>
      <c r="A2030" s="3" t="str">
        <f>IFERROR(__xludf.DUMMYFUNCTION("""COMPUTED_VALUE"""),"25531")</f>
        <v>25531</v>
      </c>
      <c r="B2030" s="3" t="str">
        <f>IFERROR(__xludf.DUMMYFUNCTION("""COMPUTED_VALUE"""),"น.ส.ตัสนียะห์ มะ")</f>
        <v>น.ส.ตัสนียะห์ มะ</v>
      </c>
      <c r="C2030" s="3" t="str">
        <f>IFERROR(__xludf.DUMMYFUNCTION("""COMPUTED_VALUE"""),"ม.5/9")</f>
        <v>ม.5/9</v>
      </c>
      <c r="D2030" s="3" t="str">
        <f>IFERROR(__xludf.DUMMYFUNCTION("""COMPUTED_VALUE"""),"อป.2/1")</f>
        <v>อป.2/1</v>
      </c>
      <c r="E2030" s="2" t="str">
        <f>IFERROR(__xludf.DUMMYFUNCTION("""COMPUTED_VALUE"""),"หญิง")</f>
        <v>หญิง</v>
      </c>
      <c r="F2030" s="5" t="str">
        <f>IFERROR(__xludf.DUMMYFUNCTION("""COMPUTED_VALUE"""),"https://azizstan.net/student_image/25531.jpg")</f>
        <v>https://azizstan.net/student_image/25531.jpg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>
      <c r="A2031" s="3" t="str">
        <f>IFERROR(__xludf.DUMMYFUNCTION("""COMPUTED_VALUE"""),"25534")</f>
        <v>25534</v>
      </c>
      <c r="B2031" s="3" t="str">
        <f>IFERROR(__xludf.DUMMYFUNCTION("""COMPUTED_VALUE"""),"น.ส.ซัลวา จิใจ")</f>
        <v>น.ส.ซัลวา จิใจ</v>
      </c>
      <c r="C2031" s="3" t="str">
        <f>IFERROR(__xludf.DUMMYFUNCTION("""COMPUTED_VALUE"""),"ม.5/9")</f>
        <v>ม.5/9</v>
      </c>
      <c r="D2031" s="3" t="str">
        <f>IFERROR(__xludf.DUMMYFUNCTION("""COMPUTED_VALUE"""),"อป.2/1")</f>
        <v>อป.2/1</v>
      </c>
      <c r="E2031" s="2" t="str">
        <f>IFERROR(__xludf.DUMMYFUNCTION("""COMPUTED_VALUE"""),"หญิง")</f>
        <v>หญิง</v>
      </c>
      <c r="F2031" s="5" t="str">
        <f>IFERROR(__xludf.DUMMYFUNCTION("""COMPUTED_VALUE"""),"https://azizstan.net/student_image/25534.jpg")</f>
        <v>https://azizstan.net/student_image/25534.jpg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>
      <c r="A2032" s="3" t="str">
        <f>IFERROR(__xludf.DUMMYFUNCTION("""COMPUTED_VALUE"""),"25622")</f>
        <v>25622</v>
      </c>
      <c r="B2032" s="3" t="str">
        <f>IFERROR(__xludf.DUMMYFUNCTION("""COMPUTED_VALUE"""),"น.ส.ซีตีนูรอาลีซา เหล๊าะหมาน")</f>
        <v>น.ส.ซีตีนูรอาลีซา เหล๊าะหมาน</v>
      </c>
      <c r="C2032" s="3" t="str">
        <f>IFERROR(__xludf.DUMMYFUNCTION("""COMPUTED_VALUE"""),"ม.5/9")</f>
        <v>ม.5/9</v>
      </c>
      <c r="D2032" s="3" t="str">
        <f>IFERROR(__xludf.DUMMYFUNCTION("""COMPUTED_VALUE"""),"อก.2/13")</f>
        <v>อก.2/13</v>
      </c>
      <c r="E2032" s="2" t="str">
        <f>IFERROR(__xludf.DUMMYFUNCTION("""COMPUTED_VALUE"""),"หญิง")</f>
        <v>หญิง</v>
      </c>
      <c r="F2032" s="5" t="str">
        <f>IFERROR(__xludf.DUMMYFUNCTION("""COMPUTED_VALUE"""),"https://azizstan.net/student_image/25622.jpg")</f>
        <v>https://azizstan.net/student_image/25622.jpg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>
      <c r="A2033" s="3" t="str">
        <f>IFERROR(__xludf.DUMMYFUNCTION("""COMPUTED_VALUE"""),"25625")</f>
        <v>25625</v>
      </c>
      <c r="B2033" s="3" t="str">
        <f>IFERROR(__xludf.DUMMYFUNCTION("""COMPUTED_VALUE"""),"น.ส.ฟาเดียร์ อาซ่อง")</f>
        <v>น.ส.ฟาเดียร์ อาซ่อง</v>
      </c>
      <c r="C2033" s="3" t="str">
        <f>IFERROR(__xludf.DUMMYFUNCTION("""COMPUTED_VALUE"""),"ม.5/9")</f>
        <v>ม.5/9</v>
      </c>
      <c r="D2033" s="3" t="str">
        <f>IFERROR(__xludf.DUMMYFUNCTION("""COMPUTED_VALUE"""),"อก.2/13")</f>
        <v>อก.2/13</v>
      </c>
      <c r="E2033" s="2" t="str">
        <f>IFERROR(__xludf.DUMMYFUNCTION("""COMPUTED_VALUE"""),"หญิง")</f>
        <v>หญิง</v>
      </c>
      <c r="F2033" s="5" t="str">
        <f>IFERROR(__xludf.DUMMYFUNCTION("""COMPUTED_VALUE"""),"https://azizstan.net/student_image/25625.jpg")</f>
        <v>https://azizstan.net/student_image/25625.jpg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>
      <c r="A2034" s="3" t="str">
        <f>IFERROR(__xludf.DUMMYFUNCTION("""COMPUTED_VALUE"""),"25628")</f>
        <v>25628</v>
      </c>
      <c r="B2034" s="3" t="str">
        <f>IFERROR(__xludf.DUMMYFUNCTION("""COMPUTED_VALUE"""),"น.ส.นูรฮาซีละห์ เมาะอะ")</f>
        <v>น.ส.นูรฮาซีละห์ เมาะอะ</v>
      </c>
      <c r="C2034" s="3" t="str">
        <f>IFERROR(__xludf.DUMMYFUNCTION("""COMPUTED_VALUE"""),"ม.5/9")</f>
        <v>ม.5/9</v>
      </c>
      <c r="D2034" s="3" t="str">
        <f>IFERROR(__xludf.DUMMYFUNCTION("""COMPUTED_VALUE"""),"อก.2/13")</f>
        <v>อก.2/13</v>
      </c>
      <c r="E2034" s="2" t="str">
        <f>IFERROR(__xludf.DUMMYFUNCTION("""COMPUTED_VALUE"""),"หญิง")</f>
        <v>หญิง</v>
      </c>
      <c r="F2034" s="5" t="str">
        <f>IFERROR(__xludf.DUMMYFUNCTION("""COMPUTED_VALUE"""),"https://azizstan.net/student_image/25628.jpg")</f>
        <v>https://azizstan.net/student_image/25628.jpg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>
      <c r="A2035" s="3" t="str">
        <f>IFERROR(__xludf.DUMMYFUNCTION("""COMPUTED_VALUE"""),"25636")</f>
        <v>25636</v>
      </c>
      <c r="B2035" s="3" t="str">
        <f>IFERROR(__xludf.DUMMYFUNCTION("""COMPUTED_VALUE"""),"น.ส.ฮัฟณี บาราเฮ็ง")</f>
        <v>น.ส.ฮัฟณี บาราเฮ็ง</v>
      </c>
      <c r="C2035" s="3" t="str">
        <f>IFERROR(__xludf.DUMMYFUNCTION("""COMPUTED_VALUE"""),"ม.5/9")</f>
        <v>ม.5/9</v>
      </c>
      <c r="D2035" s="3" t="str">
        <f>IFERROR(__xludf.DUMMYFUNCTION("""COMPUTED_VALUE"""),"อป.2/1")</f>
        <v>อป.2/1</v>
      </c>
      <c r="E2035" s="2" t="str">
        <f>IFERROR(__xludf.DUMMYFUNCTION("""COMPUTED_VALUE"""),"หญิง")</f>
        <v>หญิง</v>
      </c>
      <c r="F2035" s="5" t="str">
        <f>IFERROR(__xludf.DUMMYFUNCTION("""COMPUTED_VALUE"""),"https://azizstan.net/student_image/25636.jpg")</f>
        <v>https://azizstan.net/student_image/25636.jpg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>
      <c r="A2036" s="3" t="str">
        <f>IFERROR(__xludf.DUMMYFUNCTION("""COMPUTED_VALUE"""),"25637")</f>
        <v>25637</v>
      </c>
      <c r="B2036" s="3" t="str">
        <f>IFERROR(__xludf.DUMMYFUNCTION("""COMPUTED_VALUE"""),"น.ส.นุรมี ชูมุง")</f>
        <v>น.ส.นุรมี ชูมุง</v>
      </c>
      <c r="C2036" s="3" t="str">
        <f>IFERROR(__xludf.DUMMYFUNCTION("""COMPUTED_VALUE"""),"ม.5/9")</f>
        <v>ม.5/9</v>
      </c>
      <c r="D2036" s="3" t="str">
        <f>IFERROR(__xludf.DUMMYFUNCTION("""COMPUTED_VALUE"""),"อก.2/13")</f>
        <v>อก.2/13</v>
      </c>
      <c r="E2036" s="2" t="str">
        <f>IFERROR(__xludf.DUMMYFUNCTION("""COMPUTED_VALUE"""),"หญิง")</f>
        <v>หญิง</v>
      </c>
      <c r="F2036" s="5" t="str">
        <f>IFERROR(__xludf.DUMMYFUNCTION("""COMPUTED_VALUE"""),"https://azizstan.net/student_image/25637.jpg")</f>
        <v>https://azizstan.net/student_image/25637.jpg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>
      <c r="A2037" s="3" t="str">
        <f>IFERROR(__xludf.DUMMYFUNCTION("""COMPUTED_VALUE"""),"25653")</f>
        <v>25653</v>
      </c>
      <c r="B2037" s="3" t="str">
        <f>IFERROR(__xludf.DUMMYFUNCTION("""COMPUTED_VALUE"""),"น.ส.มูนาซีเร๊าะ หลงนิเล๊าะ")</f>
        <v>น.ส.มูนาซีเร๊าะ หลงนิเล๊าะ</v>
      </c>
      <c r="C2037" s="3" t="str">
        <f>IFERROR(__xludf.DUMMYFUNCTION("""COMPUTED_VALUE"""),"ม.5/9")</f>
        <v>ม.5/9</v>
      </c>
      <c r="D2037" s="3" t="str">
        <f>IFERROR(__xludf.DUMMYFUNCTION("""COMPUTED_VALUE"""),"อป.2/1")</f>
        <v>อป.2/1</v>
      </c>
      <c r="E2037" s="2" t="str">
        <f>IFERROR(__xludf.DUMMYFUNCTION("""COMPUTED_VALUE"""),"หญิง")</f>
        <v>หญิง</v>
      </c>
      <c r="F2037" s="5" t="str">
        <f>IFERROR(__xludf.DUMMYFUNCTION("""COMPUTED_VALUE"""),"https://azizstan.net/student_image/25653.jpg")</f>
        <v>https://azizstan.net/student_image/25653.jpg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>
      <c r="A2038" s="3" t="str">
        <f>IFERROR(__xludf.DUMMYFUNCTION("""COMPUTED_VALUE"""),"25667")</f>
        <v>25667</v>
      </c>
      <c r="B2038" s="3" t="str">
        <f>IFERROR(__xludf.DUMMYFUNCTION("""COMPUTED_VALUE"""),"น.ส.นูรฮัลวา มะยีงอ")</f>
        <v>น.ส.นูรฮัลวา มะยีงอ</v>
      </c>
      <c r="C2038" s="3" t="str">
        <f>IFERROR(__xludf.DUMMYFUNCTION("""COMPUTED_VALUE"""),"ม.5/9")</f>
        <v>ม.5/9</v>
      </c>
      <c r="D2038" s="3" t="str">
        <f>IFERROR(__xludf.DUMMYFUNCTION("""COMPUTED_VALUE"""),"อป.2/1")</f>
        <v>อป.2/1</v>
      </c>
      <c r="E2038" s="2" t="str">
        <f>IFERROR(__xludf.DUMMYFUNCTION("""COMPUTED_VALUE"""),"หญิง")</f>
        <v>หญิง</v>
      </c>
      <c r="F2038" s="5" t="str">
        <f>IFERROR(__xludf.DUMMYFUNCTION("""COMPUTED_VALUE"""),"https://azizstan.net/student_image/25667.jpg")</f>
        <v>https://azizstan.net/student_image/25667.jpg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>
      <c r="A2039" s="3" t="str">
        <f>IFERROR(__xludf.DUMMYFUNCTION("""COMPUTED_VALUE"""),"25689")</f>
        <v>25689</v>
      </c>
      <c r="B2039" s="3" t="str">
        <f>IFERROR(__xludf.DUMMYFUNCTION("""COMPUTED_VALUE"""),"น.ส.นูรฟาฏอนี แวหะยี")</f>
        <v>น.ส.นูรฟาฏอนี แวหะยี</v>
      </c>
      <c r="C2039" s="3" t="str">
        <f>IFERROR(__xludf.DUMMYFUNCTION("""COMPUTED_VALUE"""),"ม.5/9")</f>
        <v>ม.5/9</v>
      </c>
      <c r="D2039" s="3" t="str">
        <f>IFERROR(__xludf.DUMMYFUNCTION("""COMPUTED_VALUE"""),"อป.2/1")</f>
        <v>อป.2/1</v>
      </c>
      <c r="E2039" s="2" t="str">
        <f>IFERROR(__xludf.DUMMYFUNCTION("""COMPUTED_VALUE"""),"หญิง")</f>
        <v>หญิง</v>
      </c>
      <c r="F2039" s="5" t="str">
        <f>IFERROR(__xludf.DUMMYFUNCTION("""COMPUTED_VALUE"""),"https://azizstan.net/student_image/25689.jpg")</f>
        <v>https://azizstan.net/student_image/25689.jpg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>
      <c r="A2040" s="3" t="str">
        <f>IFERROR(__xludf.DUMMYFUNCTION("""COMPUTED_VALUE"""),"25723")</f>
        <v>25723</v>
      </c>
      <c r="B2040" s="3" t="str">
        <f>IFERROR(__xludf.DUMMYFUNCTION("""COMPUTED_VALUE"""),"น.ส.อัสมะ มีลอ")</f>
        <v>น.ส.อัสมะ มีลอ</v>
      </c>
      <c r="C2040" s="3" t="str">
        <f>IFERROR(__xludf.DUMMYFUNCTION("""COMPUTED_VALUE"""),"ม.5/9")</f>
        <v>ม.5/9</v>
      </c>
      <c r="D2040" s="3" t="str">
        <f>IFERROR(__xludf.DUMMYFUNCTION("""COMPUTED_VALUE"""),"อก.2/13")</f>
        <v>อก.2/13</v>
      </c>
      <c r="E2040" s="2" t="str">
        <f>IFERROR(__xludf.DUMMYFUNCTION("""COMPUTED_VALUE"""),"หญิง")</f>
        <v>หญิง</v>
      </c>
      <c r="F2040" s="5" t="str">
        <f>IFERROR(__xludf.DUMMYFUNCTION("""COMPUTED_VALUE"""),"https://azizstan.net/student_image/25723.jpg")</f>
        <v>https://azizstan.net/student_image/25723.jpg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>
      <c r="A2041" s="3" t="str">
        <f>IFERROR(__xludf.DUMMYFUNCTION("""COMPUTED_VALUE"""),"25795")</f>
        <v>25795</v>
      </c>
      <c r="B2041" s="3" t="str">
        <f>IFERROR(__xludf.DUMMYFUNCTION("""COMPUTED_VALUE"""),"น.ส.อามีเน๊าะ สาแลแม")</f>
        <v>น.ส.อามีเน๊าะ สาแลแม</v>
      </c>
      <c r="C2041" s="3" t="str">
        <f>IFERROR(__xludf.DUMMYFUNCTION("""COMPUTED_VALUE"""),"ม.5/9")</f>
        <v>ม.5/9</v>
      </c>
      <c r="D2041" s="3" t="str">
        <f>IFERROR(__xludf.DUMMYFUNCTION("""COMPUTED_VALUE"""),"อก.2/13")</f>
        <v>อก.2/13</v>
      </c>
      <c r="E2041" s="2" t="str">
        <f>IFERROR(__xludf.DUMMYFUNCTION("""COMPUTED_VALUE"""),"หญิง")</f>
        <v>หญิง</v>
      </c>
      <c r="F2041" s="5" t="str">
        <f>IFERROR(__xludf.DUMMYFUNCTION("""COMPUTED_VALUE"""),"https://azizstan.net/student_image/25795.jpg")</f>
        <v>https://azizstan.net/student_image/25795.jpg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>
      <c r="A2042" s="3" t="str">
        <f>IFERROR(__xludf.DUMMYFUNCTION("""COMPUTED_VALUE"""),"25811")</f>
        <v>25811</v>
      </c>
      <c r="B2042" s="3" t="str">
        <f>IFERROR(__xludf.DUMMYFUNCTION("""COMPUTED_VALUE"""),"น.ส.อณิมา หมีนหนุด")</f>
        <v>น.ส.อณิมา หมีนหนุด</v>
      </c>
      <c r="C2042" s="3" t="str">
        <f>IFERROR(__xludf.DUMMYFUNCTION("""COMPUTED_VALUE"""),"ม.5/9")</f>
        <v>ม.5/9</v>
      </c>
      <c r="D2042" s="3" t="str">
        <f>IFERROR(__xludf.DUMMYFUNCTION("""COMPUTED_VALUE"""),"อป.2/1")</f>
        <v>อป.2/1</v>
      </c>
      <c r="E2042" s="2" t="str">
        <f>IFERROR(__xludf.DUMMYFUNCTION("""COMPUTED_VALUE"""),"หญิง")</f>
        <v>หญิง</v>
      </c>
      <c r="F2042" s="5" t="str">
        <f>IFERROR(__xludf.DUMMYFUNCTION("""COMPUTED_VALUE"""),"https://azizstan.net/student_image/25811.jpg")</f>
        <v>https://azizstan.net/student_image/25811.jpg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>
      <c r="A2043" s="3" t="str">
        <f>IFERROR(__xludf.DUMMYFUNCTION("""COMPUTED_VALUE"""),"25944")</f>
        <v>25944</v>
      </c>
      <c r="B2043" s="3" t="str">
        <f>IFERROR(__xludf.DUMMYFUNCTION("""COMPUTED_VALUE"""),"น.ส.กวินตรา รัตนชาญวาณิชย์")</f>
        <v>น.ส.กวินตรา รัตนชาญวาณิชย์</v>
      </c>
      <c r="C2043" s="3" t="str">
        <f>IFERROR(__xludf.DUMMYFUNCTION("""COMPUTED_VALUE"""),"ม.5/9")</f>
        <v>ม.5/9</v>
      </c>
      <c r="D2043" s="3" t="str">
        <f>IFERROR(__xludf.DUMMYFUNCTION("""COMPUTED_VALUE"""),"อก.2/13")</f>
        <v>อก.2/13</v>
      </c>
      <c r="E2043" s="2" t="str">
        <f>IFERROR(__xludf.DUMMYFUNCTION("""COMPUTED_VALUE"""),"หญิง")</f>
        <v>หญิง</v>
      </c>
      <c r="F2043" s="5" t="str">
        <f>IFERROR(__xludf.DUMMYFUNCTION("""COMPUTED_VALUE"""),"https://azizstan.net/student_image/25944.jpg")</f>
        <v>https://azizstan.net/student_image/25944.jpg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>
      <c r="A2044" s="3" t="str">
        <f>IFERROR(__xludf.DUMMYFUNCTION("""COMPUTED_VALUE"""),"25959")</f>
        <v>25959</v>
      </c>
      <c r="B2044" s="3" t="str">
        <f>IFERROR(__xludf.DUMMYFUNCTION("""COMPUTED_VALUE"""),"น.ส.รุสนี สะนิ")</f>
        <v>น.ส.รุสนี สะนิ</v>
      </c>
      <c r="C2044" s="3" t="str">
        <f>IFERROR(__xludf.DUMMYFUNCTION("""COMPUTED_VALUE"""),"ม.5/9")</f>
        <v>ม.5/9</v>
      </c>
      <c r="D2044" s="3" t="str">
        <f>IFERROR(__xludf.DUMMYFUNCTION("""COMPUTED_VALUE"""),"อก.2/13")</f>
        <v>อก.2/13</v>
      </c>
      <c r="E2044" s="2" t="str">
        <f>IFERROR(__xludf.DUMMYFUNCTION("""COMPUTED_VALUE"""),"หญิง")</f>
        <v>หญิง</v>
      </c>
      <c r="F2044" s="5" t="str">
        <f>IFERROR(__xludf.DUMMYFUNCTION("""COMPUTED_VALUE"""),"https://azizstan.net/student_image/25959.jpg")</f>
        <v>https://azizstan.net/student_image/25959.jpg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>
      <c r="A2045" s="3" t="str">
        <f>IFERROR(__xludf.DUMMYFUNCTION("""COMPUTED_VALUE"""),"25988")</f>
        <v>25988</v>
      </c>
      <c r="B2045" s="3" t="str">
        <f>IFERROR(__xludf.DUMMYFUNCTION("""COMPUTED_VALUE"""),"น.ส.วริศา หมัดชูโชติ")</f>
        <v>น.ส.วริศา หมัดชูโชติ</v>
      </c>
      <c r="C2045" s="3" t="str">
        <f>IFERROR(__xludf.DUMMYFUNCTION("""COMPUTED_VALUE"""),"ม.5/9")</f>
        <v>ม.5/9</v>
      </c>
      <c r="D2045" s="3" t="str">
        <f>IFERROR(__xludf.DUMMYFUNCTION("""COMPUTED_VALUE"""),"อก.2/13")</f>
        <v>อก.2/13</v>
      </c>
      <c r="E2045" s="2" t="str">
        <f>IFERROR(__xludf.DUMMYFUNCTION("""COMPUTED_VALUE"""),"หญิง")</f>
        <v>หญิง</v>
      </c>
      <c r="F2045" s="5" t="str">
        <f>IFERROR(__xludf.DUMMYFUNCTION("""COMPUTED_VALUE"""),"https://azizstan.net/student_image/25988.jpg")</f>
        <v>https://azizstan.net/student_image/25988.jpg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>
      <c r="A2046" s="3" t="str">
        <f>IFERROR(__xludf.DUMMYFUNCTION("""COMPUTED_VALUE"""),"26003")</f>
        <v>26003</v>
      </c>
      <c r="B2046" s="3" t="str">
        <f>IFERROR(__xludf.DUMMYFUNCTION("""COMPUTED_VALUE"""),"น.ส.นูรอาซีกีน บินโหว๊ะ")</f>
        <v>น.ส.นูรอาซีกีน บินโหว๊ะ</v>
      </c>
      <c r="C2046" s="3" t="str">
        <f>IFERROR(__xludf.DUMMYFUNCTION("""COMPUTED_VALUE"""),"ม.5/9")</f>
        <v>ม.5/9</v>
      </c>
      <c r="D2046" s="3" t="str">
        <f>IFERROR(__xludf.DUMMYFUNCTION("""COMPUTED_VALUE"""),"อก.2/13")</f>
        <v>อก.2/13</v>
      </c>
      <c r="E2046" s="2" t="str">
        <f>IFERROR(__xludf.DUMMYFUNCTION("""COMPUTED_VALUE"""),"หญิง")</f>
        <v>หญิง</v>
      </c>
      <c r="F2046" s="5" t="str">
        <f>IFERROR(__xludf.DUMMYFUNCTION("""COMPUTED_VALUE"""),"https://azizstan.net/student_image/26003.jpg")</f>
        <v>https://azizstan.net/student_image/26003.jpg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>
      <c r="A2047" s="3" t="str">
        <f>IFERROR(__xludf.DUMMYFUNCTION("""COMPUTED_VALUE"""),"26031")</f>
        <v>26031</v>
      </c>
      <c r="B2047" s="3" t="str">
        <f>IFERROR(__xludf.DUMMYFUNCTION("""COMPUTED_VALUE"""),"น.ส.ฮันนาน บาดง")</f>
        <v>น.ส.ฮันนาน บาดง</v>
      </c>
      <c r="C2047" s="3" t="str">
        <f>IFERROR(__xludf.DUMMYFUNCTION("""COMPUTED_VALUE"""),"ม.5/9")</f>
        <v>ม.5/9</v>
      </c>
      <c r="D2047" s="3" t="str">
        <f>IFERROR(__xludf.DUMMYFUNCTION("""COMPUTED_VALUE"""),"อก.2/13")</f>
        <v>อก.2/13</v>
      </c>
      <c r="E2047" s="2" t="str">
        <f>IFERROR(__xludf.DUMMYFUNCTION("""COMPUTED_VALUE"""),"หญิง")</f>
        <v>หญิง</v>
      </c>
      <c r="F2047" s="5" t="str">
        <f>IFERROR(__xludf.DUMMYFUNCTION("""COMPUTED_VALUE"""),"https://azizstan.net/student_image/26031.jpg")</f>
        <v>https://azizstan.net/student_image/26031.jpg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>
      <c r="A2048" s="3" t="str">
        <f>IFERROR(__xludf.DUMMYFUNCTION("""COMPUTED_VALUE"""),"26736")</f>
        <v>26736</v>
      </c>
      <c r="B2048" s="3" t="str">
        <f>IFERROR(__xludf.DUMMYFUNCTION("""COMPUTED_VALUE"""),"น.ส.สุภัสสรา มีมิง")</f>
        <v>น.ส.สุภัสสรา มีมิง</v>
      </c>
      <c r="C2048" s="3" t="str">
        <f>IFERROR(__xludf.DUMMYFUNCTION("""COMPUTED_VALUE"""),"ม.5/9")</f>
        <v>ม.5/9</v>
      </c>
      <c r="D2048" s="3" t="str">
        <f>IFERROR(__xludf.DUMMYFUNCTION("""COMPUTED_VALUE"""),"อก.2/13")</f>
        <v>อก.2/13</v>
      </c>
      <c r="E2048" s="2" t="str">
        <f>IFERROR(__xludf.DUMMYFUNCTION("""COMPUTED_VALUE"""),"หญิง")</f>
        <v>หญิง</v>
      </c>
      <c r="F2048" s="5" t="str">
        <f>IFERROR(__xludf.DUMMYFUNCTION("""COMPUTED_VALUE"""),"https://azizstan.net/student_image/26736.jpg")</f>
        <v>https://azizstan.net/student_image/26736.jpg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>
      <c r="A2049" s="3" t="str">
        <f>IFERROR(__xludf.DUMMYFUNCTION("""COMPUTED_VALUE"""),"26790")</f>
        <v>26790</v>
      </c>
      <c r="B2049" s="3" t="str">
        <f>IFERROR(__xludf.DUMMYFUNCTION("""COMPUTED_VALUE"""),"น.ส.นูรไอณี ดือราซอ")</f>
        <v>น.ส.นูรไอณี ดือราซอ</v>
      </c>
      <c r="C2049" s="3" t="str">
        <f>IFERROR(__xludf.DUMMYFUNCTION("""COMPUTED_VALUE"""),"ม.5/9")</f>
        <v>ม.5/9</v>
      </c>
      <c r="D2049" s="3" t="str">
        <f>IFERROR(__xludf.DUMMYFUNCTION("""COMPUTED_VALUE"""),"อก.2/13")</f>
        <v>อก.2/13</v>
      </c>
      <c r="E2049" s="2" t="str">
        <f>IFERROR(__xludf.DUMMYFUNCTION("""COMPUTED_VALUE"""),"หญิง")</f>
        <v>หญิง</v>
      </c>
      <c r="F2049" s="5" t="str">
        <f>IFERROR(__xludf.DUMMYFUNCTION("""COMPUTED_VALUE"""),"https://azizstan.net/student_image/26790.jpg")</f>
        <v>https://azizstan.net/student_image/26790.jpg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>
      <c r="A2050" s="3" t="str">
        <f>IFERROR(__xludf.DUMMYFUNCTION("""COMPUTED_VALUE"""),"23348")</f>
        <v>23348</v>
      </c>
      <c r="B2050" s="3" t="str">
        <f>IFERROR(__xludf.DUMMYFUNCTION("""COMPUTED_VALUE"""),"น.ส.ฟิตรียา โซะ")</f>
        <v>น.ส.ฟิตรียา โซะ</v>
      </c>
      <c r="C2050" s="3" t="str">
        <f>IFERROR(__xludf.DUMMYFUNCTION("""COMPUTED_VALUE"""),"ม.5/10")</f>
        <v>ม.5/10</v>
      </c>
      <c r="D2050" s="3" t="str">
        <f>IFERROR(__xludf.DUMMYFUNCTION("""COMPUTED_VALUE"""),"อป.1/2")</f>
        <v>อป.1/2</v>
      </c>
      <c r="E2050" s="2" t="str">
        <f>IFERROR(__xludf.DUMMYFUNCTION("""COMPUTED_VALUE"""),"หญิง")</f>
        <v>หญิง</v>
      </c>
      <c r="F2050" s="5" t="str">
        <f>IFERROR(__xludf.DUMMYFUNCTION("""COMPUTED_VALUE"""),"https://azizstan.net/student_image/23348.jpg")</f>
        <v>https://azizstan.net/student_image/23348.jpg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>
      <c r="A2051" s="3" t="str">
        <f>IFERROR(__xludf.DUMMYFUNCTION("""COMPUTED_VALUE"""),"23418")</f>
        <v>23418</v>
      </c>
      <c r="B2051" s="3" t="str">
        <f>IFERROR(__xludf.DUMMYFUNCTION("""COMPUTED_VALUE"""),"น.ส.อาดีละห์ มูสอ")</f>
        <v>น.ส.อาดีละห์ มูสอ</v>
      </c>
      <c r="C2051" s="3" t="str">
        <f>IFERROR(__xludf.DUMMYFUNCTION("""COMPUTED_VALUE"""),"ม.5/10")</f>
        <v>ม.5/10</v>
      </c>
      <c r="D2051" s="3" t="str">
        <f>IFERROR(__xludf.DUMMYFUNCTION("""COMPUTED_VALUE"""),"อก.3/16")</f>
        <v>อก.3/16</v>
      </c>
      <c r="E2051" s="2" t="str">
        <f>IFERROR(__xludf.DUMMYFUNCTION("""COMPUTED_VALUE"""),"หญิง")</f>
        <v>หญิง</v>
      </c>
      <c r="F2051" s="5" t="str">
        <f>IFERROR(__xludf.DUMMYFUNCTION("""COMPUTED_VALUE"""),"https://azizstan.net/student_image/23418.jpg")</f>
        <v>https://azizstan.net/student_image/23418.jpg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>
      <c r="A2052" s="3" t="str">
        <f>IFERROR(__xludf.DUMMYFUNCTION("""COMPUTED_VALUE"""),"23429")</f>
        <v>23429</v>
      </c>
      <c r="B2052" s="3" t="str">
        <f>IFERROR(__xludf.DUMMYFUNCTION("""COMPUTED_VALUE"""),"น.ส.อามานี กะดะแซ")</f>
        <v>น.ส.อามานี กะดะแซ</v>
      </c>
      <c r="C2052" s="3" t="str">
        <f>IFERROR(__xludf.DUMMYFUNCTION("""COMPUTED_VALUE"""),"ม.5/10")</f>
        <v>ม.5/10</v>
      </c>
      <c r="D2052" s="3" t="str">
        <f>IFERROR(__xludf.DUMMYFUNCTION("""COMPUTED_VALUE"""),"อก.3/18")</f>
        <v>อก.3/18</v>
      </c>
      <c r="E2052" s="2" t="str">
        <f>IFERROR(__xludf.DUMMYFUNCTION("""COMPUTED_VALUE"""),"หญิง")</f>
        <v>หญิง</v>
      </c>
      <c r="F2052" s="5" t="str">
        <f>IFERROR(__xludf.DUMMYFUNCTION("""COMPUTED_VALUE"""),"https://azizstan.net/student_image/23429.jpg")</f>
        <v>https://azizstan.net/student_image/23429.jpg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>
      <c r="A2053" s="3" t="str">
        <f>IFERROR(__xludf.DUMMYFUNCTION("""COMPUTED_VALUE"""),"23459")</f>
        <v>23459</v>
      </c>
      <c r="B2053" s="3" t="str">
        <f>IFERROR(__xludf.DUMMYFUNCTION("""COMPUTED_VALUE"""),"น.ส.นัสริน โสะติ")</f>
        <v>น.ส.นัสริน โสะติ</v>
      </c>
      <c r="C2053" s="3" t="str">
        <f>IFERROR(__xludf.DUMMYFUNCTION("""COMPUTED_VALUE"""),"ม.5/10")</f>
        <v>ม.5/10</v>
      </c>
      <c r="D2053" s="3" t="str">
        <f>IFERROR(__xludf.DUMMYFUNCTION("""COMPUTED_VALUE"""),"อก.3/16")</f>
        <v>อก.3/16</v>
      </c>
      <c r="E2053" s="2" t="str">
        <f>IFERROR(__xludf.DUMMYFUNCTION("""COMPUTED_VALUE"""),"หญิง")</f>
        <v>หญิง</v>
      </c>
      <c r="F2053" s="5" t="str">
        <f>IFERROR(__xludf.DUMMYFUNCTION("""COMPUTED_VALUE"""),"https://azizstan.net/student_image/23459.jpg")</f>
        <v>https://azizstan.net/student_image/23459.jpg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>
      <c r="A2054" s="3" t="str">
        <f>IFERROR(__xludf.DUMMYFUNCTION("""COMPUTED_VALUE"""),"23491")</f>
        <v>23491</v>
      </c>
      <c r="B2054" s="3" t="str">
        <f>IFERROR(__xludf.DUMMYFUNCTION("""COMPUTED_VALUE"""),"น.ส.นุศริน มามะ")</f>
        <v>น.ส.นุศริน มามะ</v>
      </c>
      <c r="C2054" s="3" t="str">
        <f>IFERROR(__xludf.DUMMYFUNCTION("""COMPUTED_VALUE"""),"ม.5/10")</f>
        <v>ม.5/10</v>
      </c>
      <c r="D2054" s="3" t="str">
        <f>IFERROR(__xludf.DUMMYFUNCTION("""COMPUTED_VALUE"""),"อก.3/18")</f>
        <v>อก.3/18</v>
      </c>
      <c r="E2054" s="2" t="str">
        <f>IFERROR(__xludf.DUMMYFUNCTION("""COMPUTED_VALUE"""),"หญิง")</f>
        <v>หญิง</v>
      </c>
      <c r="F2054" s="5" t="str">
        <f>IFERROR(__xludf.DUMMYFUNCTION("""COMPUTED_VALUE"""),"https://azizstan.net/student_image/23491.jpg")</f>
        <v>https://azizstan.net/student_image/23491.jpg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>
      <c r="A2055" s="3" t="str">
        <f>IFERROR(__xludf.DUMMYFUNCTION("""COMPUTED_VALUE"""),"23542")</f>
        <v>23542</v>
      </c>
      <c r="B2055" s="3" t="str">
        <f>IFERROR(__xludf.DUMMYFUNCTION("""COMPUTED_VALUE"""),"น.ส.วัลย์โซเฟีย เระสะอะ")</f>
        <v>น.ส.วัลย์โซเฟีย เระสะอะ</v>
      </c>
      <c r="C2055" s="3" t="str">
        <f>IFERROR(__xludf.DUMMYFUNCTION("""COMPUTED_VALUE"""),"ม.5/10")</f>
        <v>ม.5/10</v>
      </c>
      <c r="D2055" s="3" t="str">
        <f>IFERROR(__xludf.DUMMYFUNCTION("""COMPUTED_VALUE"""),"อก.3/18")</f>
        <v>อก.3/18</v>
      </c>
      <c r="E2055" s="2" t="str">
        <f>IFERROR(__xludf.DUMMYFUNCTION("""COMPUTED_VALUE"""),"หญิง")</f>
        <v>หญิง</v>
      </c>
      <c r="F2055" s="5" t="str">
        <f>IFERROR(__xludf.DUMMYFUNCTION("""COMPUTED_VALUE"""),"https://azizstan.net/student_image/23542.jpg")</f>
        <v>https://azizstan.net/student_image/23542.jpg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>
      <c r="A2056" s="3" t="str">
        <f>IFERROR(__xludf.DUMMYFUNCTION("""COMPUTED_VALUE"""),"23547")</f>
        <v>23547</v>
      </c>
      <c r="B2056" s="3" t="str">
        <f>IFERROR(__xludf.DUMMYFUNCTION("""COMPUTED_VALUE"""),"น.ส.นัสริน ดอเลาะ")</f>
        <v>น.ส.นัสริน ดอเลาะ</v>
      </c>
      <c r="C2056" s="3" t="str">
        <f>IFERROR(__xludf.DUMMYFUNCTION("""COMPUTED_VALUE"""),"ม.5/10")</f>
        <v>ม.5/10</v>
      </c>
      <c r="D2056" s="3" t="str">
        <f>IFERROR(__xludf.DUMMYFUNCTION("""COMPUTED_VALUE"""),"อป.1/2")</f>
        <v>อป.1/2</v>
      </c>
      <c r="E2056" s="2" t="str">
        <f>IFERROR(__xludf.DUMMYFUNCTION("""COMPUTED_VALUE"""),"หญิง")</f>
        <v>หญิง</v>
      </c>
      <c r="F2056" s="5" t="str">
        <f>IFERROR(__xludf.DUMMYFUNCTION("""COMPUTED_VALUE"""),"https://azizstan.net/student_image/23547.jpg")</f>
        <v>https://azizstan.net/student_image/23547.jpg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>
      <c r="A2057" s="3" t="str">
        <f>IFERROR(__xludf.DUMMYFUNCTION("""COMPUTED_VALUE"""),"23555")</f>
        <v>23555</v>
      </c>
      <c r="B2057" s="3" t="str">
        <f>IFERROR(__xludf.DUMMYFUNCTION("""COMPUTED_VALUE"""),"น.ส.นิฟัรฮาน ดาโอ๊ะ")</f>
        <v>น.ส.นิฟัรฮาน ดาโอ๊ะ</v>
      </c>
      <c r="C2057" s="3" t="str">
        <f>IFERROR(__xludf.DUMMYFUNCTION("""COMPUTED_VALUE"""),"ม.5/10")</f>
        <v>ม.5/10</v>
      </c>
      <c r="D2057" s="3" t="str">
        <f>IFERROR(__xludf.DUMMYFUNCTION("""COMPUTED_VALUE"""),"อก.3/16")</f>
        <v>อก.3/16</v>
      </c>
      <c r="E2057" s="2" t="str">
        <f>IFERROR(__xludf.DUMMYFUNCTION("""COMPUTED_VALUE"""),"หญิง")</f>
        <v>หญิง</v>
      </c>
      <c r="F2057" s="5" t="str">
        <f>IFERROR(__xludf.DUMMYFUNCTION("""COMPUTED_VALUE"""),"https://azizstan.net/student_image/23555.jpg")</f>
        <v>https://azizstan.net/student_image/23555.jpg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>
      <c r="A2058" s="3" t="str">
        <f>IFERROR(__xludf.DUMMYFUNCTION("""COMPUTED_VALUE"""),"23559")</f>
        <v>23559</v>
      </c>
      <c r="B2058" s="3" t="str">
        <f>IFERROR(__xludf.DUMMYFUNCTION("""COMPUTED_VALUE"""),"น.ส.ฟารีดา ชายมัน")</f>
        <v>น.ส.ฟารีดา ชายมัน</v>
      </c>
      <c r="C2058" s="3" t="str">
        <f>IFERROR(__xludf.DUMMYFUNCTION("""COMPUTED_VALUE"""),"ม.5/10")</f>
        <v>ม.5/10</v>
      </c>
      <c r="D2058" s="3" t="str">
        <f>IFERROR(__xludf.DUMMYFUNCTION("""COMPUTED_VALUE"""),"อป.2/2")</f>
        <v>อป.2/2</v>
      </c>
      <c r="E2058" s="2" t="str">
        <f>IFERROR(__xludf.DUMMYFUNCTION("""COMPUTED_VALUE"""),"หญิง")</f>
        <v>หญิง</v>
      </c>
      <c r="F2058" s="5" t="str">
        <f>IFERROR(__xludf.DUMMYFUNCTION("""COMPUTED_VALUE"""),"https://azizstan.net/student_image/23559.jpg")</f>
        <v>https://azizstan.net/student_image/23559.jpg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>
      <c r="A2059" s="3" t="str">
        <f>IFERROR(__xludf.DUMMYFUNCTION("""COMPUTED_VALUE"""),"23561")</f>
        <v>23561</v>
      </c>
      <c r="B2059" s="3" t="str">
        <f>IFERROR(__xludf.DUMMYFUNCTION("""COMPUTED_VALUE"""),"น.ส.ซีตีมาซีเตาะห์ คางา")</f>
        <v>น.ส.ซีตีมาซีเตาะห์ คางา</v>
      </c>
      <c r="C2059" s="3" t="str">
        <f>IFERROR(__xludf.DUMMYFUNCTION("""COMPUTED_VALUE"""),"ม.5/10")</f>
        <v>ม.5/10</v>
      </c>
      <c r="D2059" s="3" t="str">
        <f>IFERROR(__xludf.DUMMYFUNCTION("""COMPUTED_VALUE"""),"อก.3/16")</f>
        <v>อก.3/16</v>
      </c>
      <c r="E2059" s="2" t="str">
        <f>IFERROR(__xludf.DUMMYFUNCTION("""COMPUTED_VALUE"""),"หญิง")</f>
        <v>หญิง</v>
      </c>
      <c r="F2059" s="5" t="str">
        <f>IFERROR(__xludf.DUMMYFUNCTION("""COMPUTED_VALUE"""),"https://azizstan.net/student_image/23561.jpg")</f>
        <v>https://azizstan.net/student_image/23561.jpg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>
      <c r="A2060" s="3" t="str">
        <f>IFERROR(__xludf.DUMMYFUNCTION("""COMPUTED_VALUE"""),"23565")</f>
        <v>23565</v>
      </c>
      <c r="B2060" s="3" t="str">
        <f>IFERROR(__xludf.DUMMYFUNCTION("""COMPUTED_VALUE"""),"น.ส.อัสมานี อาลี")</f>
        <v>น.ส.อัสมานี อาลี</v>
      </c>
      <c r="C2060" s="3" t="str">
        <f>IFERROR(__xludf.DUMMYFUNCTION("""COMPUTED_VALUE"""),"ม.5/10")</f>
        <v>ม.5/10</v>
      </c>
      <c r="D2060" s="3" t="str">
        <f>IFERROR(__xludf.DUMMYFUNCTION("""COMPUTED_VALUE"""),"อก.3/18")</f>
        <v>อก.3/18</v>
      </c>
      <c r="E2060" s="2" t="str">
        <f>IFERROR(__xludf.DUMMYFUNCTION("""COMPUTED_VALUE"""),"หญิง")</f>
        <v>หญิง</v>
      </c>
      <c r="F2060" s="5" t="str">
        <f>IFERROR(__xludf.DUMMYFUNCTION("""COMPUTED_VALUE"""),"https://azizstan.net/student_image/23565.jpg")</f>
        <v>https://azizstan.net/student_image/23565.jpg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>
      <c r="A2061" s="3" t="str">
        <f>IFERROR(__xludf.DUMMYFUNCTION("""COMPUTED_VALUE"""),"23575")</f>
        <v>23575</v>
      </c>
      <c r="B2061" s="3" t="str">
        <f>IFERROR(__xludf.DUMMYFUNCTION("""COMPUTED_VALUE"""),"น.ส.ณัจมีย์ อาบู")</f>
        <v>น.ส.ณัจมีย์ อาบู</v>
      </c>
      <c r="C2061" s="3" t="str">
        <f>IFERROR(__xludf.DUMMYFUNCTION("""COMPUTED_VALUE"""),"ม.5/10")</f>
        <v>ม.5/10</v>
      </c>
      <c r="D2061" s="3" t="str">
        <f>IFERROR(__xludf.DUMMYFUNCTION("""COMPUTED_VALUE"""),"อก.3/16")</f>
        <v>อก.3/16</v>
      </c>
      <c r="E2061" s="2" t="str">
        <f>IFERROR(__xludf.DUMMYFUNCTION("""COMPUTED_VALUE"""),"หญิง")</f>
        <v>หญิง</v>
      </c>
      <c r="F2061" s="5" t="str">
        <f>IFERROR(__xludf.DUMMYFUNCTION("""COMPUTED_VALUE"""),"https://azizstan.net/student_image/23575.jpg")</f>
        <v>https://azizstan.net/student_image/23575.jpg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>
      <c r="A2062" s="3" t="str">
        <f>IFERROR(__xludf.DUMMYFUNCTION("""COMPUTED_VALUE"""),"23582")</f>
        <v>23582</v>
      </c>
      <c r="B2062" s="3" t="str">
        <f>IFERROR(__xludf.DUMMYFUNCTION("""COMPUTED_VALUE"""),"น.ส.นูรฮายาตี สาและ")</f>
        <v>น.ส.นูรฮายาตี สาและ</v>
      </c>
      <c r="C2062" s="3" t="str">
        <f>IFERROR(__xludf.DUMMYFUNCTION("""COMPUTED_VALUE"""),"ม.5/10")</f>
        <v>ม.5/10</v>
      </c>
      <c r="D2062" s="3" t="str">
        <f>IFERROR(__xludf.DUMMYFUNCTION("""COMPUTED_VALUE"""),"อก.3/16")</f>
        <v>อก.3/16</v>
      </c>
      <c r="E2062" s="2" t="str">
        <f>IFERROR(__xludf.DUMMYFUNCTION("""COMPUTED_VALUE"""),"หญิง")</f>
        <v>หญิง</v>
      </c>
      <c r="F2062" s="5" t="str">
        <f>IFERROR(__xludf.DUMMYFUNCTION("""COMPUTED_VALUE"""),"https://azizstan.net/student_image/23582.jpg")</f>
        <v>https://azizstan.net/student_image/23582.jpg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>
      <c r="A2063" s="3" t="str">
        <f>IFERROR(__xludf.DUMMYFUNCTION("""COMPUTED_VALUE"""),"23583")</f>
        <v>23583</v>
      </c>
      <c r="B2063" s="3" t="str">
        <f>IFERROR(__xludf.DUMMYFUNCTION("""COMPUTED_VALUE"""),"น.ส.อามาลีนา สาแลหมัน")</f>
        <v>น.ส.อามาลีนา สาแลหมัน</v>
      </c>
      <c r="C2063" s="3" t="str">
        <f>IFERROR(__xludf.DUMMYFUNCTION("""COMPUTED_VALUE"""),"ม.5/10")</f>
        <v>ม.5/10</v>
      </c>
      <c r="D2063" s="3" t="str">
        <f>IFERROR(__xludf.DUMMYFUNCTION("""COMPUTED_VALUE"""),"อก.3/18")</f>
        <v>อก.3/18</v>
      </c>
      <c r="E2063" s="2" t="str">
        <f>IFERROR(__xludf.DUMMYFUNCTION("""COMPUTED_VALUE"""),"หญิง")</f>
        <v>หญิง</v>
      </c>
      <c r="F2063" s="5" t="str">
        <f>IFERROR(__xludf.DUMMYFUNCTION("""COMPUTED_VALUE"""),"https://azizstan.net/student_image/23583.jpg")</f>
        <v>https://azizstan.net/student_image/23583.jpg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>
      <c r="A2064" s="3" t="str">
        <f>IFERROR(__xludf.DUMMYFUNCTION("""COMPUTED_VALUE"""),"23596")</f>
        <v>23596</v>
      </c>
      <c r="B2064" s="3" t="str">
        <f>IFERROR(__xludf.DUMMYFUNCTION("""COMPUTED_VALUE"""),"น.ส.ตอฮีเราะห์ ยุทธ์พันธุ์")</f>
        <v>น.ส.ตอฮีเราะห์ ยุทธ์พันธุ์</v>
      </c>
      <c r="C2064" s="3" t="str">
        <f>IFERROR(__xludf.DUMMYFUNCTION("""COMPUTED_VALUE"""),"ม.5/10")</f>
        <v>ม.5/10</v>
      </c>
      <c r="D2064" s="3" t="str">
        <f>IFERROR(__xludf.DUMMYFUNCTION("""COMPUTED_VALUE"""),"อก.3/18")</f>
        <v>อก.3/18</v>
      </c>
      <c r="E2064" s="2" t="str">
        <f>IFERROR(__xludf.DUMMYFUNCTION("""COMPUTED_VALUE"""),"หญิง")</f>
        <v>หญิง</v>
      </c>
      <c r="F2064" s="5" t="str">
        <f>IFERROR(__xludf.DUMMYFUNCTION("""COMPUTED_VALUE"""),"https://azizstan.net/student_image/23596.jpg")</f>
        <v>https://azizstan.net/student_image/23596.jpg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>
      <c r="A2065" s="3" t="str">
        <f>IFERROR(__xludf.DUMMYFUNCTION("""COMPUTED_VALUE"""),"23609")</f>
        <v>23609</v>
      </c>
      <c r="B2065" s="3" t="str">
        <f>IFERROR(__xludf.DUMMYFUNCTION("""COMPUTED_VALUE"""),"น.ส.นูรอัยนี มอลอ")</f>
        <v>น.ส.นูรอัยนี มอลอ</v>
      </c>
      <c r="C2065" s="3" t="str">
        <f>IFERROR(__xludf.DUMMYFUNCTION("""COMPUTED_VALUE"""),"ม.5/10")</f>
        <v>ม.5/10</v>
      </c>
      <c r="D2065" s="3" t="str">
        <f>IFERROR(__xludf.DUMMYFUNCTION("""COMPUTED_VALUE"""),"อก.3/16")</f>
        <v>อก.3/16</v>
      </c>
      <c r="E2065" s="2" t="str">
        <f>IFERROR(__xludf.DUMMYFUNCTION("""COMPUTED_VALUE"""),"หญิง")</f>
        <v>หญิง</v>
      </c>
      <c r="F2065" s="5" t="str">
        <f>IFERROR(__xludf.DUMMYFUNCTION("""COMPUTED_VALUE"""),"https://azizstan.net/student_image/23609.jpg")</f>
        <v>https://azizstan.net/student_image/23609.jpg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>
      <c r="A2066" s="3" t="str">
        <f>IFERROR(__xludf.DUMMYFUNCTION("""COMPUTED_VALUE"""),"23615")</f>
        <v>23615</v>
      </c>
      <c r="B2066" s="3" t="str">
        <f>IFERROR(__xludf.DUMMYFUNCTION("""COMPUTED_VALUE"""),"น.ส.นาดียะฮ์ อาแว")</f>
        <v>น.ส.นาดียะฮ์ อาแว</v>
      </c>
      <c r="C2066" s="3" t="str">
        <f>IFERROR(__xludf.DUMMYFUNCTION("""COMPUTED_VALUE"""),"ม.5/10")</f>
        <v>ม.5/10</v>
      </c>
      <c r="D2066" s="3" t="str">
        <f>IFERROR(__xludf.DUMMYFUNCTION("""COMPUTED_VALUE"""),"อก.3/18")</f>
        <v>อก.3/18</v>
      </c>
      <c r="E2066" s="2" t="str">
        <f>IFERROR(__xludf.DUMMYFUNCTION("""COMPUTED_VALUE"""),"หญิง")</f>
        <v>หญิง</v>
      </c>
      <c r="F2066" s="5" t="str">
        <f>IFERROR(__xludf.DUMMYFUNCTION("""COMPUTED_VALUE"""),"https://azizstan.net/student_image/23615.jpg")</f>
        <v>https://azizstan.net/student_image/23615.jpg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>
      <c r="A2067" s="3" t="str">
        <f>IFERROR(__xludf.DUMMYFUNCTION("""COMPUTED_VALUE"""),"23641")</f>
        <v>23641</v>
      </c>
      <c r="B2067" s="3" t="str">
        <f>IFERROR(__xludf.DUMMYFUNCTION("""COMPUTED_VALUE"""),"น.ส.ฟิรดาว สือรี")</f>
        <v>น.ส.ฟิรดาว สือรี</v>
      </c>
      <c r="C2067" s="3" t="str">
        <f>IFERROR(__xludf.DUMMYFUNCTION("""COMPUTED_VALUE"""),"ม.5/10")</f>
        <v>ม.5/10</v>
      </c>
      <c r="D2067" s="3" t="str">
        <f>IFERROR(__xludf.DUMMYFUNCTION("""COMPUTED_VALUE"""),"อก.3/18")</f>
        <v>อก.3/18</v>
      </c>
      <c r="E2067" s="2" t="str">
        <f>IFERROR(__xludf.DUMMYFUNCTION("""COMPUTED_VALUE"""),"หญิง")</f>
        <v>หญิง</v>
      </c>
      <c r="F2067" s="5" t="str">
        <f>IFERROR(__xludf.DUMMYFUNCTION("""COMPUTED_VALUE"""),"https://azizstan.net/student_image/23641.jpg")</f>
        <v>https://azizstan.net/student_image/23641.jpg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>
      <c r="A2068" s="3" t="str">
        <f>IFERROR(__xludf.DUMMYFUNCTION("""COMPUTED_VALUE"""),"23659")</f>
        <v>23659</v>
      </c>
      <c r="B2068" s="3" t="str">
        <f>IFERROR(__xludf.DUMMYFUNCTION("""COMPUTED_VALUE"""),"น.ส.วานีตา ปาตง")</f>
        <v>น.ส.วานีตา ปาตง</v>
      </c>
      <c r="C2068" s="3" t="str">
        <f>IFERROR(__xludf.DUMMYFUNCTION("""COMPUTED_VALUE"""),"ม.5/10")</f>
        <v>ม.5/10</v>
      </c>
      <c r="D2068" s="3" t="str">
        <f>IFERROR(__xludf.DUMMYFUNCTION("""COMPUTED_VALUE"""),"อก.3/18")</f>
        <v>อก.3/18</v>
      </c>
      <c r="E2068" s="2" t="str">
        <f>IFERROR(__xludf.DUMMYFUNCTION("""COMPUTED_VALUE"""),"หญิง")</f>
        <v>หญิง</v>
      </c>
      <c r="F2068" s="5" t="str">
        <f>IFERROR(__xludf.DUMMYFUNCTION("""COMPUTED_VALUE"""),"https://azizstan.net/student_image/23659.jpg")</f>
        <v>https://azizstan.net/student_image/23659.jpg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>
      <c r="A2069" s="3" t="str">
        <f>IFERROR(__xludf.DUMMYFUNCTION("""COMPUTED_VALUE"""),"23672")</f>
        <v>23672</v>
      </c>
      <c r="B2069" s="3" t="str">
        <f>IFERROR(__xludf.DUMMYFUNCTION("""COMPUTED_VALUE"""),"น.ส.นุรฮายาตี เจ๊ะเลาะ")</f>
        <v>น.ส.นุรฮายาตี เจ๊ะเลาะ</v>
      </c>
      <c r="C2069" s="3" t="str">
        <f>IFERROR(__xludf.DUMMYFUNCTION("""COMPUTED_VALUE"""),"ม.5/10")</f>
        <v>ม.5/10</v>
      </c>
      <c r="D2069" s="3" t="str">
        <f>IFERROR(__xludf.DUMMYFUNCTION("""COMPUTED_VALUE"""),"อป.1/2")</f>
        <v>อป.1/2</v>
      </c>
      <c r="E2069" s="2" t="str">
        <f>IFERROR(__xludf.DUMMYFUNCTION("""COMPUTED_VALUE"""),"หญิง")</f>
        <v>หญิง</v>
      </c>
      <c r="F2069" s="5" t="str">
        <f>IFERROR(__xludf.DUMMYFUNCTION("""COMPUTED_VALUE"""),"https://azizstan.net/student_image/23672.jpg")</f>
        <v>https://azizstan.net/student_image/23672.jpg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>
      <c r="A2070" s="3" t="str">
        <f>IFERROR(__xludf.DUMMYFUNCTION("""COMPUTED_VALUE"""),"23692")</f>
        <v>23692</v>
      </c>
      <c r="B2070" s="3" t="str">
        <f>IFERROR(__xludf.DUMMYFUNCTION("""COMPUTED_VALUE"""),"น.ส.นิรฮุดา โตะโยะ")</f>
        <v>น.ส.นิรฮุดา โตะโยะ</v>
      </c>
      <c r="C2070" s="3" t="str">
        <f>IFERROR(__xludf.DUMMYFUNCTION("""COMPUTED_VALUE"""),"ม.5/10")</f>
        <v>ม.5/10</v>
      </c>
      <c r="D2070" s="3" t="str">
        <f>IFERROR(__xludf.DUMMYFUNCTION("""COMPUTED_VALUE"""),"อก.3/16")</f>
        <v>อก.3/16</v>
      </c>
      <c r="E2070" s="2" t="str">
        <f>IFERROR(__xludf.DUMMYFUNCTION("""COMPUTED_VALUE"""),"หญิง")</f>
        <v>หญิง</v>
      </c>
      <c r="F2070" s="5" t="str">
        <f>IFERROR(__xludf.DUMMYFUNCTION("""COMPUTED_VALUE"""),"https://azizstan.net/student_image/23692.jpg")</f>
        <v>https://azizstan.net/student_image/23692.jpg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>
      <c r="A2071" s="3" t="str">
        <f>IFERROR(__xludf.DUMMYFUNCTION("""COMPUTED_VALUE"""),"23760")</f>
        <v>23760</v>
      </c>
      <c r="B2071" s="3" t="str">
        <f>IFERROR(__xludf.DUMMYFUNCTION("""COMPUTED_VALUE"""),"น.ส.อาริสา สามะ")</f>
        <v>น.ส.อาริสา สามะ</v>
      </c>
      <c r="C2071" s="3" t="str">
        <f>IFERROR(__xludf.DUMMYFUNCTION("""COMPUTED_VALUE"""),"ม.5/10")</f>
        <v>ม.5/10</v>
      </c>
      <c r="D2071" s="3" t="str">
        <f>IFERROR(__xludf.DUMMYFUNCTION("""COMPUTED_VALUE"""),"อก.3/18")</f>
        <v>อก.3/18</v>
      </c>
      <c r="E2071" s="2" t="str">
        <f>IFERROR(__xludf.DUMMYFUNCTION("""COMPUTED_VALUE"""),"หญิง")</f>
        <v>หญิง</v>
      </c>
      <c r="F2071" s="5" t="str">
        <f>IFERROR(__xludf.DUMMYFUNCTION("""COMPUTED_VALUE"""),"https://azizstan.net/student_image/23760.jpg")</f>
        <v>https://azizstan.net/student_image/23760.jpg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>
      <c r="A2072" s="3" t="str">
        <f>IFERROR(__xludf.DUMMYFUNCTION("""COMPUTED_VALUE"""),"23766")</f>
        <v>23766</v>
      </c>
      <c r="B2072" s="3" t="str">
        <f>IFERROR(__xludf.DUMMYFUNCTION("""COMPUTED_VALUE"""),"น.ส.นูรฟารียา มะเซ็ง")</f>
        <v>น.ส.นูรฟารียา มะเซ็ง</v>
      </c>
      <c r="C2072" s="3" t="str">
        <f>IFERROR(__xludf.DUMMYFUNCTION("""COMPUTED_VALUE"""),"ม.5/10")</f>
        <v>ม.5/10</v>
      </c>
      <c r="D2072" s="3" t="str">
        <f>IFERROR(__xludf.DUMMYFUNCTION("""COMPUTED_VALUE"""),"อก.3/16")</f>
        <v>อก.3/16</v>
      </c>
      <c r="E2072" s="2" t="str">
        <f>IFERROR(__xludf.DUMMYFUNCTION("""COMPUTED_VALUE"""),"หญิง")</f>
        <v>หญิง</v>
      </c>
      <c r="F2072" s="5" t="str">
        <f>IFERROR(__xludf.DUMMYFUNCTION("""COMPUTED_VALUE"""),"https://azizstan.net/student_image/23766.jpg")</f>
        <v>https://azizstan.net/student_image/23766.jpg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>
      <c r="A2073" s="3" t="str">
        <f>IFERROR(__xludf.DUMMYFUNCTION("""COMPUTED_VALUE"""),"23799")</f>
        <v>23799</v>
      </c>
      <c r="B2073" s="3" t="str">
        <f>IFERROR(__xludf.DUMMYFUNCTION("""COMPUTED_VALUE"""),"น.ส.ลาตีฟะห์ วาเตะ")</f>
        <v>น.ส.ลาตีฟะห์ วาเตะ</v>
      </c>
      <c r="C2073" s="3" t="str">
        <f>IFERROR(__xludf.DUMMYFUNCTION("""COMPUTED_VALUE"""),"ม.5/10")</f>
        <v>ม.5/10</v>
      </c>
      <c r="D2073" s="3" t="str">
        <f>IFERROR(__xludf.DUMMYFUNCTION("""COMPUTED_VALUE"""),"อก.3/18")</f>
        <v>อก.3/18</v>
      </c>
      <c r="E2073" s="2" t="str">
        <f>IFERROR(__xludf.DUMMYFUNCTION("""COMPUTED_VALUE"""),"หญิง")</f>
        <v>หญิง</v>
      </c>
      <c r="F2073" s="5" t="str">
        <f>IFERROR(__xludf.DUMMYFUNCTION("""COMPUTED_VALUE"""),"https://azizstan.net/student_image/23799.jpg")</f>
        <v>https://azizstan.net/student_image/23799.jpg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>
      <c r="A2074" s="3" t="str">
        <f>IFERROR(__xludf.DUMMYFUNCTION("""COMPUTED_VALUE"""),"23800")</f>
        <v>23800</v>
      </c>
      <c r="B2074" s="3" t="str">
        <f>IFERROR(__xludf.DUMMYFUNCTION("""COMPUTED_VALUE"""),"น.ส.หาฟีเซาะฮ วาเตะ")</f>
        <v>น.ส.หาฟีเซาะฮ วาเตะ</v>
      </c>
      <c r="C2074" s="3" t="str">
        <f>IFERROR(__xludf.DUMMYFUNCTION("""COMPUTED_VALUE"""),"ม.5/10")</f>
        <v>ม.5/10</v>
      </c>
      <c r="D2074" s="3" t="str">
        <f>IFERROR(__xludf.DUMMYFUNCTION("""COMPUTED_VALUE"""),"อก.3/16")</f>
        <v>อก.3/16</v>
      </c>
      <c r="E2074" s="2" t="str">
        <f>IFERROR(__xludf.DUMMYFUNCTION("""COMPUTED_VALUE"""),"หญิง")</f>
        <v>หญิง</v>
      </c>
      <c r="F2074" s="5" t="str">
        <f>IFERROR(__xludf.DUMMYFUNCTION("""COMPUTED_VALUE"""),"https://azizstan.net/student_image/23800.jpg")</f>
        <v>https://azizstan.net/student_image/23800.jpg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>
      <c r="A2075" s="3" t="str">
        <f>IFERROR(__xludf.DUMMYFUNCTION("""COMPUTED_VALUE"""),"23803")</f>
        <v>23803</v>
      </c>
      <c r="B2075" s="3" t="str">
        <f>IFERROR(__xludf.DUMMYFUNCTION("""COMPUTED_VALUE"""),"น.ส.นูรอูมีรูมาน สาและ")</f>
        <v>น.ส.นูรอูมีรูมาน สาและ</v>
      </c>
      <c r="C2075" s="3" t="str">
        <f>IFERROR(__xludf.DUMMYFUNCTION("""COMPUTED_VALUE"""),"ม.5/10")</f>
        <v>ม.5/10</v>
      </c>
      <c r="D2075" s="3" t="str">
        <f>IFERROR(__xludf.DUMMYFUNCTION("""COMPUTED_VALUE"""),"อก.3/16")</f>
        <v>อก.3/16</v>
      </c>
      <c r="E2075" s="2" t="str">
        <f>IFERROR(__xludf.DUMMYFUNCTION("""COMPUTED_VALUE"""),"หญิง")</f>
        <v>หญิง</v>
      </c>
      <c r="F2075" s="5" t="str">
        <f>IFERROR(__xludf.DUMMYFUNCTION("""COMPUTED_VALUE"""),"https://azizstan.net/student_image/23803.jpg")</f>
        <v>https://azizstan.net/student_image/23803.jpg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>
      <c r="A2076" s="3" t="str">
        <f>IFERROR(__xludf.DUMMYFUNCTION("""COMPUTED_VALUE"""),"23812")</f>
        <v>23812</v>
      </c>
      <c r="B2076" s="3" t="str">
        <f>IFERROR(__xludf.DUMMYFUNCTION("""COMPUTED_VALUE"""),"น.ส.นูรหาวารีย์ แวสนิ")</f>
        <v>น.ส.นูรหาวารีย์ แวสนิ</v>
      </c>
      <c r="C2076" s="3" t="str">
        <f>IFERROR(__xludf.DUMMYFUNCTION("""COMPUTED_VALUE"""),"ม.5/10")</f>
        <v>ม.5/10</v>
      </c>
      <c r="D2076" s="3" t="str">
        <f>IFERROR(__xludf.DUMMYFUNCTION("""COMPUTED_VALUE"""),"อก.3/18")</f>
        <v>อก.3/18</v>
      </c>
      <c r="E2076" s="2" t="str">
        <f>IFERROR(__xludf.DUMMYFUNCTION("""COMPUTED_VALUE"""),"หญิง")</f>
        <v>หญิง</v>
      </c>
      <c r="F2076" s="5" t="str">
        <f>IFERROR(__xludf.DUMMYFUNCTION("""COMPUTED_VALUE"""),"https://azizstan.net/student_image/23812.jpg")</f>
        <v>https://azizstan.net/student_image/23812.jpg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>
      <c r="A2077" s="3" t="str">
        <f>IFERROR(__xludf.DUMMYFUNCTION("""COMPUTED_VALUE"""),"23813")</f>
        <v>23813</v>
      </c>
      <c r="B2077" s="3" t="str">
        <f>IFERROR(__xludf.DUMMYFUNCTION("""COMPUTED_VALUE"""),"น.ส.นิเกาศักร นิเงาะ")</f>
        <v>น.ส.นิเกาศักร นิเงาะ</v>
      </c>
      <c r="C2077" s="3" t="str">
        <f>IFERROR(__xludf.DUMMYFUNCTION("""COMPUTED_VALUE"""),"ม.5/10")</f>
        <v>ม.5/10</v>
      </c>
      <c r="D2077" s="3" t="str">
        <f>IFERROR(__xludf.DUMMYFUNCTION("""COMPUTED_VALUE"""),"อก.3/16")</f>
        <v>อก.3/16</v>
      </c>
      <c r="E2077" s="2" t="str">
        <f>IFERROR(__xludf.DUMMYFUNCTION("""COMPUTED_VALUE"""),"หญิง")</f>
        <v>หญิง</v>
      </c>
      <c r="F2077" s="5" t="str">
        <f>IFERROR(__xludf.DUMMYFUNCTION("""COMPUTED_VALUE"""),"https://azizstan.net/student_image/23813.jpg")</f>
        <v>https://azizstan.net/student_image/23813.jpg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>
      <c r="A2078" s="3" t="str">
        <f>IFERROR(__xludf.DUMMYFUNCTION("""COMPUTED_VALUE"""),"23820")</f>
        <v>23820</v>
      </c>
      <c r="B2078" s="3" t="str">
        <f>IFERROR(__xludf.DUMMYFUNCTION("""COMPUTED_VALUE"""),"น.ส.ยัสมี เจะมะ")</f>
        <v>น.ส.ยัสมี เจะมะ</v>
      </c>
      <c r="C2078" s="3" t="str">
        <f>IFERROR(__xludf.DUMMYFUNCTION("""COMPUTED_VALUE"""),"ม.5/10")</f>
        <v>ม.5/10</v>
      </c>
      <c r="D2078" s="3" t="str">
        <f>IFERROR(__xludf.DUMMYFUNCTION("""COMPUTED_VALUE"""),"อก.3/16")</f>
        <v>อก.3/16</v>
      </c>
      <c r="E2078" s="2" t="str">
        <f>IFERROR(__xludf.DUMMYFUNCTION("""COMPUTED_VALUE"""),"หญิง")</f>
        <v>หญิง</v>
      </c>
      <c r="F2078" s="5" t="str">
        <f>IFERROR(__xludf.DUMMYFUNCTION("""COMPUTED_VALUE"""),"https://azizstan.net/student_image/23820.jpg")</f>
        <v>https://azizstan.net/student_image/23820.jpg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>
      <c r="A2079" s="3" t="str">
        <f>IFERROR(__xludf.DUMMYFUNCTION("""COMPUTED_VALUE"""),"23838")</f>
        <v>23838</v>
      </c>
      <c r="B2079" s="3" t="str">
        <f>IFERROR(__xludf.DUMMYFUNCTION("""COMPUTED_VALUE"""),"น.ส.ซิสวานี ราชเพชร")</f>
        <v>น.ส.ซิสวานี ราชเพชร</v>
      </c>
      <c r="C2079" s="3" t="str">
        <f>IFERROR(__xludf.DUMMYFUNCTION("""COMPUTED_VALUE"""),"ม.5/10")</f>
        <v>ม.5/10</v>
      </c>
      <c r="D2079" s="3" t="str">
        <f>IFERROR(__xludf.DUMMYFUNCTION("""COMPUTED_VALUE"""),"อก.3/18")</f>
        <v>อก.3/18</v>
      </c>
      <c r="E2079" s="2" t="str">
        <f>IFERROR(__xludf.DUMMYFUNCTION("""COMPUTED_VALUE"""),"หญิง")</f>
        <v>หญิง</v>
      </c>
      <c r="F2079" s="5" t="str">
        <f>IFERROR(__xludf.DUMMYFUNCTION("""COMPUTED_VALUE"""),"https://azizstan.net/student_image/23838.jpg")</f>
        <v>https://azizstan.net/student_image/23838.jpg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>
      <c r="A2080" s="3" t="str">
        <f>IFERROR(__xludf.DUMMYFUNCTION("""COMPUTED_VALUE"""),"23878")</f>
        <v>23878</v>
      </c>
      <c r="B2080" s="3" t="str">
        <f>IFERROR(__xludf.DUMMYFUNCTION("""COMPUTED_VALUE"""),"น.ส.นูรรีดา คาร์เดร์")</f>
        <v>น.ส.นูรรีดา คาร์เดร์</v>
      </c>
      <c r="C2080" s="3" t="str">
        <f>IFERROR(__xludf.DUMMYFUNCTION("""COMPUTED_VALUE"""),"ม.5/10")</f>
        <v>ม.5/10</v>
      </c>
      <c r="D2080" s="3" t="str">
        <f>IFERROR(__xludf.DUMMYFUNCTION("""COMPUTED_VALUE"""),"อก.3/18")</f>
        <v>อก.3/18</v>
      </c>
      <c r="E2080" s="2" t="str">
        <f>IFERROR(__xludf.DUMMYFUNCTION("""COMPUTED_VALUE"""),"หญิง")</f>
        <v>หญิง</v>
      </c>
      <c r="F2080" s="5" t="str">
        <f>IFERROR(__xludf.DUMMYFUNCTION("""COMPUTED_VALUE"""),"https://azizstan.net/student_image/23878.jpg")</f>
        <v>https://azizstan.net/student_image/23878.jpg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>
      <c r="A2081" s="3" t="str">
        <f>IFERROR(__xludf.DUMMYFUNCTION("""COMPUTED_VALUE"""),"23907")</f>
        <v>23907</v>
      </c>
      <c r="B2081" s="3" t="str">
        <f>IFERROR(__xludf.DUMMYFUNCTION("""COMPUTED_VALUE"""),"น.ส.ฆูไรชา หะยีมะนุ")</f>
        <v>น.ส.ฆูไรชา หะยีมะนุ</v>
      </c>
      <c r="C2081" s="3" t="str">
        <f>IFERROR(__xludf.DUMMYFUNCTION("""COMPUTED_VALUE"""),"ม.5/10")</f>
        <v>ม.5/10</v>
      </c>
      <c r="D2081" s="3" t="str">
        <f>IFERROR(__xludf.DUMMYFUNCTION("""COMPUTED_VALUE"""),"อก.3/18")</f>
        <v>อก.3/18</v>
      </c>
      <c r="E2081" s="2" t="str">
        <f>IFERROR(__xludf.DUMMYFUNCTION("""COMPUTED_VALUE"""),"หญิง")</f>
        <v>หญิง</v>
      </c>
      <c r="F2081" s="5" t="str">
        <f>IFERROR(__xludf.DUMMYFUNCTION("""COMPUTED_VALUE"""),"https://azizstan.net/student_image/23907.jpg")</f>
        <v>https://azizstan.net/student_image/23907.jpg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>
      <c r="A2082" s="3" t="str">
        <f>IFERROR(__xludf.DUMMYFUNCTION("""COMPUTED_VALUE"""),"23968")</f>
        <v>23968</v>
      </c>
      <c r="B2082" s="3" t="str">
        <f>IFERROR(__xludf.DUMMYFUNCTION("""COMPUTED_VALUE"""),"น.ส.อามีตา สาเล็ง")</f>
        <v>น.ส.อามีตา สาเล็ง</v>
      </c>
      <c r="C2082" s="3" t="str">
        <f>IFERROR(__xludf.DUMMYFUNCTION("""COMPUTED_VALUE"""),"ม.5/10")</f>
        <v>ม.5/10</v>
      </c>
      <c r="D2082" s="3" t="str">
        <f>IFERROR(__xludf.DUMMYFUNCTION("""COMPUTED_VALUE"""),"อก.3/16")</f>
        <v>อก.3/16</v>
      </c>
      <c r="E2082" s="2" t="str">
        <f>IFERROR(__xludf.DUMMYFUNCTION("""COMPUTED_VALUE"""),"หญิง")</f>
        <v>หญิง</v>
      </c>
      <c r="F2082" s="5" t="str">
        <f>IFERROR(__xludf.DUMMYFUNCTION("""COMPUTED_VALUE"""),"https://azizstan.net/student_image/23968.jpg")</f>
        <v>https://azizstan.net/student_image/23968.jpg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>
      <c r="A2083" s="3" t="str">
        <f>IFERROR(__xludf.DUMMYFUNCTION("""COMPUTED_VALUE"""),"23970")</f>
        <v>23970</v>
      </c>
      <c r="B2083" s="3" t="str">
        <f>IFERROR(__xludf.DUMMYFUNCTION("""COMPUTED_VALUE"""),"น.ส.นุรซาฮีดาร์ บาดง")</f>
        <v>น.ส.นุรซาฮีดาร์ บาดง</v>
      </c>
      <c r="C2083" s="3" t="str">
        <f>IFERROR(__xludf.DUMMYFUNCTION("""COMPUTED_VALUE"""),"ม.5/10")</f>
        <v>ม.5/10</v>
      </c>
      <c r="D2083" s="3" t="str">
        <f>IFERROR(__xludf.DUMMYFUNCTION("""COMPUTED_VALUE"""),"อก.3/18")</f>
        <v>อก.3/18</v>
      </c>
      <c r="E2083" s="2" t="str">
        <f>IFERROR(__xludf.DUMMYFUNCTION("""COMPUTED_VALUE"""),"หญิง")</f>
        <v>หญิง</v>
      </c>
      <c r="F2083" s="5" t="str">
        <f>IFERROR(__xludf.DUMMYFUNCTION("""COMPUTED_VALUE"""),"https://azizstan.net/student_image/23970.jpg")</f>
        <v>https://azizstan.net/student_image/23970.jpg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>
      <c r="A2084" s="3" t="str">
        <f>IFERROR(__xludf.DUMMYFUNCTION("""COMPUTED_VALUE"""),"25356")</f>
        <v>25356</v>
      </c>
      <c r="B2084" s="3" t="str">
        <f>IFERROR(__xludf.DUMMYFUNCTION("""COMPUTED_VALUE"""),"น.ส.นัจลาอ์ อิแต")</f>
        <v>น.ส.นัจลาอ์ อิแต</v>
      </c>
      <c r="C2084" s="3" t="str">
        <f>IFERROR(__xludf.DUMMYFUNCTION("""COMPUTED_VALUE"""),"ม.5/10")</f>
        <v>ม.5/10</v>
      </c>
      <c r="D2084" s="3" t="str">
        <f>IFERROR(__xludf.DUMMYFUNCTION("""COMPUTED_VALUE"""),"อก.3/18")</f>
        <v>อก.3/18</v>
      </c>
      <c r="E2084" s="2" t="str">
        <f>IFERROR(__xludf.DUMMYFUNCTION("""COMPUTED_VALUE"""),"หญิง")</f>
        <v>หญิง</v>
      </c>
      <c r="F2084" s="5" t="str">
        <f>IFERROR(__xludf.DUMMYFUNCTION("""COMPUTED_VALUE"""),"https://azizstan.net/student_image/25356.jpg")</f>
        <v>https://azizstan.net/student_image/25356.jpg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>
      <c r="A2085" s="3" t="str">
        <f>IFERROR(__xludf.DUMMYFUNCTION("""COMPUTED_VALUE"""),"25660")</f>
        <v>25660</v>
      </c>
      <c r="B2085" s="3" t="str">
        <f>IFERROR(__xludf.DUMMYFUNCTION("""COMPUTED_VALUE"""),"น.ส.วิตรี ตันหยงสะมะแอ")</f>
        <v>น.ส.วิตรี ตันหยงสะมะแอ</v>
      </c>
      <c r="C2085" s="3" t="str">
        <f>IFERROR(__xludf.DUMMYFUNCTION("""COMPUTED_VALUE"""),"ม.5/10")</f>
        <v>ม.5/10</v>
      </c>
      <c r="D2085" s="3" t="str">
        <f>IFERROR(__xludf.DUMMYFUNCTION("""COMPUTED_VALUE"""),"อป.2/2")</f>
        <v>อป.2/2</v>
      </c>
      <c r="E2085" s="2" t="str">
        <f>IFERROR(__xludf.DUMMYFUNCTION("""COMPUTED_VALUE"""),"หญิง")</f>
        <v>หญิง</v>
      </c>
      <c r="F2085" s="5" t="str">
        <f>IFERROR(__xludf.DUMMYFUNCTION("""COMPUTED_VALUE"""),"https://azizstan.net/student_image/25660.jpg")</f>
        <v>https://azizstan.net/student_image/25660.jpg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>
      <c r="A2086" s="3" t="str">
        <f>IFERROR(__xludf.DUMMYFUNCTION("""COMPUTED_VALUE"""),"25668")</f>
        <v>25668</v>
      </c>
      <c r="B2086" s="3" t="str">
        <f>IFERROR(__xludf.DUMMYFUNCTION("""COMPUTED_VALUE"""),"น.ส.ตอฮีเราะห์ ละแมะสะ")</f>
        <v>น.ส.ตอฮีเราะห์ ละแมะสะ</v>
      </c>
      <c r="C2086" s="3" t="str">
        <f>IFERROR(__xludf.DUMMYFUNCTION("""COMPUTED_VALUE"""),"ม.5/10")</f>
        <v>ม.5/10</v>
      </c>
      <c r="D2086" s="3" t="str">
        <f>IFERROR(__xludf.DUMMYFUNCTION("""COMPUTED_VALUE"""),"อก.3/16")</f>
        <v>อก.3/16</v>
      </c>
      <c r="E2086" s="2" t="str">
        <f>IFERROR(__xludf.DUMMYFUNCTION("""COMPUTED_VALUE"""),"หญิง")</f>
        <v>หญิง</v>
      </c>
      <c r="F2086" s="5" t="str">
        <f>IFERROR(__xludf.DUMMYFUNCTION("""COMPUTED_VALUE"""),"https://azizstan.net/student_image/25668.jpg")</f>
        <v>https://azizstan.net/student_image/25668.jpg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>
      <c r="A2087" s="3" t="str">
        <f>IFERROR(__xludf.DUMMYFUNCTION("""COMPUTED_VALUE"""),"25806")</f>
        <v>25806</v>
      </c>
      <c r="B2087" s="3" t="str">
        <f>IFERROR(__xludf.DUMMYFUNCTION("""COMPUTED_VALUE"""),"น.ส.ฮาบีบะห์ ดอเลาะ")</f>
        <v>น.ส.ฮาบีบะห์ ดอเลาะ</v>
      </c>
      <c r="C2087" s="3" t="str">
        <f>IFERROR(__xludf.DUMMYFUNCTION("""COMPUTED_VALUE"""),"ม.5/10")</f>
        <v>ม.5/10</v>
      </c>
      <c r="D2087" s="3" t="str">
        <f>IFERROR(__xludf.DUMMYFUNCTION("""COMPUTED_VALUE"""),"อป.1/2")</f>
        <v>อป.1/2</v>
      </c>
      <c r="E2087" s="2" t="str">
        <f>IFERROR(__xludf.DUMMYFUNCTION("""COMPUTED_VALUE"""),"หญิง")</f>
        <v>หญิง</v>
      </c>
      <c r="F2087" s="5" t="str">
        <f>IFERROR(__xludf.DUMMYFUNCTION("""COMPUTED_VALUE"""),"https://azizstan.net/student_image/25806.jpg")</f>
        <v>https://azizstan.net/student_image/25806.jpg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>
      <c r="A2088" s="3" t="str">
        <f>IFERROR(__xludf.DUMMYFUNCTION("""COMPUTED_VALUE"""),"25840")</f>
        <v>25840</v>
      </c>
      <c r="B2088" s="3" t="str">
        <f>IFERROR(__xludf.DUMMYFUNCTION("""COMPUTED_VALUE"""),"น.ส.นูรฮาวา อาบูวะ")</f>
        <v>น.ส.นูรฮาวา อาบูวะ</v>
      </c>
      <c r="C2088" s="3" t="str">
        <f>IFERROR(__xludf.DUMMYFUNCTION("""COMPUTED_VALUE"""),"ม.5/10")</f>
        <v>ม.5/10</v>
      </c>
      <c r="D2088" s="3" t="str">
        <f>IFERROR(__xludf.DUMMYFUNCTION("""COMPUTED_VALUE"""),"อก.3/16")</f>
        <v>อก.3/16</v>
      </c>
      <c r="E2088" s="2" t="str">
        <f>IFERROR(__xludf.DUMMYFUNCTION("""COMPUTED_VALUE"""),"หญิง")</f>
        <v>หญิง</v>
      </c>
      <c r="F2088" s="5" t="str">
        <f>IFERROR(__xludf.DUMMYFUNCTION("""COMPUTED_VALUE"""),"https://azizstan.net/student_image/25840.jpg")</f>
        <v>https://azizstan.net/student_image/25840.jpg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>
      <c r="A2089" s="3" t="str">
        <f>IFERROR(__xludf.DUMMYFUNCTION("""COMPUTED_VALUE"""),"26004")</f>
        <v>26004</v>
      </c>
      <c r="B2089" s="3" t="str">
        <f>IFERROR(__xludf.DUMMYFUNCTION("""COMPUTED_VALUE"""),"น.ส.ฮาบีบะห์ จะบากา")</f>
        <v>น.ส.ฮาบีบะห์ จะบากา</v>
      </c>
      <c r="C2089" s="3" t="str">
        <f>IFERROR(__xludf.DUMMYFUNCTION("""COMPUTED_VALUE"""),"ม.5/10")</f>
        <v>ม.5/10</v>
      </c>
      <c r="D2089" s="3" t="str">
        <f>IFERROR(__xludf.DUMMYFUNCTION("""COMPUTED_VALUE"""),"อป.2/2")</f>
        <v>อป.2/2</v>
      </c>
      <c r="E2089" s="2" t="str">
        <f>IFERROR(__xludf.DUMMYFUNCTION("""COMPUTED_VALUE"""),"หญิง")</f>
        <v>หญิง</v>
      </c>
      <c r="F2089" s="5" t="str">
        <f>IFERROR(__xludf.DUMMYFUNCTION("""COMPUTED_VALUE"""),"https://azizstan.net/student_image/26004.jpg")</f>
        <v>https://azizstan.net/student_image/26004.jpg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>
      <c r="A2090" s="3" t="str">
        <f>IFERROR(__xludf.DUMMYFUNCTION("""COMPUTED_VALUE"""),"21975")</f>
        <v>21975</v>
      </c>
      <c r="B2090" s="3" t="str">
        <f>IFERROR(__xludf.DUMMYFUNCTION("""COMPUTED_VALUE"""),"น.ส.ฟิตรา ยามา")</f>
        <v>น.ส.ฟิตรา ยามา</v>
      </c>
      <c r="C2090" s="3" t="str">
        <f>IFERROR(__xludf.DUMMYFUNCTION("""COMPUTED_VALUE"""),"ม.6/0")</f>
        <v>ม.6/0</v>
      </c>
      <c r="D2090" s="3" t="str">
        <f>IFERROR(__xludf.DUMMYFUNCTION("""COMPUTED_VALUE"""),"อป.3/2")</f>
        <v>อป.3/2</v>
      </c>
      <c r="E2090" s="2" t="str">
        <f>IFERROR(__xludf.DUMMYFUNCTION("""COMPUTED_VALUE"""),"หญิง")</f>
        <v>หญิง</v>
      </c>
      <c r="F2090" s="5" t="str">
        <f>IFERROR(__xludf.DUMMYFUNCTION("""COMPUTED_VALUE"""),"https://azizstan.net/student_image/21975.jpg")</f>
        <v>https://azizstan.net/student_image/21975.jpg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>
      <c r="A2091" s="3" t="str">
        <f>IFERROR(__xludf.DUMMYFUNCTION("""COMPUTED_VALUE"""),"21978")</f>
        <v>21978</v>
      </c>
      <c r="B2091" s="3" t="str">
        <f>IFERROR(__xludf.DUMMYFUNCTION("""COMPUTED_VALUE"""),"นายมูฮำหมัดอัซมี ดือราแม")</f>
        <v>นายมูฮำหมัดอัซมี ดือราแม</v>
      </c>
      <c r="C2091" s="3" t="str">
        <f>IFERROR(__xludf.DUMMYFUNCTION("""COMPUTED_VALUE"""),"ม.6/0")</f>
        <v>ม.6/0</v>
      </c>
      <c r="D2091" s="3" t="str">
        <f>IFERROR(__xludf.DUMMYFUNCTION("""COMPUTED_VALUE"""),"อป.3/2")</f>
        <v>อป.3/2</v>
      </c>
      <c r="E2091" s="2" t="str">
        <f>IFERROR(__xludf.DUMMYFUNCTION("""COMPUTED_VALUE"""),"ชาย")</f>
        <v>ชาย</v>
      </c>
      <c r="F2091" s="5" t="str">
        <f>IFERROR(__xludf.DUMMYFUNCTION("""COMPUTED_VALUE"""),"https://azizstan.net/student_image/21978.jpg")</f>
        <v>https://azizstan.net/student_image/21978.jpg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>
      <c r="A2092" s="3" t="str">
        <f>IFERROR(__xludf.DUMMYFUNCTION("""COMPUTED_VALUE"""),"22041")</f>
        <v>22041</v>
      </c>
      <c r="B2092" s="3" t="str">
        <f>IFERROR(__xludf.DUMMYFUNCTION("""COMPUTED_VALUE"""),"น.ส.นูรฟะห์ มะมิง")</f>
        <v>น.ส.นูรฟะห์ มะมิง</v>
      </c>
      <c r="C2092" s="3" t="str">
        <f>IFERROR(__xludf.DUMMYFUNCTION("""COMPUTED_VALUE"""),"ม.6/0")</f>
        <v>ม.6/0</v>
      </c>
      <c r="D2092" s="3" t="str">
        <f>IFERROR(__xludf.DUMMYFUNCTION("""COMPUTED_VALUE"""),"อป.3/2")</f>
        <v>อป.3/2</v>
      </c>
      <c r="E2092" s="2" t="str">
        <f>IFERROR(__xludf.DUMMYFUNCTION("""COMPUTED_VALUE"""),"หญิง")</f>
        <v>หญิง</v>
      </c>
      <c r="F2092" s="5" t="str">
        <f>IFERROR(__xludf.DUMMYFUNCTION("""COMPUTED_VALUE"""),"https://azizstan.net/student_image/22041.jpg")</f>
        <v>https://azizstan.net/student_image/22041.jpg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>
      <c r="A2093" s="3" t="str">
        <f>IFERROR(__xludf.DUMMYFUNCTION("""COMPUTED_VALUE"""),"22050")</f>
        <v>22050</v>
      </c>
      <c r="B2093" s="3" t="str">
        <f>IFERROR(__xludf.DUMMYFUNCTION("""COMPUTED_VALUE"""),"น.ส.สูไรยา เจะหะ")</f>
        <v>น.ส.สูไรยา เจะหะ</v>
      </c>
      <c r="C2093" s="3" t="str">
        <f>IFERROR(__xludf.DUMMYFUNCTION("""COMPUTED_VALUE"""),"ม.6/0")</f>
        <v>ม.6/0</v>
      </c>
      <c r="D2093" s="3" t="str">
        <f>IFERROR(__xludf.DUMMYFUNCTION("""COMPUTED_VALUE"""),"อป.3/2")</f>
        <v>อป.3/2</v>
      </c>
      <c r="E2093" s="2" t="str">
        <f>IFERROR(__xludf.DUMMYFUNCTION("""COMPUTED_VALUE"""),"หญิง")</f>
        <v>หญิง</v>
      </c>
      <c r="F2093" s="5" t="str">
        <f>IFERROR(__xludf.DUMMYFUNCTION("""COMPUTED_VALUE"""),"https://azizstan.net/student_image/22050.jpg")</f>
        <v>https://azizstan.net/student_image/22050.jpg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>
      <c r="A2094" s="3" t="str">
        <f>IFERROR(__xludf.DUMMYFUNCTION("""COMPUTED_VALUE"""),"22152")</f>
        <v>22152</v>
      </c>
      <c r="B2094" s="3" t="str">
        <f>IFERROR(__xludf.DUMMYFUNCTION("""COMPUTED_VALUE"""),"น.ส.รุสมาวาตี หะยี")</f>
        <v>น.ส.รุสมาวาตี หะยี</v>
      </c>
      <c r="C2094" s="3" t="str">
        <f>IFERROR(__xludf.DUMMYFUNCTION("""COMPUTED_VALUE"""),"ม.6/0")</f>
        <v>ม.6/0</v>
      </c>
      <c r="D2094" s="3" t="str">
        <f>IFERROR(__xludf.DUMMYFUNCTION("""COMPUTED_VALUE"""),"อป.3/2")</f>
        <v>อป.3/2</v>
      </c>
      <c r="E2094" s="2" t="str">
        <f>IFERROR(__xludf.DUMMYFUNCTION("""COMPUTED_VALUE"""),"หญิง")</f>
        <v>หญิง</v>
      </c>
      <c r="F2094" s="5" t="str">
        <f>IFERROR(__xludf.DUMMYFUNCTION("""COMPUTED_VALUE"""),"https://azizstan.net/student_image/22152.jpg")</f>
        <v>https://azizstan.net/student_image/22152.jpg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>
      <c r="A2095" s="3" t="str">
        <f>IFERROR(__xludf.DUMMYFUNCTION("""COMPUTED_VALUE"""),"22178")</f>
        <v>22178</v>
      </c>
      <c r="B2095" s="3" t="str">
        <f>IFERROR(__xludf.DUMMYFUNCTION("""COMPUTED_VALUE"""),"น.ส.คอรีเย๊าะ สะแม")</f>
        <v>น.ส.คอรีเย๊าะ สะแม</v>
      </c>
      <c r="C2095" s="3" t="str">
        <f>IFERROR(__xludf.DUMMYFUNCTION("""COMPUTED_VALUE"""),"ม.6/0")</f>
        <v>ม.6/0</v>
      </c>
      <c r="D2095" s="3" t="str">
        <f>IFERROR(__xludf.DUMMYFUNCTION("""COMPUTED_VALUE"""),"อป.3/2")</f>
        <v>อป.3/2</v>
      </c>
      <c r="E2095" s="2" t="str">
        <f>IFERROR(__xludf.DUMMYFUNCTION("""COMPUTED_VALUE"""),"หญิง")</f>
        <v>หญิง</v>
      </c>
      <c r="F2095" s="5" t="str">
        <f>IFERROR(__xludf.DUMMYFUNCTION("""COMPUTED_VALUE"""),"https://azizstan.net/student_image/22178.jpg")</f>
        <v>https://azizstan.net/student_image/22178.jpg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>
      <c r="A2096" s="3" t="str">
        <f>IFERROR(__xludf.DUMMYFUNCTION("""COMPUTED_VALUE"""),"22195")</f>
        <v>22195</v>
      </c>
      <c r="B2096" s="3" t="str">
        <f>IFERROR(__xludf.DUMMYFUNCTION("""COMPUTED_VALUE"""),"น.ส.ฟิตรียะห์ ยีราตี")</f>
        <v>น.ส.ฟิตรียะห์ ยีราตี</v>
      </c>
      <c r="C2096" s="3" t="str">
        <f>IFERROR(__xludf.DUMMYFUNCTION("""COMPUTED_VALUE"""),"ม.6/0")</f>
        <v>ม.6/0</v>
      </c>
      <c r="D2096" s="3" t="str">
        <f>IFERROR(__xludf.DUMMYFUNCTION("""COMPUTED_VALUE"""),"อป.3/2")</f>
        <v>อป.3/2</v>
      </c>
      <c r="E2096" s="2" t="str">
        <f>IFERROR(__xludf.DUMMYFUNCTION("""COMPUTED_VALUE"""),"หญิง")</f>
        <v>หญิง</v>
      </c>
      <c r="F2096" s="5" t="str">
        <f>IFERROR(__xludf.DUMMYFUNCTION("""COMPUTED_VALUE"""),"https://azizstan.net/student_image/22195.jpg")</f>
        <v>https://azizstan.net/student_image/22195.jpg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>
      <c r="A2097" s="3" t="str">
        <f>IFERROR(__xludf.DUMMYFUNCTION("""COMPUTED_VALUE"""),"22235")</f>
        <v>22235</v>
      </c>
      <c r="B2097" s="3" t="str">
        <f>IFERROR(__xludf.DUMMYFUNCTION("""COMPUTED_VALUE"""),"นายลุตฟี ลายามุง")</f>
        <v>นายลุตฟี ลายามุง</v>
      </c>
      <c r="C2097" s="3" t="str">
        <f>IFERROR(__xludf.DUMMYFUNCTION("""COMPUTED_VALUE"""),"ม.6/0")</f>
        <v>ม.6/0</v>
      </c>
      <c r="D2097" s="3" t="str">
        <f>IFERROR(__xludf.DUMMYFUNCTION("""COMPUTED_VALUE"""),"อป.3/2")</f>
        <v>อป.3/2</v>
      </c>
      <c r="E2097" s="2" t="str">
        <f>IFERROR(__xludf.DUMMYFUNCTION("""COMPUTED_VALUE"""),"ชาย")</f>
        <v>ชาย</v>
      </c>
      <c r="F2097" s="5" t="str">
        <f>IFERROR(__xludf.DUMMYFUNCTION("""COMPUTED_VALUE"""),"https://azizstan.net/student_image/22235.jpg")</f>
        <v>https://azizstan.net/student_image/22235.jpg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>
      <c r="A2098" s="3" t="str">
        <f>IFERROR(__xludf.DUMMYFUNCTION("""COMPUTED_VALUE"""),"22440")</f>
        <v>22440</v>
      </c>
      <c r="B2098" s="3" t="str">
        <f>IFERROR(__xludf.DUMMYFUNCTION("""COMPUTED_VALUE"""),"น.ส.อามาล สาและ")</f>
        <v>น.ส.อามาล สาและ</v>
      </c>
      <c r="C2098" s="3" t="str">
        <f>IFERROR(__xludf.DUMMYFUNCTION("""COMPUTED_VALUE"""),"ม.6/0")</f>
        <v>ม.6/0</v>
      </c>
      <c r="D2098" s="3" t="str">
        <f>IFERROR(__xludf.DUMMYFUNCTION("""COMPUTED_VALUE"""),"อป.3/2")</f>
        <v>อป.3/2</v>
      </c>
      <c r="E2098" s="2" t="str">
        <f>IFERROR(__xludf.DUMMYFUNCTION("""COMPUTED_VALUE"""),"หญิง")</f>
        <v>หญิง</v>
      </c>
      <c r="F2098" s="5" t="str">
        <f>IFERROR(__xludf.DUMMYFUNCTION("""COMPUTED_VALUE"""),"https://azizstan.net/student_image/22440.jpg")</f>
        <v>https://azizstan.net/student_image/22440.jpg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>
      <c r="A2099" s="3" t="str">
        <f>IFERROR(__xludf.DUMMYFUNCTION("""COMPUTED_VALUE"""),"22526")</f>
        <v>22526</v>
      </c>
      <c r="B2099" s="3" t="str">
        <f>IFERROR(__xludf.DUMMYFUNCTION("""COMPUTED_VALUE"""),"น.ส.อนิส สันบากอ")</f>
        <v>น.ส.อนิส สันบากอ</v>
      </c>
      <c r="C2099" s="3" t="str">
        <f>IFERROR(__xludf.DUMMYFUNCTION("""COMPUTED_VALUE"""),"ม.6/0")</f>
        <v>ม.6/0</v>
      </c>
      <c r="D2099" s="3" t="str">
        <f>IFERROR(__xludf.DUMMYFUNCTION("""COMPUTED_VALUE"""),"อป.1/4")</f>
        <v>อป.1/4</v>
      </c>
      <c r="E2099" s="2" t="str">
        <f>IFERROR(__xludf.DUMMYFUNCTION("""COMPUTED_VALUE"""),"หญิง")</f>
        <v>หญิง</v>
      </c>
      <c r="F2099" s="5" t="str">
        <f>IFERROR(__xludf.DUMMYFUNCTION("""COMPUTED_VALUE"""),"https://azizstan.net/student_image/22526.jpg")</f>
        <v>https://azizstan.net/student_image/22526.jpg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>
      <c r="A2100" s="3" t="str">
        <f>IFERROR(__xludf.DUMMYFUNCTION("""COMPUTED_VALUE"""),"23189")</f>
        <v>23189</v>
      </c>
      <c r="B2100" s="3" t="str">
        <f>IFERROR(__xludf.DUMMYFUNCTION("""COMPUTED_VALUE"""),"น.ส.ฮัรฟานา อุเซ็ง")</f>
        <v>น.ส.ฮัรฟานา อุเซ็ง</v>
      </c>
      <c r="C2100" s="3" t="str">
        <f>IFERROR(__xludf.DUMMYFUNCTION("""COMPUTED_VALUE"""),"ม.6/0")</f>
        <v>ม.6/0</v>
      </c>
      <c r="D2100" s="3" t="str">
        <f>IFERROR(__xludf.DUMMYFUNCTION("""COMPUTED_VALUE"""),"อป.3/2")</f>
        <v>อป.3/2</v>
      </c>
      <c r="E2100" s="2" t="str">
        <f>IFERROR(__xludf.DUMMYFUNCTION("""COMPUTED_VALUE"""),"หญิง")</f>
        <v>หญิง</v>
      </c>
      <c r="F2100" s="5" t="str">
        <f>IFERROR(__xludf.DUMMYFUNCTION("""COMPUTED_VALUE"""),"https://azizstan.net/student_image/23189.jpg")</f>
        <v>https://azizstan.net/student_image/23189.jpg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>
      <c r="A2101" s="3" t="str">
        <f>IFERROR(__xludf.DUMMYFUNCTION("""COMPUTED_VALUE"""),"23261")</f>
        <v>23261</v>
      </c>
      <c r="B2101" s="3" t="str">
        <f>IFERROR(__xludf.DUMMYFUNCTION("""COMPUTED_VALUE"""),"น.ส.นูรลัยลา ลาเต๊ะ")</f>
        <v>น.ส.นูรลัยลา ลาเต๊ะ</v>
      </c>
      <c r="C2101" s="3" t="str">
        <f>IFERROR(__xludf.DUMMYFUNCTION("""COMPUTED_VALUE"""),"ม.6/0")</f>
        <v>ม.6/0</v>
      </c>
      <c r="D2101" s="3" t="str">
        <f>IFERROR(__xludf.DUMMYFUNCTION("""COMPUTED_VALUE"""),"อป.3/2")</f>
        <v>อป.3/2</v>
      </c>
      <c r="E2101" s="2" t="str">
        <f>IFERROR(__xludf.DUMMYFUNCTION("""COMPUTED_VALUE"""),"หญิง")</f>
        <v>หญิง</v>
      </c>
      <c r="F2101" s="5" t="str">
        <f>IFERROR(__xludf.DUMMYFUNCTION("""COMPUTED_VALUE"""),"https://azizstan.net/student_image/23261.jpg")</f>
        <v>https://azizstan.net/student_image/23261.jpg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>
      <c r="A2102" s="3" t="str">
        <f>IFERROR(__xludf.DUMMYFUNCTION("""COMPUTED_VALUE"""),"24095")</f>
        <v>24095</v>
      </c>
      <c r="B2102" s="3" t="str">
        <f>IFERROR(__xludf.DUMMYFUNCTION("""COMPUTED_VALUE"""),"นายอัสซุกรอน โรมรินทร์")</f>
        <v>นายอัสซุกรอน โรมรินทร์</v>
      </c>
      <c r="C2102" s="3" t="str">
        <f>IFERROR(__xludf.DUMMYFUNCTION("""COMPUTED_VALUE"""),"ม.6/0")</f>
        <v>ม.6/0</v>
      </c>
      <c r="D2102" s="3" t="str">
        <f>IFERROR(__xludf.DUMMYFUNCTION("""COMPUTED_VALUE"""),"อป.3/2")</f>
        <v>อป.3/2</v>
      </c>
      <c r="E2102" s="2" t="str">
        <f>IFERROR(__xludf.DUMMYFUNCTION("""COMPUTED_VALUE"""),"ชาย")</f>
        <v>ชาย</v>
      </c>
      <c r="F2102" s="5" t="str">
        <f>IFERROR(__xludf.DUMMYFUNCTION("""COMPUTED_VALUE"""),"https://azizstan.net/student_image/24095.jpg")</f>
        <v>https://azizstan.net/student_image/24095.jpg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>
      <c r="A2103" s="3" t="str">
        <f>IFERROR(__xludf.DUMMYFUNCTION("""COMPUTED_VALUE"""),"22344")</f>
        <v>22344</v>
      </c>
      <c r="B2103" s="3" t="str">
        <f>IFERROR(__xludf.DUMMYFUNCTION("""COMPUTED_VALUE"""),"นายอัซฮาร์ สะอิ")</f>
        <v>นายอัซฮาร์ สะอิ</v>
      </c>
      <c r="C2103" s="3" t="str">
        <f>IFERROR(__xludf.DUMMYFUNCTION("""COMPUTED_VALUE"""),"ม.6/1")</f>
        <v>ม.6/1</v>
      </c>
      <c r="D2103" s="3" t="str">
        <f>IFERROR(__xludf.DUMMYFUNCTION("""COMPUTED_VALUE"""),"อก.3/1")</f>
        <v>อก.3/1</v>
      </c>
      <c r="E2103" s="2" t="str">
        <f>IFERROR(__xludf.DUMMYFUNCTION("""COMPUTED_VALUE"""),"ชาย")</f>
        <v>ชาย</v>
      </c>
      <c r="F2103" s="5" t="str">
        <f>IFERROR(__xludf.DUMMYFUNCTION("""COMPUTED_VALUE"""),"https://azizstan.net/student_image/22344.jpg")</f>
        <v>https://azizstan.net/student_image/22344.jpg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>
      <c r="A2104" s="3" t="str">
        <f>IFERROR(__xludf.DUMMYFUNCTION("""COMPUTED_VALUE"""),"22700")</f>
        <v>22700</v>
      </c>
      <c r="B2104" s="3" t="str">
        <f>IFERROR(__xludf.DUMMYFUNCTION("""COMPUTED_VALUE"""),"นายอารีฟีน วานิ")</f>
        <v>นายอารีฟีน วานิ</v>
      </c>
      <c r="C2104" s="3" t="str">
        <f>IFERROR(__xludf.DUMMYFUNCTION("""COMPUTED_VALUE"""),"ม.6/1")</f>
        <v>ม.6/1</v>
      </c>
      <c r="D2104" s="3" t="str">
        <f>IFERROR(__xludf.DUMMYFUNCTION("""COMPUTED_VALUE"""),"อก.3/1")</f>
        <v>อก.3/1</v>
      </c>
      <c r="E2104" s="2" t="str">
        <f>IFERROR(__xludf.DUMMYFUNCTION("""COMPUTED_VALUE"""),"ชาย")</f>
        <v>ชาย</v>
      </c>
      <c r="F2104" s="5" t="str">
        <f>IFERROR(__xludf.DUMMYFUNCTION("""COMPUTED_VALUE"""),"https://azizstan.net/student_image/22700.jpg")</f>
        <v>https://azizstan.net/student_image/22700.jpg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>
      <c r="A2105" s="3" t="str">
        <f>IFERROR(__xludf.DUMMYFUNCTION("""COMPUTED_VALUE"""),"22709")</f>
        <v>22709</v>
      </c>
      <c r="B2105" s="3" t="str">
        <f>IFERROR(__xludf.DUMMYFUNCTION("""COMPUTED_VALUE"""),"นายอัฟฟาน มันอิ")</f>
        <v>นายอัฟฟาน มันอิ</v>
      </c>
      <c r="C2105" s="3" t="str">
        <f>IFERROR(__xludf.DUMMYFUNCTION("""COMPUTED_VALUE"""),"ม.6/1")</f>
        <v>ม.6/1</v>
      </c>
      <c r="D2105" s="3" t="str">
        <f>IFERROR(__xludf.DUMMYFUNCTION("""COMPUTED_VALUE"""),"อป.2/1")</f>
        <v>อป.2/1</v>
      </c>
      <c r="E2105" s="2" t="str">
        <f>IFERROR(__xludf.DUMMYFUNCTION("""COMPUTED_VALUE"""),"ชาย")</f>
        <v>ชาย</v>
      </c>
      <c r="F2105" s="5" t="str">
        <f>IFERROR(__xludf.DUMMYFUNCTION("""COMPUTED_VALUE"""),"https://azizstan.net/student_image/22709.jpg")</f>
        <v>https://azizstan.net/student_image/22709.jpg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>
      <c r="A2106" s="3" t="str">
        <f>IFERROR(__xludf.DUMMYFUNCTION("""COMPUTED_VALUE"""),"22728")</f>
        <v>22728</v>
      </c>
      <c r="B2106" s="3" t="str">
        <f>IFERROR(__xludf.DUMMYFUNCTION("""COMPUTED_VALUE"""),"นายอัซลัน สาแม")</f>
        <v>นายอัซลัน สาแม</v>
      </c>
      <c r="C2106" s="3" t="str">
        <f>IFERROR(__xludf.DUMMYFUNCTION("""COMPUTED_VALUE"""),"ม.6/1")</f>
        <v>ม.6/1</v>
      </c>
      <c r="D2106" s="3" t="str">
        <f>IFERROR(__xludf.DUMMYFUNCTION("""COMPUTED_VALUE"""),"อก.3/1")</f>
        <v>อก.3/1</v>
      </c>
      <c r="E2106" s="2" t="str">
        <f>IFERROR(__xludf.DUMMYFUNCTION("""COMPUTED_VALUE"""),"ชาย")</f>
        <v>ชาย</v>
      </c>
      <c r="F2106" s="5" t="str">
        <f>IFERROR(__xludf.DUMMYFUNCTION("""COMPUTED_VALUE"""),"https://azizstan.net/student_image/22728.jpg")</f>
        <v>https://azizstan.net/student_image/22728.jpg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>
      <c r="A2107" s="3" t="str">
        <f>IFERROR(__xludf.DUMMYFUNCTION("""COMPUTED_VALUE"""),"22741")</f>
        <v>22741</v>
      </c>
      <c r="B2107" s="3" t="str">
        <f>IFERROR(__xludf.DUMMYFUNCTION("""COMPUTED_VALUE"""),"นายอิรฮัม เหมหลง")</f>
        <v>นายอิรฮัม เหมหลง</v>
      </c>
      <c r="C2107" s="3" t="str">
        <f>IFERROR(__xludf.DUMMYFUNCTION("""COMPUTED_VALUE"""),"ม.6/1")</f>
        <v>ม.6/1</v>
      </c>
      <c r="D2107" s="3" t="str">
        <f>IFERROR(__xludf.DUMMYFUNCTION("""COMPUTED_VALUE"""),"อป.1/1")</f>
        <v>อป.1/1</v>
      </c>
      <c r="E2107" s="2" t="str">
        <f>IFERROR(__xludf.DUMMYFUNCTION("""COMPUTED_VALUE"""),"ชาย")</f>
        <v>ชาย</v>
      </c>
      <c r="F2107" s="5" t="str">
        <f>IFERROR(__xludf.DUMMYFUNCTION("""COMPUTED_VALUE"""),"https://azizstan.net/student_image/22741.jpg")</f>
        <v>https://azizstan.net/student_image/22741.jpg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>
      <c r="A2108" s="3" t="str">
        <f>IFERROR(__xludf.DUMMYFUNCTION("""COMPUTED_VALUE"""),"22746")</f>
        <v>22746</v>
      </c>
      <c r="B2108" s="3" t="str">
        <f>IFERROR(__xludf.DUMMYFUNCTION("""COMPUTED_VALUE"""),"นายอฟันดี กาสามาสุ")</f>
        <v>นายอฟันดี กาสามาสุ</v>
      </c>
      <c r="C2108" s="3" t="str">
        <f>IFERROR(__xludf.DUMMYFUNCTION("""COMPUTED_VALUE"""),"ม.6/1")</f>
        <v>ม.6/1</v>
      </c>
      <c r="D2108" s="3" t="str">
        <f>IFERROR(__xludf.DUMMYFUNCTION("""COMPUTED_VALUE"""),"อก.3/1")</f>
        <v>อก.3/1</v>
      </c>
      <c r="E2108" s="2" t="str">
        <f>IFERROR(__xludf.DUMMYFUNCTION("""COMPUTED_VALUE"""),"ชาย")</f>
        <v>ชาย</v>
      </c>
      <c r="F2108" s="5" t="str">
        <f>IFERROR(__xludf.DUMMYFUNCTION("""COMPUTED_VALUE"""),"https://azizstan.net/student_image/22746.jpg")</f>
        <v>https://azizstan.net/student_image/22746.jpg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>
      <c r="A2109" s="3" t="str">
        <f>IFERROR(__xludf.DUMMYFUNCTION("""COMPUTED_VALUE"""),"22779")</f>
        <v>22779</v>
      </c>
      <c r="B2109" s="3" t="str">
        <f>IFERROR(__xludf.DUMMYFUNCTION("""COMPUTED_VALUE"""),"นายมูฮำหมัดอิรฟาน เจ๊ะหลง")</f>
        <v>นายมูฮำหมัดอิรฟาน เจ๊ะหลง</v>
      </c>
      <c r="C2109" s="3" t="str">
        <f>IFERROR(__xludf.DUMMYFUNCTION("""COMPUTED_VALUE"""),"ม.6/1")</f>
        <v>ม.6/1</v>
      </c>
      <c r="D2109" s="3" t="str">
        <f>IFERROR(__xludf.DUMMYFUNCTION("""COMPUTED_VALUE"""),"อป.1/1")</f>
        <v>อป.1/1</v>
      </c>
      <c r="E2109" s="2" t="str">
        <f>IFERROR(__xludf.DUMMYFUNCTION("""COMPUTED_VALUE"""),"ชาย")</f>
        <v>ชาย</v>
      </c>
      <c r="F2109" s="5" t="str">
        <f>IFERROR(__xludf.DUMMYFUNCTION("""COMPUTED_VALUE"""),"https://azizstan.net/student_image/22779.jpg")</f>
        <v>https://azizstan.net/student_image/22779.jpg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>
      <c r="A2110" s="3" t="str">
        <f>IFERROR(__xludf.DUMMYFUNCTION("""COMPUTED_VALUE"""),"22825")</f>
        <v>22825</v>
      </c>
      <c r="B2110" s="3" t="str">
        <f>IFERROR(__xludf.DUMMYFUNCTION("""COMPUTED_VALUE"""),"นายนาบิลล์ อาบู")</f>
        <v>นายนาบิลล์ อาบู</v>
      </c>
      <c r="C2110" s="3" t="str">
        <f>IFERROR(__xludf.DUMMYFUNCTION("""COMPUTED_VALUE"""),"ม.6/1")</f>
        <v>ม.6/1</v>
      </c>
      <c r="D2110" s="3" t="str">
        <f>IFERROR(__xludf.DUMMYFUNCTION("""COMPUTED_VALUE"""),"อป.1/1")</f>
        <v>อป.1/1</v>
      </c>
      <c r="E2110" s="2" t="str">
        <f>IFERROR(__xludf.DUMMYFUNCTION("""COMPUTED_VALUE"""),"ชาย")</f>
        <v>ชาย</v>
      </c>
      <c r="F2110" s="5" t="str">
        <f>IFERROR(__xludf.DUMMYFUNCTION("""COMPUTED_VALUE"""),"https://azizstan.net/student_image/22825.jpg")</f>
        <v>https://azizstan.net/student_image/22825.jpg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>
      <c r="A2111" s="3" t="str">
        <f>IFERROR(__xludf.DUMMYFUNCTION("""COMPUTED_VALUE"""),"22862")</f>
        <v>22862</v>
      </c>
      <c r="B2111" s="3" t="str">
        <f>IFERROR(__xludf.DUMMYFUNCTION("""COMPUTED_VALUE"""),"นายอัสรี มะซง")</f>
        <v>นายอัสรี มะซง</v>
      </c>
      <c r="C2111" s="3" t="str">
        <f>IFERROR(__xludf.DUMMYFUNCTION("""COMPUTED_VALUE"""),"ม.6/1")</f>
        <v>ม.6/1</v>
      </c>
      <c r="D2111" s="3" t="str">
        <f>IFERROR(__xludf.DUMMYFUNCTION("""COMPUTED_VALUE"""),"อก.3/1")</f>
        <v>อก.3/1</v>
      </c>
      <c r="E2111" s="2" t="str">
        <f>IFERROR(__xludf.DUMMYFUNCTION("""COMPUTED_VALUE"""),"ชาย")</f>
        <v>ชาย</v>
      </c>
      <c r="F2111" s="5" t="str">
        <f>IFERROR(__xludf.DUMMYFUNCTION("""COMPUTED_VALUE"""),"https://azizstan.net/student_image/22862.jpg")</f>
        <v>https://azizstan.net/student_image/22862.jpg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>
      <c r="A2112" s="3" t="str">
        <f>IFERROR(__xludf.DUMMYFUNCTION("""COMPUTED_VALUE"""),"22905")</f>
        <v>22905</v>
      </c>
      <c r="B2112" s="3" t="str">
        <f>IFERROR(__xludf.DUMMYFUNCTION("""COMPUTED_VALUE"""),"นายบาซอรี มะแซ")</f>
        <v>นายบาซอรี มะแซ</v>
      </c>
      <c r="C2112" s="3" t="str">
        <f>IFERROR(__xludf.DUMMYFUNCTION("""COMPUTED_VALUE"""),"ม.6/1")</f>
        <v>ม.6/1</v>
      </c>
      <c r="D2112" s="3" t="str">
        <f>IFERROR(__xludf.DUMMYFUNCTION("""COMPUTED_VALUE"""),"อป.3/1")</f>
        <v>อป.3/1</v>
      </c>
      <c r="E2112" s="2" t="str">
        <f>IFERROR(__xludf.DUMMYFUNCTION("""COMPUTED_VALUE"""),"ชาย")</f>
        <v>ชาย</v>
      </c>
      <c r="F2112" s="5" t="str">
        <f>IFERROR(__xludf.DUMMYFUNCTION("""COMPUTED_VALUE"""),"https://azizstan.net/student_image/22905.jpg")</f>
        <v>https://azizstan.net/student_image/22905.jpg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>
      <c r="A2113" s="3" t="str">
        <f>IFERROR(__xludf.DUMMYFUNCTION("""COMPUTED_VALUE"""),"22956")</f>
        <v>22956</v>
      </c>
      <c r="B2113" s="3" t="str">
        <f>IFERROR(__xludf.DUMMYFUNCTION("""COMPUTED_VALUE"""),"นายอันนัสรู แวโด")</f>
        <v>นายอันนัสรู แวโด</v>
      </c>
      <c r="C2113" s="3" t="str">
        <f>IFERROR(__xludf.DUMMYFUNCTION("""COMPUTED_VALUE"""),"ม.6/1")</f>
        <v>ม.6/1</v>
      </c>
      <c r="D2113" s="3" t="str">
        <f>IFERROR(__xludf.DUMMYFUNCTION("""COMPUTED_VALUE"""),"อป.1/1")</f>
        <v>อป.1/1</v>
      </c>
      <c r="E2113" s="2" t="str">
        <f>IFERROR(__xludf.DUMMYFUNCTION("""COMPUTED_VALUE"""),"ชาย")</f>
        <v>ชาย</v>
      </c>
      <c r="F2113" s="5" t="str">
        <f>IFERROR(__xludf.DUMMYFUNCTION("""COMPUTED_VALUE"""),"https://azizstan.net/student_image/22956.jpg")</f>
        <v>https://azizstan.net/student_image/22956.jpg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>
      <c r="A2114" s="3" t="str">
        <f>IFERROR(__xludf.DUMMYFUNCTION("""COMPUTED_VALUE"""),"22963")</f>
        <v>22963</v>
      </c>
      <c r="B2114" s="3" t="str">
        <f>IFERROR(__xludf.DUMMYFUNCTION("""COMPUTED_VALUE"""),"นายวราวีย์ นิจิ")</f>
        <v>นายวราวีย์ นิจิ</v>
      </c>
      <c r="C2114" s="3" t="str">
        <f>IFERROR(__xludf.DUMMYFUNCTION("""COMPUTED_VALUE"""),"ม.6/1")</f>
        <v>ม.6/1</v>
      </c>
      <c r="D2114" s="3" t="str">
        <f>IFERROR(__xludf.DUMMYFUNCTION("""COMPUTED_VALUE"""),"อป.3/1")</f>
        <v>อป.3/1</v>
      </c>
      <c r="E2114" s="2" t="str">
        <f>IFERROR(__xludf.DUMMYFUNCTION("""COMPUTED_VALUE"""),"ชาย")</f>
        <v>ชาย</v>
      </c>
      <c r="F2114" s="5" t="str">
        <f>IFERROR(__xludf.DUMMYFUNCTION("""COMPUTED_VALUE"""),"https://azizstan.net/student_image/22963.jpg")</f>
        <v>https://azizstan.net/student_image/22963.jpg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>
      <c r="A2115" s="3" t="str">
        <f>IFERROR(__xludf.DUMMYFUNCTION("""COMPUTED_VALUE"""),"22969")</f>
        <v>22969</v>
      </c>
      <c r="B2115" s="3" t="str">
        <f>IFERROR(__xludf.DUMMYFUNCTION("""COMPUTED_VALUE"""),"นายซูฮัยมี บูแม")</f>
        <v>นายซูฮัยมี บูแม</v>
      </c>
      <c r="C2115" s="3" t="str">
        <f>IFERROR(__xludf.DUMMYFUNCTION("""COMPUTED_VALUE"""),"ม.6/1")</f>
        <v>ม.6/1</v>
      </c>
      <c r="D2115" s="3" t="str">
        <f>IFERROR(__xludf.DUMMYFUNCTION("""COMPUTED_VALUE"""),"อป.1/1")</f>
        <v>อป.1/1</v>
      </c>
      <c r="E2115" s="2" t="str">
        <f>IFERROR(__xludf.DUMMYFUNCTION("""COMPUTED_VALUE"""),"ชาย")</f>
        <v>ชาย</v>
      </c>
      <c r="F2115" s="5" t="str">
        <f>IFERROR(__xludf.DUMMYFUNCTION("""COMPUTED_VALUE"""),"https://azizstan.net/student_image/22969.jpg")</f>
        <v>https://azizstan.net/student_image/22969.jpg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>
      <c r="A2116" s="3" t="str">
        <f>IFERROR(__xludf.DUMMYFUNCTION("""COMPUTED_VALUE"""),"23021")</f>
        <v>23021</v>
      </c>
      <c r="B2116" s="3" t="str">
        <f>IFERROR(__xludf.DUMMYFUNCTION("""COMPUTED_VALUE"""),"นายณอิฟ กิตติชัย")</f>
        <v>นายณอิฟ กิตติชัย</v>
      </c>
      <c r="C2116" s="3" t="str">
        <f>IFERROR(__xludf.DUMMYFUNCTION("""COMPUTED_VALUE"""),"ม.6/1")</f>
        <v>ม.6/1</v>
      </c>
      <c r="D2116" s="3" t="str">
        <f>IFERROR(__xludf.DUMMYFUNCTION("""COMPUTED_VALUE"""),"อป.3/1")</f>
        <v>อป.3/1</v>
      </c>
      <c r="E2116" s="2" t="str">
        <f>IFERROR(__xludf.DUMMYFUNCTION("""COMPUTED_VALUE"""),"ชาย")</f>
        <v>ชาย</v>
      </c>
      <c r="F2116" s="5" t="str">
        <f>IFERROR(__xludf.DUMMYFUNCTION("""COMPUTED_VALUE"""),"https://azizstan.net/student_image/23021.jpg")</f>
        <v>https://azizstan.net/student_image/23021.jpg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>
      <c r="A2117" s="3" t="str">
        <f>IFERROR(__xludf.DUMMYFUNCTION("""COMPUTED_VALUE"""),"23050")</f>
        <v>23050</v>
      </c>
      <c r="B2117" s="3" t="str">
        <f>IFERROR(__xludf.DUMMYFUNCTION("""COMPUTED_VALUE"""),"นายอามีน มะเซ็ง")</f>
        <v>นายอามีน มะเซ็ง</v>
      </c>
      <c r="C2117" s="3" t="str">
        <f>IFERROR(__xludf.DUMMYFUNCTION("""COMPUTED_VALUE"""),"ม.6/1")</f>
        <v>ม.6/1</v>
      </c>
      <c r="D2117" s="3" t="str">
        <f>IFERROR(__xludf.DUMMYFUNCTION("""COMPUTED_VALUE"""),"อป.1/1")</f>
        <v>อป.1/1</v>
      </c>
      <c r="E2117" s="2" t="str">
        <f>IFERROR(__xludf.DUMMYFUNCTION("""COMPUTED_VALUE"""),"ชาย")</f>
        <v>ชาย</v>
      </c>
      <c r="F2117" s="5" t="str">
        <f>IFERROR(__xludf.DUMMYFUNCTION("""COMPUTED_VALUE"""),"https://azizstan.net/student_image/23050.jpg")</f>
        <v>https://azizstan.net/student_image/23050.jpg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>
      <c r="A2118" s="3" t="str">
        <f>IFERROR(__xludf.DUMMYFUNCTION("""COMPUTED_VALUE"""),"23077")</f>
        <v>23077</v>
      </c>
      <c r="B2118" s="3" t="str">
        <f>IFERROR(__xludf.DUMMYFUNCTION("""COMPUTED_VALUE"""),"นายอนัส แลมันเส็น")</f>
        <v>นายอนัส แลมันเส็น</v>
      </c>
      <c r="C2118" s="3" t="str">
        <f>IFERROR(__xludf.DUMMYFUNCTION("""COMPUTED_VALUE"""),"ม.6/1")</f>
        <v>ม.6/1</v>
      </c>
      <c r="D2118" s="3" t="str">
        <f>IFERROR(__xludf.DUMMYFUNCTION("""COMPUTED_VALUE"""),"อป.3/1")</f>
        <v>อป.3/1</v>
      </c>
      <c r="E2118" s="2" t="str">
        <f>IFERROR(__xludf.DUMMYFUNCTION("""COMPUTED_VALUE"""),"ชาย")</f>
        <v>ชาย</v>
      </c>
      <c r="F2118" s="5" t="str">
        <f>IFERROR(__xludf.DUMMYFUNCTION("""COMPUTED_VALUE"""),"https://azizstan.net/student_image/23077.jpg")</f>
        <v>https://azizstan.net/student_image/23077.jpg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>
      <c r="A2119" s="3" t="str">
        <f>IFERROR(__xludf.DUMMYFUNCTION("""COMPUTED_VALUE"""),"23139")</f>
        <v>23139</v>
      </c>
      <c r="B2119" s="3" t="str">
        <f>IFERROR(__xludf.DUMMYFUNCTION("""COMPUTED_VALUE"""),"นายชินาธิป ดามัน")</f>
        <v>นายชินาธิป ดามัน</v>
      </c>
      <c r="C2119" s="3" t="str">
        <f>IFERROR(__xludf.DUMMYFUNCTION("""COMPUTED_VALUE"""),"ม.6/1")</f>
        <v>ม.6/1</v>
      </c>
      <c r="D2119" s="3" t="str">
        <f>IFERROR(__xludf.DUMMYFUNCTION("""COMPUTED_VALUE"""),"อก.3/1")</f>
        <v>อก.3/1</v>
      </c>
      <c r="E2119" s="2" t="str">
        <f>IFERROR(__xludf.DUMMYFUNCTION("""COMPUTED_VALUE"""),"ชาย")</f>
        <v>ชาย</v>
      </c>
      <c r="F2119" s="5" t="str">
        <f>IFERROR(__xludf.DUMMYFUNCTION("""COMPUTED_VALUE"""),"https://azizstan.net/student_image/23139.jpg")</f>
        <v>https://azizstan.net/student_image/23139.jpg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>
      <c r="A2120" s="3" t="str">
        <f>IFERROR(__xludf.DUMMYFUNCTION("""COMPUTED_VALUE"""),"23140")</f>
        <v>23140</v>
      </c>
      <c r="B2120" s="3" t="str">
        <f>IFERROR(__xludf.DUMMYFUNCTION("""COMPUTED_VALUE"""),"นายอับดุลกอเดร์ เส็นสะนา")</f>
        <v>นายอับดุลกอเดร์ เส็นสะนา</v>
      </c>
      <c r="C2120" s="3" t="str">
        <f>IFERROR(__xludf.DUMMYFUNCTION("""COMPUTED_VALUE"""),"ม.6/1")</f>
        <v>ม.6/1</v>
      </c>
      <c r="D2120" s="3" t="str">
        <f>IFERROR(__xludf.DUMMYFUNCTION("""COMPUTED_VALUE"""),"อป.3/1")</f>
        <v>อป.3/1</v>
      </c>
      <c r="E2120" s="2" t="str">
        <f>IFERROR(__xludf.DUMMYFUNCTION("""COMPUTED_VALUE"""),"ชาย")</f>
        <v>ชาย</v>
      </c>
      <c r="F2120" s="5" t="str">
        <f>IFERROR(__xludf.DUMMYFUNCTION("""COMPUTED_VALUE"""),"https://azizstan.net/student_image/23140.jpg")</f>
        <v>https://azizstan.net/student_image/23140.jpg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>
      <c r="A2121" s="3" t="str">
        <f>IFERROR(__xludf.DUMMYFUNCTION("""COMPUTED_VALUE"""),"23157")</f>
        <v>23157</v>
      </c>
      <c r="B2121" s="3" t="str">
        <f>IFERROR(__xludf.DUMMYFUNCTION("""COMPUTED_VALUE"""),"นายอิคลาส หีมบู")</f>
        <v>นายอิคลาส หีมบู</v>
      </c>
      <c r="C2121" s="3" t="str">
        <f>IFERROR(__xludf.DUMMYFUNCTION("""COMPUTED_VALUE"""),"ม.6/1")</f>
        <v>ม.6/1</v>
      </c>
      <c r="D2121" s="3" t="str">
        <f>IFERROR(__xludf.DUMMYFUNCTION("""COMPUTED_VALUE"""),"อป.2/1")</f>
        <v>อป.2/1</v>
      </c>
      <c r="E2121" s="2" t="str">
        <f>IFERROR(__xludf.DUMMYFUNCTION("""COMPUTED_VALUE"""),"ชาย")</f>
        <v>ชาย</v>
      </c>
      <c r="F2121" s="5" t="str">
        <f>IFERROR(__xludf.DUMMYFUNCTION("""COMPUTED_VALUE"""),"https://azizstan.net/student_image/23157.jpg")</f>
        <v>https://azizstan.net/student_image/23157.jpg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>
      <c r="A2122" s="3" t="str">
        <f>IFERROR(__xludf.DUMMYFUNCTION("""COMPUTED_VALUE"""),"23186")</f>
        <v>23186</v>
      </c>
      <c r="B2122" s="3" t="str">
        <f>IFERROR(__xludf.DUMMYFUNCTION("""COMPUTED_VALUE"""),"นายริฟฮาน คาเดลอดิง")</f>
        <v>นายริฟฮาน คาเดลอดิง</v>
      </c>
      <c r="C2122" s="3" t="str">
        <f>IFERROR(__xludf.DUMMYFUNCTION("""COMPUTED_VALUE"""),"ม.6/1")</f>
        <v>ม.6/1</v>
      </c>
      <c r="D2122" s="3" t="str">
        <f>IFERROR(__xludf.DUMMYFUNCTION("""COMPUTED_VALUE"""),"อป.2/1")</f>
        <v>อป.2/1</v>
      </c>
      <c r="E2122" s="2" t="str">
        <f>IFERROR(__xludf.DUMMYFUNCTION("""COMPUTED_VALUE"""),"ชาย")</f>
        <v>ชาย</v>
      </c>
      <c r="F2122" s="5" t="str">
        <f>IFERROR(__xludf.DUMMYFUNCTION("""COMPUTED_VALUE"""),"https://azizstan.net/student_image/23186.jpg")</f>
        <v>https://azizstan.net/student_image/23186.jpg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>
      <c r="A2123" s="3" t="str">
        <f>IFERROR(__xludf.DUMMYFUNCTION("""COMPUTED_VALUE"""),"23209")</f>
        <v>23209</v>
      </c>
      <c r="B2123" s="3" t="str">
        <f>IFERROR(__xludf.DUMMYFUNCTION("""COMPUTED_VALUE"""),"นายฟาอิล สะบูดิง")</f>
        <v>นายฟาอิล สะบูดิง</v>
      </c>
      <c r="C2123" s="3" t="str">
        <f>IFERROR(__xludf.DUMMYFUNCTION("""COMPUTED_VALUE"""),"ม.6/1")</f>
        <v>ม.6/1</v>
      </c>
      <c r="D2123" s="3" t="str">
        <f>IFERROR(__xludf.DUMMYFUNCTION("""COMPUTED_VALUE"""),"อก.3/1")</f>
        <v>อก.3/1</v>
      </c>
      <c r="E2123" s="2" t="str">
        <f>IFERROR(__xludf.DUMMYFUNCTION("""COMPUTED_VALUE"""),"ชาย")</f>
        <v>ชาย</v>
      </c>
      <c r="F2123" s="5" t="str">
        <f>IFERROR(__xludf.DUMMYFUNCTION("""COMPUTED_VALUE"""),"https://azizstan.net/student_image/23209.jpg")</f>
        <v>https://azizstan.net/student_image/23209.jpg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>
      <c r="A2124" s="3" t="str">
        <f>IFERROR(__xludf.DUMMYFUNCTION("""COMPUTED_VALUE"""),"23276")</f>
        <v>23276</v>
      </c>
      <c r="B2124" s="3" t="str">
        <f>IFERROR(__xludf.DUMMYFUNCTION("""COMPUTED_VALUE"""),"นายอานัส เจะสะแลแม")</f>
        <v>นายอานัส เจะสะแลแม</v>
      </c>
      <c r="C2124" s="3" t="str">
        <f>IFERROR(__xludf.DUMMYFUNCTION("""COMPUTED_VALUE"""),"ม.6/1")</f>
        <v>ม.6/1</v>
      </c>
      <c r="D2124" s="3" t="str">
        <f>IFERROR(__xludf.DUMMYFUNCTION("""COMPUTED_VALUE"""),"อก.3/1")</f>
        <v>อก.3/1</v>
      </c>
      <c r="E2124" s="2" t="str">
        <f>IFERROR(__xludf.DUMMYFUNCTION("""COMPUTED_VALUE"""),"ชาย")</f>
        <v>ชาย</v>
      </c>
      <c r="F2124" s="5" t="str">
        <f>IFERROR(__xludf.DUMMYFUNCTION("""COMPUTED_VALUE"""),"https://azizstan.net/student_image/23276.jpg")</f>
        <v>https://azizstan.net/student_image/23276.jpg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>
      <c r="A2125" s="3" t="str">
        <f>IFERROR(__xludf.DUMMYFUNCTION("""COMPUTED_VALUE"""),"24807")</f>
        <v>24807</v>
      </c>
      <c r="B2125" s="3" t="str">
        <f>IFERROR(__xludf.DUMMYFUNCTION("""COMPUTED_VALUE"""),"นายอัซรีย์ สามะ")</f>
        <v>นายอัซรีย์ สามะ</v>
      </c>
      <c r="C2125" s="3" t="str">
        <f>IFERROR(__xludf.DUMMYFUNCTION("""COMPUTED_VALUE"""),"ม.6/1")</f>
        <v>ม.6/1</v>
      </c>
      <c r="D2125" s="3" t="str">
        <f>IFERROR(__xludf.DUMMYFUNCTION("""COMPUTED_VALUE"""),"อป.1/1")</f>
        <v>อป.1/1</v>
      </c>
      <c r="E2125" s="2" t="str">
        <f>IFERROR(__xludf.DUMMYFUNCTION("""COMPUTED_VALUE"""),"ชาย")</f>
        <v>ชาย</v>
      </c>
      <c r="F2125" s="5" t="str">
        <f>IFERROR(__xludf.DUMMYFUNCTION("""COMPUTED_VALUE"""),"https://azizstan.net/student_image/24807.jpg")</f>
        <v>https://azizstan.net/student_image/24807.jpg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>
      <c r="A2126" s="3" t="str">
        <f>IFERROR(__xludf.DUMMYFUNCTION("""COMPUTED_VALUE"""),"24926")</f>
        <v>24926</v>
      </c>
      <c r="B2126" s="3" t="str">
        <f>IFERROR(__xludf.DUMMYFUNCTION("""COMPUTED_VALUE"""),"นายฮากีมี อะลีหะ")</f>
        <v>นายฮากีมี อะลีหะ</v>
      </c>
      <c r="C2126" s="3" t="str">
        <f>IFERROR(__xludf.DUMMYFUNCTION("""COMPUTED_VALUE"""),"ม.6/1")</f>
        <v>ม.6/1</v>
      </c>
      <c r="D2126" s="3" t="str">
        <f>IFERROR(__xludf.DUMMYFUNCTION("""COMPUTED_VALUE"""),"อก.3/1")</f>
        <v>อก.3/1</v>
      </c>
      <c r="E2126" s="2" t="str">
        <f>IFERROR(__xludf.DUMMYFUNCTION("""COMPUTED_VALUE"""),"ชาย")</f>
        <v>ชาย</v>
      </c>
      <c r="F2126" s="5" t="str">
        <f>IFERROR(__xludf.DUMMYFUNCTION("""COMPUTED_VALUE"""),"https://azizstan.net/student_image/24926.jpg")</f>
        <v>https://azizstan.net/student_image/24926.jpg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>
      <c r="A2127" s="3" t="str">
        <f>IFERROR(__xludf.DUMMYFUNCTION("""COMPUTED_VALUE"""),"25067")</f>
        <v>25067</v>
      </c>
      <c r="B2127" s="3" t="str">
        <f>IFERROR(__xludf.DUMMYFUNCTION("""COMPUTED_VALUE"""),"นายพันธกานต์ เทือกเถาว์")</f>
        <v>นายพันธกานต์ เทือกเถาว์</v>
      </c>
      <c r="C2127" s="3" t="str">
        <f>IFERROR(__xludf.DUMMYFUNCTION("""COMPUTED_VALUE"""),"ม.6/1")</f>
        <v>ม.6/1</v>
      </c>
      <c r="D2127" s="3" t="str">
        <f>IFERROR(__xludf.DUMMYFUNCTION("""COMPUTED_VALUE"""),"อก.3/1")</f>
        <v>อก.3/1</v>
      </c>
      <c r="E2127" s="2" t="str">
        <f>IFERROR(__xludf.DUMMYFUNCTION("""COMPUTED_VALUE"""),"ชาย")</f>
        <v>ชาย</v>
      </c>
      <c r="F2127" s="5" t="str">
        <f>IFERROR(__xludf.DUMMYFUNCTION("""COMPUTED_VALUE"""),"https://azizstan.net/student_image/25067.jpg")</f>
        <v>https://azizstan.net/student_image/25067.jpg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>
      <c r="A2128" s="3" t="str">
        <f>IFERROR(__xludf.DUMMYFUNCTION("""COMPUTED_VALUE"""),"25140")</f>
        <v>25140</v>
      </c>
      <c r="B2128" s="3" t="str">
        <f>IFERROR(__xludf.DUMMYFUNCTION("""COMPUTED_VALUE"""),"นายอันวา หะยีบีรู")</f>
        <v>นายอันวา หะยีบีรู</v>
      </c>
      <c r="C2128" s="3" t="str">
        <f>IFERROR(__xludf.DUMMYFUNCTION("""COMPUTED_VALUE"""),"ม.6/1")</f>
        <v>ม.6/1</v>
      </c>
      <c r="D2128" s="3" t="str">
        <f>IFERROR(__xludf.DUMMYFUNCTION("""COMPUTED_VALUE"""),"อป.3/1")</f>
        <v>อป.3/1</v>
      </c>
      <c r="E2128" s="2" t="str">
        <f>IFERROR(__xludf.DUMMYFUNCTION("""COMPUTED_VALUE"""),"ชาย")</f>
        <v>ชาย</v>
      </c>
      <c r="F2128" s="5" t="str">
        <f>IFERROR(__xludf.DUMMYFUNCTION("""COMPUTED_VALUE"""),"https://azizstan.net/student_image/25140.jpg")</f>
        <v>https://azizstan.net/student_image/25140.jpg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>
      <c r="A2129" s="3" t="str">
        <f>IFERROR(__xludf.DUMMYFUNCTION("""COMPUTED_VALUE"""),"25168")</f>
        <v>25168</v>
      </c>
      <c r="B2129" s="3" t="str">
        <f>IFERROR(__xludf.DUMMYFUNCTION("""COMPUTED_VALUE"""),"นายบูรฮัน กะนางอ")</f>
        <v>นายบูรฮัน กะนางอ</v>
      </c>
      <c r="C2129" s="3" t="str">
        <f>IFERROR(__xludf.DUMMYFUNCTION("""COMPUTED_VALUE"""),"ม.6/1")</f>
        <v>ม.6/1</v>
      </c>
      <c r="D2129" s="3" t="str">
        <f>IFERROR(__xludf.DUMMYFUNCTION("""COMPUTED_VALUE"""),"อก.3/1")</f>
        <v>อก.3/1</v>
      </c>
      <c r="E2129" s="2" t="str">
        <f>IFERROR(__xludf.DUMMYFUNCTION("""COMPUTED_VALUE"""),"ชาย")</f>
        <v>ชาย</v>
      </c>
      <c r="F2129" s="5" t="str">
        <f>IFERROR(__xludf.DUMMYFUNCTION("""COMPUTED_VALUE"""),"https://azizstan.net/student_image/25168.jpg")</f>
        <v>https://azizstan.net/student_image/25168.jpg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>
      <c r="A2130" s="3" t="str">
        <f>IFERROR(__xludf.DUMMYFUNCTION("""COMPUTED_VALUE"""),"25269")</f>
        <v>25269</v>
      </c>
      <c r="B2130" s="3" t="str">
        <f>IFERROR(__xludf.DUMMYFUNCTION("""COMPUTED_VALUE"""),"นายซัมรี เบ็ญเจะอุมา")</f>
        <v>นายซัมรี เบ็ญเจะอุมา</v>
      </c>
      <c r="C2130" s="3" t="str">
        <f>IFERROR(__xludf.DUMMYFUNCTION("""COMPUTED_VALUE"""),"ม.6/1")</f>
        <v>ม.6/1</v>
      </c>
      <c r="D2130" s="3" t="str">
        <f>IFERROR(__xludf.DUMMYFUNCTION("""COMPUTED_VALUE"""),"อก.3/1")</f>
        <v>อก.3/1</v>
      </c>
      <c r="E2130" s="2" t="str">
        <f>IFERROR(__xludf.DUMMYFUNCTION("""COMPUTED_VALUE"""),"ชาย")</f>
        <v>ชาย</v>
      </c>
      <c r="F2130" s="5" t="str">
        <f>IFERROR(__xludf.DUMMYFUNCTION("""COMPUTED_VALUE"""),"https://azizstan.net/student_image/25269.jpg")</f>
        <v>https://azizstan.net/student_image/25269.jpg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>
      <c r="A2131" s="3" t="str">
        <f>IFERROR(__xludf.DUMMYFUNCTION("""COMPUTED_VALUE"""),"25302")</f>
        <v>25302</v>
      </c>
      <c r="B2131" s="3" t="str">
        <f>IFERROR(__xludf.DUMMYFUNCTION("""COMPUTED_VALUE"""),"นายริฟฮาน สุวรรณวงค์")</f>
        <v>นายริฟฮาน สุวรรณวงค์</v>
      </c>
      <c r="C2131" s="3" t="str">
        <f>IFERROR(__xludf.DUMMYFUNCTION("""COMPUTED_VALUE"""),"ม.6/1")</f>
        <v>ม.6/1</v>
      </c>
      <c r="D2131" s="3" t="str">
        <f>IFERROR(__xludf.DUMMYFUNCTION("""COMPUTED_VALUE"""),"อก.3/1")</f>
        <v>อก.3/1</v>
      </c>
      <c r="E2131" s="2" t="str">
        <f>IFERROR(__xludf.DUMMYFUNCTION("""COMPUTED_VALUE"""),"ชาย")</f>
        <v>ชาย</v>
      </c>
      <c r="F2131" s="5" t="str">
        <f>IFERROR(__xludf.DUMMYFUNCTION("""COMPUTED_VALUE"""),"https://azizstan.net/student_image/25302.jpg")</f>
        <v>https://azizstan.net/student_image/25302.jpg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>
      <c r="A2132" s="3" t="str">
        <f>IFERROR(__xludf.DUMMYFUNCTION("""COMPUTED_VALUE"""),"25306")</f>
        <v>25306</v>
      </c>
      <c r="B2132" s="3" t="str">
        <f>IFERROR(__xludf.DUMMYFUNCTION("""COMPUTED_VALUE"""),"นายรอมฎอล แอเลาะ")</f>
        <v>นายรอมฎอล แอเลาะ</v>
      </c>
      <c r="C2132" s="3" t="str">
        <f>IFERROR(__xludf.DUMMYFUNCTION("""COMPUTED_VALUE"""),"ม.6/1")</f>
        <v>ม.6/1</v>
      </c>
      <c r="D2132" s="3" t="str">
        <f>IFERROR(__xludf.DUMMYFUNCTION("""COMPUTED_VALUE"""),"อก.3/1")</f>
        <v>อก.3/1</v>
      </c>
      <c r="E2132" s="2" t="str">
        <f>IFERROR(__xludf.DUMMYFUNCTION("""COMPUTED_VALUE"""),"ชาย")</f>
        <v>ชาย</v>
      </c>
      <c r="F2132" s="5" t="str">
        <f>IFERROR(__xludf.DUMMYFUNCTION("""COMPUTED_VALUE"""),"https://azizstan.net/student_image/25306.jpg")</f>
        <v>https://azizstan.net/student_image/25306.jpg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>
      <c r="A2133" s="3" t="str">
        <f>IFERROR(__xludf.DUMMYFUNCTION("""COMPUTED_VALUE"""),"25532")</f>
        <v>25532</v>
      </c>
      <c r="B2133" s="3" t="str">
        <f>IFERROR(__xludf.DUMMYFUNCTION("""COMPUTED_VALUE"""),"นายฟารุฟ ยะฝาด")</f>
        <v>นายฟารุฟ ยะฝาด</v>
      </c>
      <c r="C2133" s="3" t="str">
        <f>IFERROR(__xludf.DUMMYFUNCTION("""COMPUTED_VALUE"""),"ม.6/1")</f>
        <v>ม.6/1</v>
      </c>
      <c r="D2133" s="3" t="str">
        <f>IFERROR(__xludf.DUMMYFUNCTION("""COMPUTED_VALUE"""),"อป.3/1")</f>
        <v>อป.3/1</v>
      </c>
      <c r="E2133" s="2" t="str">
        <f>IFERROR(__xludf.DUMMYFUNCTION("""COMPUTED_VALUE"""),"ชาย")</f>
        <v>ชาย</v>
      </c>
      <c r="F2133" s="5" t="str">
        <f>IFERROR(__xludf.DUMMYFUNCTION("""COMPUTED_VALUE"""),"https://azizstan.net/student_image/25532.jpg")</f>
        <v>https://azizstan.net/student_image/25532.jpg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>
      <c r="A2134" s="3" t="str">
        <f>IFERROR(__xludf.DUMMYFUNCTION("""COMPUTED_VALUE"""),"25940")</f>
        <v>25940</v>
      </c>
      <c r="B2134" s="3" t="str">
        <f>IFERROR(__xludf.DUMMYFUNCTION("""COMPUTED_VALUE"""),"นายอนัส โตะหะ")</f>
        <v>นายอนัส โตะหะ</v>
      </c>
      <c r="C2134" s="3" t="str">
        <f>IFERROR(__xludf.DUMMYFUNCTION("""COMPUTED_VALUE"""),"ม.6/1")</f>
        <v>ม.6/1</v>
      </c>
      <c r="D2134" s="3" t="str">
        <f>IFERROR(__xludf.DUMMYFUNCTION("""COMPUTED_VALUE"""),"อป.2/1")</f>
        <v>อป.2/1</v>
      </c>
      <c r="E2134" s="2" t="str">
        <f>IFERROR(__xludf.DUMMYFUNCTION("""COMPUTED_VALUE"""),"ชาย")</f>
        <v>ชาย</v>
      </c>
      <c r="F2134" s="5" t="str">
        <f>IFERROR(__xludf.DUMMYFUNCTION("""COMPUTED_VALUE"""),"https://azizstan.net/student_image/25940.jpg")</f>
        <v>https://azizstan.net/student_image/25940.jpg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>
      <c r="A2135" s="3" t="str">
        <f>IFERROR(__xludf.DUMMYFUNCTION("""COMPUTED_VALUE"""),"26024")</f>
        <v>26024</v>
      </c>
      <c r="B2135" s="3" t="str">
        <f>IFERROR(__xludf.DUMMYFUNCTION("""COMPUTED_VALUE"""),"นายอับดุลเลาะห์   กูวิง")</f>
        <v>นายอับดุลเลาะห์   กูวิง</v>
      </c>
      <c r="C2135" s="3" t="str">
        <f>IFERROR(__xludf.DUMMYFUNCTION("""COMPUTED_VALUE"""),"ม.6/1")</f>
        <v>ม.6/1</v>
      </c>
      <c r="D2135" s="3" t="str">
        <f>IFERROR(__xludf.DUMMYFUNCTION("""COMPUTED_VALUE"""),"อก.3/1")</f>
        <v>อก.3/1</v>
      </c>
      <c r="E2135" s="2" t="str">
        <f>IFERROR(__xludf.DUMMYFUNCTION("""COMPUTED_VALUE"""),"ชาย")</f>
        <v>ชาย</v>
      </c>
      <c r="F2135" s="5" t="str">
        <f>IFERROR(__xludf.DUMMYFUNCTION("""COMPUTED_VALUE"""),"https://azizstan.net/student_image/26024.jpg")</f>
        <v>https://azizstan.net/student_image/26024.jpg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>
      <c r="A2136" s="3" t="str">
        <f>IFERROR(__xludf.DUMMYFUNCTION("""COMPUTED_VALUE"""),"26803")</f>
        <v>26803</v>
      </c>
      <c r="B2136" s="3" t="str">
        <f>IFERROR(__xludf.DUMMYFUNCTION("""COMPUTED_VALUE"""),"นายมุซลิม ยิมัน")</f>
        <v>นายมุซลิม ยิมัน</v>
      </c>
      <c r="C2136" s="3" t="str">
        <f>IFERROR(__xludf.DUMMYFUNCTION("""COMPUTED_VALUE"""),"ม.6/1")</f>
        <v>ม.6/1</v>
      </c>
      <c r="D2136" s="3" t="str">
        <f>IFERROR(__xludf.DUMMYFUNCTION("""COMPUTED_VALUE"""),"อก.3/1")</f>
        <v>อก.3/1</v>
      </c>
      <c r="E2136" s="2" t="str">
        <f>IFERROR(__xludf.DUMMYFUNCTION("""COMPUTED_VALUE"""),"ชาย")</f>
        <v>ชาย</v>
      </c>
      <c r="F2136" s="5" t="str">
        <f>IFERROR(__xludf.DUMMYFUNCTION("""COMPUTED_VALUE"""),"https://azizstan.net/student_image/26803.jpg")</f>
        <v>https://azizstan.net/student_image/26803.jpg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>
      <c r="A2137" s="3" t="str">
        <f>IFERROR(__xludf.DUMMYFUNCTION("""COMPUTED_VALUE"""),"22672")</f>
        <v>22672</v>
      </c>
      <c r="B2137" s="3" t="str">
        <f>IFERROR(__xludf.DUMMYFUNCTION("""COMPUTED_VALUE"""),"นายซอบรี มิเร็ม")</f>
        <v>นายซอบรี มิเร็ม</v>
      </c>
      <c r="C2137" s="3" t="str">
        <f>IFERROR(__xludf.DUMMYFUNCTION("""COMPUTED_VALUE"""),"ม.6/2")</f>
        <v>ม.6/2</v>
      </c>
      <c r="D2137" s="3" t="str">
        <f>IFERROR(__xludf.DUMMYFUNCTION("""COMPUTED_VALUE"""),"อก.3/2")</f>
        <v>อก.3/2</v>
      </c>
      <c r="E2137" s="2" t="str">
        <f>IFERROR(__xludf.DUMMYFUNCTION("""COMPUTED_VALUE"""),"ชาย")</f>
        <v>ชาย</v>
      </c>
      <c r="F2137" s="5" t="str">
        <f>IFERROR(__xludf.DUMMYFUNCTION("""COMPUTED_VALUE"""),"https://azizstan.net/student_image/22672.jpg")</f>
        <v>https://azizstan.net/student_image/22672.jpg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>
      <c r="A2138" s="3" t="str">
        <f>IFERROR(__xludf.DUMMYFUNCTION("""COMPUTED_VALUE"""),"22676")</f>
        <v>22676</v>
      </c>
      <c r="B2138" s="3" t="str">
        <f>IFERROR(__xludf.DUMMYFUNCTION("""COMPUTED_VALUE"""),"นายอาดัม ยะโยะ")</f>
        <v>นายอาดัม ยะโยะ</v>
      </c>
      <c r="C2138" s="3" t="str">
        <f>IFERROR(__xludf.DUMMYFUNCTION("""COMPUTED_VALUE"""),"ม.6/2")</f>
        <v>ม.6/2</v>
      </c>
      <c r="D2138" s="3" t="str">
        <f>IFERROR(__xludf.DUMMYFUNCTION("""COMPUTED_VALUE"""),"อป.1/2")</f>
        <v>อป.1/2</v>
      </c>
      <c r="E2138" s="2" t="str">
        <f>IFERROR(__xludf.DUMMYFUNCTION("""COMPUTED_VALUE"""),"ชาย")</f>
        <v>ชาย</v>
      </c>
      <c r="F2138" s="5" t="str">
        <f>IFERROR(__xludf.DUMMYFUNCTION("""COMPUTED_VALUE"""),"https://azizstan.net/student_image/22676.jpg")</f>
        <v>https://azizstan.net/student_image/22676.jpg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>
      <c r="A2139" s="3" t="str">
        <f>IFERROR(__xludf.DUMMYFUNCTION("""COMPUTED_VALUE"""),"22682")</f>
        <v>22682</v>
      </c>
      <c r="B2139" s="3" t="str">
        <f>IFERROR(__xludf.DUMMYFUNCTION("""COMPUTED_VALUE"""),"นายอานัส โมะยาเส็ง")</f>
        <v>นายอานัส โมะยาเส็ง</v>
      </c>
      <c r="C2139" s="3" t="str">
        <f>IFERROR(__xludf.DUMMYFUNCTION("""COMPUTED_VALUE"""),"ม.6/2")</f>
        <v>ม.6/2</v>
      </c>
      <c r="D2139" s="3" t="str">
        <f>IFERROR(__xludf.DUMMYFUNCTION("""COMPUTED_VALUE"""),"อก.3/2")</f>
        <v>อก.3/2</v>
      </c>
      <c r="E2139" s="2" t="str">
        <f>IFERROR(__xludf.DUMMYFUNCTION("""COMPUTED_VALUE"""),"ชาย")</f>
        <v>ชาย</v>
      </c>
      <c r="F2139" s="5" t="str">
        <f>IFERROR(__xludf.DUMMYFUNCTION("""COMPUTED_VALUE"""),"https://azizstan.net/student_image/22682.jpg")</f>
        <v>https://azizstan.net/student_image/22682.jpg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>
      <c r="A2140" s="3" t="str">
        <f>IFERROR(__xludf.DUMMYFUNCTION("""COMPUTED_VALUE"""),"22690")</f>
        <v>22690</v>
      </c>
      <c r="B2140" s="3" t="str">
        <f>IFERROR(__xludf.DUMMYFUNCTION("""COMPUTED_VALUE"""),"นายอิลฮัม เจ๊ะดอหะ")</f>
        <v>นายอิลฮัม เจ๊ะดอหะ</v>
      </c>
      <c r="C2140" s="3" t="str">
        <f>IFERROR(__xludf.DUMMYFUNCTION("""COMPUTED_VALUE"""),"ม.6/2")</f>
        <v>ม.6/2</v>
      </c>
      <c r="D2140" s="3" t="str">
        <f>IFERROR(__xludf.DUMMYFUNCTION("""COMPUTED_VALUE"""),"อก.3/2")</f>
        <v>อก.3/2</v>
      </c>
      <c r="E2140" s="2" t="str">
        <f>IFERROR(__xludf.DUMMYFUNCTION("""COMPUTED_VALUE"""),"ชาย")</f>
        <v>ชาย</v>
      </c>
      <c r="F2140" s="5" t="str">
        <f>IFERROR(__xludf.DUMMYFUNCTION("""COMPUTED_VALUE"""),"https://azizstan.net/student_image/22690.jpg")</f>
        <v>https://azizstan.net/student_image/22690.jpg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>
      <c r="A2141" s="3" t="str">
        <f>IFERROR(__xludf.DUMMYFUNCTION("""COMPUTED_VALUE"""),"22729")</f>
        <v>22729</v>
      </c>
      <c r="B2141" s="3" t="str">
        <f>IFERROR(__xludf.DUMMYFUNCTION("""COMPUTED_VALUE"""),"นายอาริฟ สาอุ")</f>
        <v>นายอาริฟ สาอุ</v>
      </c>
      <c r="C2141" s="3" t="str">
        <f>IFERROR(__xludf.DUMMYFUNCTION("""COMPUTED_VALUE"""),"ม.6/2")</f>
        <v>ม.6/2</v>
      </c>
      <c r="D2141" s="3" t="str">
        <f>IFERROR(__xludf.DUMMYFUNCTION("""COMPUTED_VALUE"""),"อป.1/2")</f>
        <v>อป.1/2</v>
      </c>
      <c r="E2141" s="2" t="str">
        <f>IFERROR(__xludf.DUMMYFUNCTION("""COMPUTED_VALUE"""),"ชาย")</f>
        <v>ชาย</v>
      </c>
      <c r="F2141" s="5" t="str">
        <f>IFERROR(__xludf.DUMMYFUNCTION("""COMPUTED_VALUE"""),"https://azizstan.net/student_image/22729.jpg")</f>
        <v>https://azizstan.net/student_image/22729.jpg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>
      <c r="A2142" s="3" t="str">
        <f>IFERROR(__xludf.DUMMYFUNCTION("""COMPUTED_VALUE"""),"22739")</f>
        <v>22739</v>
      </c>
      <c r="B2142" s="3" t="str">
        <f>IFERROR(__xludf.DUMMYFUNCTION("""COMPUTED_VALUE"""),"นายมูฮำหมัด สะแม")</f>
        <v>นายมูฮำหมัด สะแม</v>
      </c>
      <c r="C2142" s="3" t="str">
        <f>IFERROR(__xludf.DUMMYFUNCTION("""COMPUTED_VALUE"""),"ม.6/2")</f>
        <v>ม.6/2</v>
      </c>
      <c r="D2142" s="3" t="str">
        <f>IFERROR(__xludf.DUMMYFUNCTION("""COMPUTED_VALUE"""),"อป.3/2")</f>
        <v>อป.3/2</v>
      </c>
      <c r="E2142" s="2" t="str">
        <f>IFERROR(__xludf.DUMMYFUNCTION("""COMPUTED_VALUE"""),"ชาย")</f>
        <v>ชาย</v>
      </c>
      <c r="F2142" s="5" t="str">
        <f>IFERROR(__xludf.DUMMYFUNCTION("""COMPUTED_VALUE"""),"https://azizstan.net/student_image/22739.jpg")</f>
        <v>https://azizstan.net/student_image/22739.jpg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>
      <c r="A2143" s="3" t="str">
        <f>IFERROR(__xludf.DUMMYFUNCTION("""COMPUTED_VALUE"""),"22794")</f>
        <v>22794</v>
      </c>
      <c r="B2143" s="3" t="str">
        <f>IFERROR(__xludf.DUMMYFUNCTION("""COMPUTED_VALUE"""),"นายตัรมีซี หะยีบือราเฮง")</f>
        <v>นายตัรมีซี หะยีบือราเฮง</v>
      </c>
      <c r="C2143" s="3" t="str">
        <f>IFERROR(__xludf.DUMMYFUNCTION("""COMPUTED_VALUE"""),"ม.6/2")</f>
        <v>ม.6/2</v>
      </c>
      <c r="D2143" s="3" t="str">
        <f>IFERROR(__xludf.DUMMYFUNCTION("""COMPUTED_VALUE"""),"อก.3/2")</f>
        <v>อก.3/2</v>
      </c>
      <c r="E2143" s="2" t="str">
        <f>IFERROR(__xludf.DUMMYFUNCTION("""COMPUTED_VALUE"""),"ชาย")</f>
        <v>ชาย</v>
      </c>
      <c r="F2143" s="5" t="str">
        <f>IFERROR(__xludf.DUMMYFUNCTION("""COMPUTED_VALUE"""),"https://azizstan.net/student_image/22794.jpg")</f>
        <v>https://azizstan.net/student_image/22794.jpg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>
      <c r="A2144" s="3" t="str">
        <f>IFERROR(__xludf.DUMMYFUNCTION("""COMPUTED_VALUE"""),"22809")</f>
        <v>22809</v>
      </c>
      <c r="B2144" s="3" t="str">
        <f>IFERROR(__xludf.DUMMYFUNCTION("""COMPUTED_VALUE"""),"นายอิสมาแอ สานิ")</f>
        <v>นายอิสมาแอ สานิ</v>
      </c>
      <c r="C2144" s="3" t="str">
        <f>IFERROR(__xludf.DUMMYFUNCTION("""COMPUTED_VALUE"""),"ม.6/2")</f>
        <v>ม.6/2</v>
      </c>
      <c r="D2144" s="3" t="str">
        <f>IFERROR(__xludf.DUMMYFUNCTION("""COMPUTED_VALUE"""),"อป.1/2")</f>
        <v>อป.1/2</v>
      </c>
      <c r="E2144" s="2" t="str">
        <f>IFERROR(__xludf.DUMMYFUNCTION("""COMPUTED_VALUE"""),"ชาย")</f>
        <v>ชาย</v>
      </c>
      <c r="F2144" s="5" t="str">
        <f>IFERROR(__xludf.DUMMYFUNCTION("""COMPUTED_VALUE"""),"https://azizstan.net/student_image/22809.jpg")</f>
        <v>https://azizstan.net/student_image/22809.jpg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>
      <c r="A2145" s="3" t="str">
        <f>IFERROR(__xludf.DUMMYFUNCTION("""COMPUTED_VALUE"""),"22845")</f>
        <v>22845</v>
      </c>
      <c r="B2145" s="3" t="str">
        <f>IFERROR(__xludf.DUMMYFUNCTION("""COMPUTED_VALUE"""),"นายมูฮัมหมัดฮานาฟี สาและ")</f>
        <v>นายมูฮัมหมัดฮานาฟี สาและ</v>
      </c>
      <c r="C2145" s="3" t="str">
        <f>IFERROR(__xludf.DUMMYFUNCTION("""COMPUTED_VALUE"""),"ม.6/2")</f>
        <v>ม.6/2</v>
      </c>
      <c r="D2145" s="3" t="str">
        <f>IFERROR(__xludf.DUMMYFUNCTION("""COMPUTED_VALUE"""),"อป.1/2")</f>
        <v>อป.1/2</v>
      </c>
      <c r="E2145" s="2" t="str">
        <f>IFERROR(__xludf.DUMMYFUNCTION("""COMPUTED_VALUE"""),"ชาย")</f>
        <v>ชาย</v>
      </c>
      <c r="F2145" s="5" t="str">
        <f>IFERROR(__xludf.DUMMYFUNCTION("""COMPUTED_VALUE"""),"https://azizstan.net/student_image/22845.jpg")</f>
        <v>https://azizstan.net/student_image/22845.jpg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>
      <c r="A2146" s="3" t="str">
        <f>IFERROR(__xludf.DUMMYFUNCTION("""COMPUTED_VALUE"""),"22863")</f>
        <v>22863</v>
      </c>
      <c r="B2146" s="3" t="str">
        <f>IFERROR(__xludf.DUMMYFUNCTION("""COMPUTED_VALUE"""),"นายบุสรอ วอเห็ง")</f>
        <v>นายบุสรอ วอเห็ง</v>
      </c>
      <c r="C2146" s="3" t="str">
        <f>IFERROR(__xludf.DUMMYFUNCTION("""COMPUTED_VALUE"""),"ม.6/2")</f>
        <v>ม.6/2</v>
      </c>
      <c r="D2146" s="3" t="str">
        <f>IFERROR(__xludf.DUMMYFUNCTION("""COMPUTED_VALUE"""),"อป.1/2")</f>
        <v>อป.1/2</v>
      </c>
      <c r="E2146" s="2" t="str">
        <f>IFERROR(__xludf.DUMMYFUNCTION("""COMPUTED_VALUE"""),"ชาย")</f>
        <v>ชาย</v>
      </c>
      <c r="F2146" s="5" t="str">
        <f>IFERROR(__xludf.DUMMYFUNCTION("""COMPUTED_VALUE"""),"https://azizstan.net/student_image/22863.jpg")</f>
        <v>https://azizstan.net/student_image/22863.jpg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>
      <c r="A2147" s="3" t="str">
        <f>IFERROR(__xludf.DUMMYFUNCTION("""COMPUTED_VALUE"""),"22877")</f>
        <v>22877</v>
      </c>
      <c r="B2147" s="3" t="str">
        <f>IFERROR(__xludf.DUMMYFUNCTION("""COMPUTED_VALUE"""),"นายซุลกิฟลี นิอามะ")</f>
        <v>นายซุลกิฟลี นิอามะ</v>
      </c>
      <c r="C2147" s="3" t="str">
        <f>IFERROR(__xludf.DUMMYFUNCTION("""COMPUTED_VALUE"""),"ม.6/2")</f>
        <v>ม.6/2</v>
      </c>
      <c r="D2147" s="3" t="str">
        <f>IFERROR(__xludf.DUMMYFUNCTION("""COMPUTED_VALUE"""),"อก.3/2")</f>
        <v>อก.3/2</v>
      </c>
      <c r="E2147" s="2" t="str">
        <f>IFERROR(__xludf.DUMMYFUNCTION("""COMPUTED_VALUE"""),"ชาย")</f>
        <v>ชาย</v>
      </c>
      <c r="F2147" s="5" t="str">
        <f>IFERROR(__xludf.DUMMYFUNCTION("""COMPUTED_VALUE"""),"https://azizstan.net/student_image/22877.jpg")</f>
        <v>https://azizstan.net/student_image/22877.jpg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>
      <c r="A2148" s="3" t="str">
        <f>IFERROR(__xludf.DUMMYFUNCTION("""COMPUTED_VALUE"""),"22903")</f>
        <v>22903</v>
      </c>
      <c r="B2148" s="3" t="str">
        <f>IFERROR(__xludf.DUMMYFUNCTION("""COMPUTED_VALUE"""),"นายภูมินทร์ สูดี")</f>
        <v>นายภูมินทร์ สูดี</v>
      </c>
      <c r="C2148" s="3" t="str">
        <f>IFERROR(__xludf.DUMMYFUNCTION("""COMPUTED_VALUE"""),"ม.6/2")</f>
        <v>ม.6/2</v>
      </c>
      <c r="D2148" s="3" t="str">
        <f>IFERROR(__xludf.DUMMYFUNCTION("""COMPUTED_VALUE"""),"อก.3/2")</f>
        <v>อก.3/2</v>
      </c>
      <c r="E2148" s="2" t="str">
        <f>IFERROR(__xludf.DUMMYFUNCTION("""COMPUTED_VALUE"""),"ชาย")</f>
        <v>ชาย</v>
      </c>
      <c r="F2148" s="5" t="str">
        <f>IFERROR(__xludf.DUMMYFUNCTION("""COMPUTED_VALUE"""),"https://azizstan.net/student_image/22903.jpg")</f>
        <v>https://azizstan.net/student_image/22903.jpg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>
      <c r="A2149" s="3" t="str">
        <f>IFERROR(__xludf.DUMMYFUNCTION("""COMPUTED_VALUE"""),"22942")</f>
        <v>22942</v>
      </c>
      <c r="B2149" s="3" t="str">
        <f>IFERROR(__xludf.DUMMYFUNCTION("""COMPUTED_VALUE"""),"นายมูฮำหมัดลุตฟี อับดุลเล๊าะ")</f>
        <v>นายมูฮำหมัดลุตฟี อับดุลเล๊าะ</v>
      </c>
      <c r="C2149" s="3" t="str">
        <f>IFERROR(__xludf.DUMMYFUNCTION("""COMPUTED_VALUE"""),"ม.6/2")</f>
        <v>ม.6/2</v>
      </c>
      <c r="D2149" s="3" t="str">
        <f>IFERROR(__xludf.DUMMYFUNCTION("""COMPUTED_VALUE"""),"อป.1/2")</f>
        <v>อป.1/2</v>
      </c>
      <c r="E2149" s="2" t="str">
        <f>IFERROR(__xludf.DUMMYFUNCTION("""COMPUTED_VALUE"""),"ชาย")</f>
        <v>ชาย</v>
      </c>
      <c r="F2149" s="5" t="str">
        <f>IFERROR(__xludf.DUMMYFUNCTION("""COMPUTED_VALUE"""),"https://azizstan.net/student_image/22942.jpg")</f>
        <v>https://azizstan.net/student_image/22942.jpg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>
      <c r="A2150" s="3" t="str">
        <f>IFERROR(__xludf.DUMMYFUNCTION("""COMPUTED_VALUE"""),"22952")</f>
        <v>22952</v>
      </c>
      <c r="B2150" s="3" t="str">
        <f>IFERROR(__xludf.DUMMYFUNCTION("""COMPUTED_VALUE"""),"นายสุทิรันต์ ดอเลาะ")</f>
        <v>นายสุทิรันต์ ดอเลาะ</v>
      </c>
      <c r="C2150" s="3" t="str">
        <f>IFERROR(__xludf.DUMMYFUNCTION("""COMPUTED_VALUE"""),"ม.6/2")</f>
        <v>ม.6/2</v>
      </c>
      <c r="D2150" s="3" t="str">
        <f>IFERROR(__xludf.DUMMYFUNCTION("""COMPUTED_VALUE"""),"อป.1/2")</f>
        <v>อป.1/2</v>
      </c>
      <c r="E2150" s="2" t="str">
        <f>IFERROR(__xludf.DUMMYFUNCTION("""COMPUTED_VALUE"""),"ชาย")</f>
        <v>ชาย</v>
      </c>
      <c r="F2150" s="5" t="str">
        <f>IFERROR(__xludf.DUMMYFUNCTION("""COMPUTED_VALUE"""),"https://azizstan.net/student_image/22952.jpg")</f>
        <v>https://azizstan.net/student_image/22952.jpg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>
      <c r="A2151" s="3" t="str">
        <f>IFERROR(__xludf.DUMMYFUNCTION("""COMPUTED_VALUE"""),"22968")</f>
        <v>22968</v>
      </c>
      <c r="B2151" s="3" t="str">
        <f>IFERROR(__xludf.DUMMYFUNCTION("""COMPUTED_VALUE"""),"นายวันอัลฟีโน มามะ")</f>
        <v>นายวันอัลฟีโน มามะ</v>
      </c>
      <c r="C2151" s="3" t="str">
        <f>IFERROR(__xludf.DUMMYFUNCTION("""COMPUTED_VALUE"""),"ม.6/2")</f>
        <v>ม.6/2</v>
      </c>
      <c r="D2151" s="3" t="str">
        <f>IFERROR(__xludf.DUMMYFUNCTION("""COMPUTED_VALUE"""),"อก.3/2")</f>
        <v>อก.3/2</v>
      </c>
      <c r="E2151" s="2" t="str">
        <f>IFERROR(__xludf.DUMMYFUNCTION("""COMPUTED_VALUE"""),"ชาย")</f>
        <v>ชาย</v>
      </c>
      <c r="F2151" s="5" t="str">
        <f>IFERROR(__xludf.DUMMYFUNCTION("""COMPUTED_VALUE"""),"https://azizstan.net/student_image/22968.jpg")</f>
        <v>https://azizstan.net/student_image/22968.jpg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>
      <c r="A2152" s="3" t="str">
        <f>IFERROR(__xludf.DUMMYFUNCTION("""COMPUTED_VALUE"""),"22985")</f>
        <v>22985</v>
      </c>
      <c r="B2152" s="3" t="str">
        <f>IFERROR(__xludf.DUMMYFUNCTION("""COMPUTED_VALUE"""),"นายซุลกิฟลี บุญสังข์")</f>
        <v>นายซุลกิฟลี บุญสังข์</v>
      </c>
      <c r="C2152" s="3" t="str">
        <f>IFERROR(__xludf.DUMMYFUNCTION("""COMPUTED_VALUE"""),"ม.6/2")</f>
        <v>ม.6/2</v>
      </c>
      <c r="D2152" s="3" t="str">
        <f>IFERROR(__xludf.DUMMYFUNCTION("""COMPUTED_VALUE"""),"อก.3/2")</f>
        <v>อก.3/2</v>
      </c>
      <c r="E2152" s="2" t="str">
        <f>IFERROR(__xludf.DUMMYFUNCTION("""COMPUTED_VALUE"""),"ชาย")</f>
        <v>ชาย</v>
      </c>
      <c r="F2152" s="5" t="str">
        <f>IFERROR(__xludf.DUMMYFUNCTION("""COMPUTED_VALUE"""),"https://azizstan.net/student_image/22985.jpg")</f>
        <v>https://azizstan.net/student_image/22985.jpg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>
      <c r="A2153" s="3" t="str">
        <f>IFERROR(__xludf.DUMMYFUNCTION("""COMPUTED_VALUE"""),"22988")</f>
        <v>22988</v>
      </c>
      <c r="B2153" s="3" t="str">
        <f>IFERROR(__xludf.DUMMYFUNCTION("""COMPUTED_VALUE"""),"นายฮาฟีซี ตาเย๊ะ")</f>
        <v>นายฮาฟีซี ตาเย๊ะ</v>
      </c>
      <c r="C2153" s="3" t="str">
        <f>IFERROR(__xludf.DUMMYFUNCTION("""COMPUTED_VALUE"""),"ม.6/2")</f>
        <v>ม.6/2</v>
      </c>
      <c r="D2153" s="3" t="str">
        <f>IFERROR(__xludf.DUMMYFUNCTION("""COMPUTED_VALUE"""),"อป.1/2")</f>
        <v>อป.1/2</v>
      </c>
      <c r="E2153" s="2" t="str">
        <f>IFERROR(__xludf.DUMMYFUNCTION("""COMPUTED_VALUE"""),"ชาย")</f>
        <v>ชาย</v>
      </c>
      <c r="F2153" s="5" t="str">
        <f>IFERROR(__xludf.DUMMYFUNCTION("""COMPUTED_VALUE"""),"https://azizstan.net/student_image/22988.jpg")</f>
        <v>https://azizstan.net/student_image/22988.jpg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>
      <c r="A2154" s="3" t="str">
        <f>IFERROR(__xludf.DUMMYFUNCTION("""COMPUTED_VALUE"""),"23012")</f>
        <v>23012</v>
      </c>
      <c r="B2154" s="3" t="str">
        <f>IFERROR(__xludf.DUMMYFUNCTION("""COMPUTED_VALUE"""),"นายรุสลัน แวสะมะแอ")</f>
        <v>นายรุสลัน แวสะมะแอ</v>
      </c>
      <c r="C2154" s="3" t="str">
        <f>IFERROR(__xludf.DUMMYFUNCTION("""COMPUTED_VALUE"""),"ม.6/2")</f>
        <v>ม.6/2</v>
      </c>
      <c r="D2154" s="3" t="str">
        <f>IFERROR(__xludf.DUMMYFUNCTION("""COMPUTED_VALUE"""),"อป.1/2")</f>
        <v>อป.1/2</v>
      </c>
      <c r="E2154" s="2" t="str">
        <f>IFERROR(__xludf.DUMMYFUNCTION("""COMPUTED_VALUE"""),"ชาย")</f>
        <v>ชาย</v>
      </c>
      <c r="F2154" s="5" t="str">
        <f>IFERROR(__xludf.DUMMYFUNCTION("""COMPUTED_VALUE"""),"https://azizstan.net/student_image/23012.jpg")</f>
        <v>https://azizstan.net/student_image/23012.jpg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>
      <c r="A2155" s="3" t="str">
        <f>IFERROR(__xludf.DUMMYFUNCTION("""COMPUTED_VALUE"""),"23026")</f>
        <v>23026</v>
      </c>
      <c r="B2155" s="3" t="str">
        <f>IFERROR(__xludf.DUMMYFUNCTION("""COMPUTED_VALUE"""),"นายอับดุลฮาดี โต๊ะเจะ")</f>
        <v>นายอับดุลฮาดี โต๊ะเจะ</v>
      </c>
      <c r="C2155" s="3" t="str">
        <f>IFERROR(__xludf.DUMMYFUNCTION("""COMPUTED_VALUE"""),"ม.6/2")</f>
        <v>ม.6/2</v>
      </c>
      <c r="D2155" s="3" t="str">
        <f>IFERROR(__xludf.DUMMYFUNCTION("""COMPUTED_VALUE"""),"อก.3/4")</f>
        <v>อก.3/4</v>
      </c>
      <c r="E2155" s="2" t="str">
        <f>IFERROR(__xludf.DUMMYFUNCTION("""COMPUTED_VALUE"""),"ชาย")</f>
        <v>ชาย</v>
      </c>
      <c r="F2155" s="5" t="str">
        <f>IFERROR(__xludf.DUMMYFUNCTION("""COMPUTED_VALUE"""),"https://azizstan.net/student_image/23026.jpg")</f>
        <v>https://azizstan.net/student_image/23026.jpg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>
      <c r="A2156" s="3" t="str">
        <f>IFERROR(__xludf.DUMMYFUNCTION("""COMPUTED_VALUE"""),"23042")</f>
        <v>23042</v>
      </c>
      <c r="B2156" s="3" t="str">
        <f>IFERROR(__xludf.DUMMYFUNCTION("""COMPUTED_VALUE"""),"นายอัสรีฟาน หมันนะ")</f>
        <v>นายอัสรีฟาน หมันนะ</v>
      </c>
      <c r="C2156" s="3" t="str">
        <f>IFERROR(__xludf.DUMMYFUNCTION("""COMPUTED_VALUE"""),"ม.6/2")</f>
        <v>ม.6/2</v>
      </c>
      <c r="D2156" s="3" t="str">
        <f>IFERROR(__xludf.DUMMYFUNCTION("""COMPUTED_VALUE"""),"อป.1/2")</f>
        <v>อป.1/2</v>
      </c>
      <c r="E2156" s="2" t="str">
        <f>IFERROR(__xludf.DUMMYFUNCTION("""COMPUTED_VALUE"""),"ชาย")</f>
        <v>ชาย</v>
      </c>
      <c r="F2156" s="5" t="str">
        <f>IFERROR(__xludf.DUMMYFUNCTION("""COMPUTED_VALUE"""),"https://azizstan.net/student_image/23042.jpg")</f>
        <v>https://azizstan.net/student_image/23042.jpg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>
      <c r="A2157" s="3" t="str">
        <f>IFERROR(__xludf.DUMMYFUNCTION("""COMPUTED_VALUE"""),"23069")</f>
        <v>23069</v>
      </c>
      <c r="B2157" s="3" t="str">
        <f>IFERROR(__xludf.DUMMYFUNCTION("""COMPUTED_VALUE"""),"นายริฟฮาน มามะ")</f>
        <v>นายริฟฮาน มามะ</v>
      </c>
      <c r="C2157" s="3" t="str">
        <f>IFERROR(__xludf.DUMMYFUNCTION("""COMPUTED_VALUE"""),"ม.6/2")</f>
        <v>ม.6/2</v>
      </c>
      <c r="D2157" s="3" t="str">
        <f>IFERROR(__xludf.DUMMYFUNCTION("""COMPUTED_VALUE"""),"อก.3/2")</f>
        <v>อก.3/2</v>
      </c>
      <c r="E2157" s="2" t="str">
        <f>IFERROR(__xludf.DUMMYFUNCTION("""COMPUTED_VALUE"""),"ชาย")</f>
        <v>ชาย</v>
      </c>
      <c r="F2157" s="5" t="str">
        <f>IFERROR(__xludf.DUMMYFUNCTION("""COMPUTED_VALUE"""),"https://azizstan.net/student_image/23069.jpg")</f>
        <v>https://azizstan.net/student_image/23069.jpg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>
      <c r="A2158" s="3" t="str">
        <f>IFERROR(__xludf.DUMMYFUNCTION("""COMPUTED_VALUE"""),"23098")</f>
        <v>23098</v>
      </c>
      <c r="B2158" s="3" t="str">
        <f>IFERROR(__xludf.DUMMYFUNCTION("""COMPUTED_VALUE"""),"นายนัซรูน กาเจะ")</f>
        <v>นายนัซรูน กาเจะ</v>
      </c>
      <c r="C2158" s="3" t="str">
        <f>IFERROR(__xludf.DUMMYFUNCTION("""COMPUTED_VALUE"""),"ม.6/2")</f>
        <v>ม.6/2</v>
      </c>
      <c r="D2158" s="3" t="str">
        <f>IFERROR(__xludf.DUMMYFUNCTION("""COMPUTED_VALUE"""),"อก.3/2")</f>
        <v>อก.3/2</v>
      </c>
      <c r="E2158" s="2" t="str">
        <f>IFERROR(__xludf.DUMMYFUNCTION("""COMPUTED_VALUE"""),"ชาย")</f>
        <v>ชาย</v>
      </c>
      <c r="F2158" s="5" t="str">
        <f>IFERROR(__xludf.DUMMYFUNCTION("""COMPUTED_VALUE"""),"https://azizstan.net/student_image/23098.jpg")</f>
        <v>https://azizstan.net/student_image/23098.jpg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>
      <c r="A2159" s="3" t="str">
        <f>IFERROR(__xludf.DUMMYFUNCTION("""COMPUTED_VALUE"""),"23114")</f>
        <v>23114</v>
      </c>
      <c r="B2159" s="3" t="str">
        <f>IFERROR(__xludf.DUMMYFUNCTION("""COMPUTED_VALUE"""),"นายฮาพีซอล หยงสตาร์")</f>
        <v>นายฮาพีซอล หยงสตาร์</v>
      </c>
      <c r="C2159" s="3" t="str">
        <f>IFERROR(__xludf.DUMMYFUNCTION("""COMPUTED_VALUE"""),"ม.6/2")</f>
        <v>ม.6/2</v>
      </c>
      <c r="D2159" s="3" t="str">
        <f>IFERROR(__xludf.DUMMYFUNCTION("""COMPUTED_VALUE"""),"อป.2/2")</f>
        <v>อป.2/2</v>
      </c>
      <c r="E2159" s="2" t="str">
        <f>IFERROR(__xludf.DUMMYFUNCTION("""COMPUTED_VALUE"""),"ชาย")</f>
        <v>ชาย</v>
      </c>
      <c r="F2159" s="5" t="str">
        <f>IFERROR(__xludf.DUMMYFUNCTION("""COMPUTED_VALUE"""),"https://azizstan.net/student_image/23114.jpg")</f>
        <v>https://azizstan.net/student_image/23114.jpg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>
      <c r="A2160" s="3" t="str">
        <f>IFERROR(__xludf.DUMMYFUNCTION("""COMPUTED_VALUE"""),"23227")</f>
        <v>23227</v>
      </c>
      <c r="B2160" s="3" t="str">
        <f>IFERROR(__xludf.DUMMYFUNCTION("""COMPUTED_VALUE"""),"นายชารีฟ แวนาแว")</f>
        <v>นายชารีฟ แวนาแว</v>
      </c>
      <c r="C2160" s="3" t="str">
        <f>IFERROR(__xludf.DUMMYFUNCTION("""COMPUTED_VALUE"""),"ม.6/2")</f>
        <v>ม.6/2</v>
      </c>
      <c r="D2160" s="3" t="str">
        <f>IFERROR(__xludf.DUMMYFUNCTION("""COMPUTED_VALUE"""),"อป.1/2")</f>
        <v>อป.1/2</v>
      </c>
      <c r="E2160" s="2" t="str">
        <f>IFERROR(__xludf.DUMMYFUNCTION("""COMPUTED_VALUE"""),"ชาย")</f>
        <v>ชาย</v>
      </c>
      <c r="F2160" s="5" t="str">
        <f>IFERROR(__xludf.DUMMYFUNCTION("""COMPUTED_VALUE"""),"https://azizstan.net/student_image/23227.jpg")</f>
        <v>https://azizstan.net/student_image/23227.jpg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>
      <c r="A2161" s="3" t="str">
        <f>IFERROR(__xludf.DUMMYFUNCTION("""COMPUTED_VALUE"""),"23239")</f>
        <v>23239</v>
      </c>
      <c r="B2161" s="3" t="str">
        <f>IFERROR(__xludf.DUMMYFUNCTION("""COMPUTED_VALUE"""),"นายมันซูร หะยียามาย")</f>
        <v>นายมันซูร หะยียามาย</v>
      </c>
      <c r="C2161" s="3" t="str">
        <f>IFERROR(__xludf.DUMMYFUNCTION("""COMPUTED_VALUE"""),"ม.6/2")</f>
        <v>ม.6/2</v>
      </c>
      <c r="D2161" s="3" t="str">
        <f>IFERROR(__xludf.DUMMYFUNCTION("""COMPUTED_VALUE"""),"อก.3/2")</f>
        <v>อก.3/2</v>
      </c>
      <c r="E2161" s="2" t="str">
        <f>IFERROR(__xludf.DUMMYFUNCTION("""COMPUTED_VALUE"""),"ชาย")</f>
        <v>ชาย</v>
      </c>
      <c r="F2161" s="5" t="str">
        <f>IFERROR(__xludf.DUMMYFUNCTION("""COMPUTED_VALUE"""),"https://azizstan.net/student_image/23239.jpg")</f>
        <v>https://azizstan.net/student_image/23239.jpg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>
      <c r="A2162" s="3" t="str">
        <f>IFERROR(__xludf.DUMMYFUNCTION("""COMPUTED_VALUE"""),"23269")</f>
        <v>23269</v>
      </c>
      <c r="B2162" s="3" t="str">
        <f>IFERROR(__xludf.DUMMYFUNCTION("""COMPUTED_VALUE"""),"นายอาดัม เจะเละ")</f>
        <v>นายอาดัม เจะเละ</v>
      </c>
      <c r="C2162" s="3" t="str">
        <f>IFERROR(__xludf.DUMMYFUNCTION("""COMPUTED_VALUE"""),"ม.6/2")</f>
        <v>ม.6/2</v>
      </c>
      <c r="D2162" s="3" t="str">
        <f>IFERROR(__xludf.DUMMYFUNCTION("""COMPUTED_VALUE"""),"อป.1/2")</f>
        <v>อป.1/2</v>
      </c>
      <c r="E2162" s="2" t="str">
        <f>IFERROR(__xludf.DUMMYFUNCTION("""COMPUTED_VALUE"""),"ชาย")</f>
        <v>ชาย</v>
      </c>
      <c r="F2162" s="5" t="str">
        <f>IFERROR(__xludf.DUMMYFUNCTION("""COMPUTED_VALUE"""),"https://azizstan.net/student_image/23269.jpg")</f>
        <v>https://azizstan.net/student_image/23269.jpg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>
      <c r="A2163" s="3" t="str">
        <f>IFERROR(__xludf.DUMMYFUNCTION("""COMPUTED_VALUE"""),"23277")</f>
        <v>23277</v>
      </c>
      <c r="B2163" s="3" t="str">
        <f>IFERROR(__xludf.DUMMYFUNCTION("""COMPUTED_VALUE"""),"นายมูฮัมหมัดอามีรุล สาและ")</f>
        <v>นายมูฮัมหมัดอามีรุล สาและ</v>
      </c>
      <c r="C2163" s="3" t="str">
        <f>IFERROR(__xludf.DUMMYFUNCTION("""COMPUTED_VALUE"""),"ม.6/2")</f>
        <v>ม.6/2</v>
      </c>
      <c r="D2163" s="3" t="str">
        <f>IFERROR(__xludf.DUMMYFUNCTION("""COMPUTED_VALUE"""),"อก.3/4")</f>
        <v>อก.3/4</v>
      </c>
      <c r="E2163" s="2" t="str">
        <f>IFERROR(__xludf.DUMMYFUNCTION("""COMPUTED_VALUE"""),"ชาย")</f>
        <v>ชาย</v>
      </c>
      <c r="F2163" s="5" t="str">
        <f>IFERROR(__xludf.DUMMYFUNCTION("""COMPUTED_VALUE"""),"https://azizstan.net/student_image/23277.jpg")</f>
        <v>https://azizstan.net/student_image/23277.jpg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>
      <c r="A2164" s="3" t="str">
        <f>IFERROR(__xludf.DUMMYFUNCTION("""COMPUTED_VALUE"""),"23279")</f>
        <v>23279</v>
      </c>
      <c r="B2164" s="3" t="str">
        <f>IFERROR(__xludf.DUMMYFUNCTION("""COMPUTED_VALUE"""),"นายรุสดี หยีเหยง")</f>
        <v>นายรุสดี หยีเหยง</v>
      </c>
      <c r="C2164" s="3" t="str">
        <f>IFERROR(__xludf.DUMMYFUNCTION("""COMPUTED_VALUE"""),"ม.6/2")</f>
        <v>ม.6/2</v>
      </c>
      <c r="D2164" s="3" t="str">
        <f>IFERROR(__xludf.DUMMYFUNCTION("""COMPUTED_VALUE"""),"อก.3/4")</f>
        <v>อก.3/4</v>
      </c>
      <c r="E2164" s="2" t="str">
        <f>IFERROR(__xludf.DUMMYFUNCTION("""COMPUTED_VALUE"""),"ชาย")</f>
        <v>ชาย</v>
      </c>
      <c r="F2164" s="5" t="str">
        <f>IFERROR(__xludf.DUMMYFUNCTION("""COMPUTED_VALUE"""),"https://azizstan.net/student_image/23279.jpg")</f>
        <v>https://azizstan.net/student_image/23279.jpg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>
      <c r="A2165" s="3" t="str">
        <f>IFERROR(__xludf.DUMMYFUNCTION("""COMPUTED_VALUE"""),"23304")</f>
        <v>23304</v>
      </c>
      <c r="B2165" s="3" t="str">
        <f>IFERROR(__xludf.DUMMYFUNCTION("""COMPUTED_VALUE"""),"นายฟาริด สาเลง")</f>
        <v>นายฟาริด สาเลง</v>
      </c>
      <c r="C2165" s="3" t="str">
        <f>IFERROR(__xludf.DUMMYFUNCTION("""COMPUTED_VALUE"""),"ม.6/2")</f>
        <v>ม.6/2</v>
      </c>
      <c r="D2165" s="3" t="str">
        <f>IFERROR(__xludf.DUMMYFUNCTION("""COMPUTED_VALUE"""),"อป.1/2")</f>
        <v>อป.1/2</v>
      </c>
      <c r="E2165" s="2" t="str">
        <f>IFERROR(__xludf.DUMMYFUNCTION("""COMPUTED_VALUE"""),"ชาย")</f>
        <v>ชาย</v>
      </c>
      <c r="F2165" s="5" t="str">
        <f>IFERROR(__xludf.DUMMYFUNCTION("""COMPUTED_VALUE"""),"https://azizstan.net/student_image/23304.jpg")</f>
        <v>https://azizstan.net/student_image/23304.jpg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>
      <c r="A2166" s="3" t="str">
        <f>IFERROR(__xludf.DUMMYFUNCTION("""COMPUTED_VALUE"""),"24586")</f>
        <v>24586</v>
      </c>
      <c r="B2166" s="3" t="str">
        <f>IFERROR(__xludf.DUMMYFUNCTION("""COMPUTED_VALUE"""),"นายอับดุลฮาฟิซ มามะ")</f>
        <v>นายอับดุลฮาฟิซ มามะ</v>
      </c>
      <c r="C2166" s="3" t="str">
        <f>IFERROR(__xludf.DUMMYFUNCTION("""COMPUTED_VALUE"""),"ม.6/2")</f>
        <v>ม.6/2</v>
      </c>
      <c r="D2166" s="3" t="str">
        <f>IFERROR(__xludf.DUMMYFUNCTION("""COMPUTED_VALUE"""),"อก.3/4")</f>
        <v>อก.3/4</v>
      </c>
      <c r="E2166" s="2" t="str">
        <f>IFERROR(__xludf.DUMMYFUNCTION("""COMPUTED_VALUE"""),"ชาย")</f>
        <v>ชาย</v>
      </c>
      <c r="F2166" s="5" t="str">
        <f>IFERROR(__xludf.DUMMYFUNCTION("""COMPUTED_VALUE"""),"https://azizstan.net/student_image/24586.jpg")</f>
        <v>https://azizstan.net/student_image/24586.jpg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>
      <c r="A2167" s="3" t="str">
        <f>IFERROR(__xludf.DUMMYFUNCTION("""COMPUTED_VALUE"""),"24653")</f>
        <v>24653</v>
      </c>
      <c r="B2167" s="3" t="str">
        <f>IFERROR(__xludf.DUMMYFUNCTION("""COMPUTED_VALUE"""),"นายปฏิภาณ หมานสิทธิ์")</f>
        <v>นายปฏิภาณ หมานสิทธิ์</v>
      </c>
      <c r="C2167" s="3" t="str">
        <f>IFERROR(__xludf.DUMMYFUNCTION("""COMPUTED_VALUE"""),"ม.6/2")</f>
        <v>ม.6/2</v>
      </c>
      <c r="D2167" s="3" t="str">
        <f>IFERROR(__xludf.DUMMYFUNCTION("""COMPUTED_VALUE"""),"อก.3/4")</f>
        <v>อก.3/4</v>
      </c>
      <c r="E2167" s="2" t="str">
        <f>IFERROR(__xludf.DUMMYFUNCTION("""COMPUTED_VALUE"""),"ชาย")</f>
        <v>ชาย</v>
      </c>
      <c r="F2167" s="5" t="str">
        <f>IFERROR(__xludf.DUMMYFUNCTION("""COMPUTED_VALUE"""),"https://azizstan.net/student_image/24653.jpg")</f>
        <v>https://azizstan.net/student_image/24653.jpg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>
      <c r="A2168" s="3" t="str">
        <f>IFERROR(__xludf.DUMMYFUNCTION("""COMPUTED_VALUE"""),"24669")</f>
        <v>24669</v>
      </c>
      <c r="B2168" s="3" t="str">
        <f>IFERROR(__xludf.DUMMYFUNCTION("""COMPUTED_VALUE"""),"นายภูวาเนตร์ ขุนทอง")</f>
        <v>นายภูวาเนตร์ ขุนทอง</v>
      </c>
      <c r="C2168" s="3" t="str">
        <f>IFERROR(__xludf.DUMMYFUNCTION("""COMPUTED_VALUE"""),"ม.6/2")</f>
        <v>ม.6/2</v>
      </c>
      <c r="D2168" s="3" t="str">
        <f>IFERROR(__xludf.DUMMYFUNCTION("""COMPUTED_VALUE"""),"อก.3/4")</f>
        <v>อก.3/4</v>
      </c>
      <c r="E2168" s="2" t="str">
        <f>IFERROR(__xludf.DUMMYFUNCTION("""COMPUTED_VALUE"""),"ชาย")</f>
        <v>ชาย</v>
      </c>
      <c r="F2168" s="5" t="str">
        <f>IFERROR(__xludf.DUMMYFUNCTION("""COMPUTED_VALUE"""),"https://azizstan.net/student_image/24669.jpg")</f>
        <v>https://azizstan.net/student_image/24669.jpg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>
      <c r="A2169" s="3" t="str">
        <f>IFERROR(__xludf.DUMMYFUNCTION("""COMPUTED_VALUE"""),"24813")</f>
        <v>24813</v>
      </c>
      <c r="B2169" s="3" t="str">
        <f>IFERROR(__xludf.DUMMYFUNCTION("""COMPUTED_VALUE"""),"นายสุกรียา ยูโซะ")</f>
        <v>นายสุกรียา ยูโซะ</v>
      </c>
      <c r="C2169" s="3" t="str">
        <f>IFERROR(__xludf.DUMMYFUNCTION("""COMPUTED_VALUE"""),"ม.6/2")</f>
        <v>ม.6/2</v>
      </c>
      <c r="D2169" s="3" t="str">
        <f>IFERROR(__xludf.DUMMYFUNCTION("""COMPUTED_VALUE"""),"อก.3/4")</f>
        <v>อก.3/4</v>
      </c>
      <c r="E2169" s="2" t="str">
        <f>IFERROR(__xludf.DUMMYFUNCTION("""COMPUTED_VALUE"""),"ชาย")</f>
        <v>ชาย</v>
      </c>
      <c r="F2169" s="5" t="str">
        <f>IFERROR(__xludf.DUMMYFUNCTION("""COMPUTED_VALUE"""),"https://azizstan.net/student_image/24813.jpg")</f>
        <v>https://azizstan.net/student_image/24813.jpg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>
      <c r="A2170" s="3" t="str">
        <f>IFERROR(__xludf.DUMMYFUNCTION("""COMPUTED_VALUE"""),"24820")</f>
        <v>24820</v>
      </c>
      <c r="B2170" s="3" t="str">
        <f>IFERROR(__xludf.DUMMYFUNCTION("""COMPUTED_VALUE"""),"นายรุสมัน แลมันเส็น")</f>
        <v>นายรุสมัน แลมันเส็น</v>
      </c>
      <c r="C2170" s="3" t="str">
        <f>IFERROR(__xludf.DUMMYFUNCTION("""COMPUTED_VALUE"""),"ม.6/2")</f>
        <v>ม.6/2</v>
      </c>
      <c r="D2170" s="3" t="str">
        <f>IFERROR(__xludf.DUMMYFUNCTION("""COMPUTED_VALUE"""),"อก.3/4")</f>
        <v>อก.3/4</v>
      </c>
      <c r="E2170" s="2" t="str">
        <f>IFERROR(__xludf.DUMMYFUNCTION("""COMPUTED_VALUE"""),"ชาย")</f>
        <v>ชาย</v>
      </c>
      <c r="F2170" s="5" t="str">
        <f>IFERROR(__xludf.DUMMYFUNCTION("""COMPUTED_VALUE"""),"https://azizstan.net/student_image/24820.jpg")</f>
        <v>https://azizstan.net/student_image/24820.jpg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>
      <c r="A2171" s="3" t="str">
        <f>IFERROR(__xludf.DUMMYFUNCTION("""COMPUTED_VALUE"""),"24874")</f>
        <v>24874</v>
      </c>
      <c r="B2171" s="3" t="str">
        <f>IFERROR(__xludf.DUMMYFUNCTION("""COMPUTED_VALUE"""),"นายซูกอรในย์ สมาแอ")</f>
        <v>นายซูกอรในย์ สมาแอ</v>
      </c>
      <c r="C2171" s="3" t="str">
        <f>IFERROR(__xludf.DUMMYFUNCTION("""COMPUTED_VALUE"""),"ม.6/2")</f>
        <v>ม.6/2</v>
      </c>
      <c r="D2171" s="3" t="str">
        <f>IFERROR(__xludf.DUMMYFUNCTION("""COMPUTED_VALUE"""),"อก.3/2")</f>
        <v>อก.3/2</v>
      </c>
      <c r="E2171" s="2" t="str">
        <f>IFERROR(__xludf.DUMMYFUNCTION("""COMPUTED_VALUE"""),"ชาย")</f>
        <v>ชาย</v>
      </c>
      <c r="F2171" s="5" t="str">
        <f>IFERROR(__xludf.DUMMYFUNCTION("""COMPUTED_VALUE"""),"https://azizstan.net/student_image/24874.jpg")</f>
        <v>https://azizstan.net/student_image/24874.jpg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>
      <c r="A2172" s="3" t="str">
        <f>IFERROR(__xludf.DUMMYFUNCTION("""COMPUTED_VALUE"""),"24929")</f>
        <v>24929</v>
      </c>
      <c r="B2172" s="3" t="str">
        <f>IFERROR(__xludf.DUMMYFUNCTION("""COMPUTED_VALUE"""),"นายอัซนัน สะมะแอ")</f>
        <v>นายอัซนัน สะมะแอ</v>
      </c>
      <c r="C2172" s="3" t="str">
        <f>IFERROR(__xludf.DUMMYFUNCTION("""COMPUTED_VALUE"""),"ม.6/2")</f>
        <v>ม.6/2</v>
      </c>
      <c r="D2172" s="3" t="str">
        <f>IFERROR(__xludf.DUMMYFUNCTION("""COMPUTED_VALUE"""),"อก.3/4")</f>
        <v>อก.3/4</v>
      </c>
      <c r="E2172" s="2" t="str">
        <f>IFERROR(__xludf.DUMMYFUNCTION("""COMPUTED_VALUE"""),"ชาย")</f>
        <v>ชาย</v>
      </c>
      <c r="F2172" s="5" t="str">
        <f>IFERROR(__xludf.DUMMYFUNCTION("""COMPUTED_VALUE"""),"https://azizstan.net/student_image/24929.jpg")</f>
        <v>https://azizstan.net/student_image/24929.jpg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>
      <c r="A2173" s="3" t="str">
        <f>IFERROR(__xludf.DUMMYFUNCTION("""COMPUTED_VALUE"""),"25230")</f>
        <v>25230</v>
      </c>
      <c r="B2173" s="3" t="str">
        <f>IFERROR(__xludf.DUMMYFUNCTION("""COMPUTED_VALUE"""),"นายสุไลมาน เจะมะสอง")</f>
        <v>นายสุไลมาน เจะมะสอง</v>
      </c>
      <c r="C2173" s="3" t="str">
        <f>IFERROR(__xludf.DUMMYFUNCTION("""COMPUTED_VALUE"""),"ม.6/2")</f>
        <v>ม.6/2</v>
      </c>
      <c r="D2173" s="3" t="str">
        <f>IFERROR(__xludf.DUMMYFUNCTION("""COMPUTED_VALUE"""),"อป.3/2")</f>
        <v>อป.3/2</v>
      </c>
      <c r="E2173" s="2" t="str">
        <f>IFERROR(__xludf.DUMMYFUNCTION("""COMPUTED_VALUE"""),"ชาย")</f>
        <v>ชาย</v>
      </c>
      <c r="F2173" s="5" t="str">
        <f>IFERROR(__xludf.DUMMYFUNCTION("""COMPUTED_VALUE"""),"https://azizstan.net/student_image/25230.jpg")</f>
        <v>https://azizstan.net/student_image/25230.jpg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>
      <c r="A2174" s="3" t="str">
        <f>IFERROR(__xludf.DUMMYFUNCTION("""COMPUTED_VALUE"""),"25254")</f>
        <v>25254</v>
      </c>
      <c r="B2174" s="3" t="str">
        <f>IFERROR(__xludf.DUMMYFUNCTION("""COMPUTED_VALUE"""),"นายซอฟรัน มามะ")</f>
        <v>นายซอฟรัน มามะ</v>
      </c>
      <c r="C2174" s="3" t="str">
        <f>IFERROR(__xludf.DUMMYFUNCTION("""COMPUTED_VALUE"""),"ม.6/2")</f>
        <v>ม.6/2</v>
      </c>
      <c r="D2174" s="3" t="str">
        <f>IFERROR(__xludf.DUMMYFUNCTION("""COMPUTED_VALUE"""),"อก.3/4")</f>
        <v>อก.3/4</v>
      </c>
      <c r="E2174" s="2" t="str">
        <f>IFERROR(__xludf.DUMMYFUNCTION("""COMPUTED_VALUE"""),"ชาย")</f>
        <v>ชาย</v>
      </c>
      <c r="F2174" s="5" t="str">
        <f>IFERROR(__xludf.DUMMYFUNCTION("""COMPUTED_VALUE"""),"https://azizstan.net/student_image/25254.jpg")</f>
        <v>https://azizstan.net/student_image/25254.jpg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>
      <c r="A2175" s="3" t="str">
        <f>IFERROR(__xludf.DUMMYFUNCTION("""COMPUTED_VALUE"""),"25273")</f>
        <v>25273</v>
      </c>
      <c r="B2175" s="3" t="str">
        <f>IFERROR(__xludf.DUMMYFUNCTION("""COMPUTED_VALUE"""),"นายอิรฟาน ซาราเซะ")</f>
        <v>นายอิรฟาน ซาราเซะ</v>
      </c>
      <c r="C2175" s="3" t="str">
        <f>IFERROR(__xludf.DUMMYFUNCTION("""COMPUTED_VALUE"""),"ม.6/2")</f>
        <v>ม.6/2</v>
      </c>
      <c r="D2175" s="3" t="str">
        <f>IFERROR(__xludf.DUMMYFUNCTION("""COMPUTED_VALUE"""),"อป.3/2")</f>
        <v>อป.3/2</v>
      </c>
      <c r="E2175" s="2" t="str">
        <f>IFERROR(__xludf.DUMMYFUNCTION("""COMPUTED_VALUE"""),"ชาย")</f>
        <v>ชาย</v>
      </c>
      <c r="F2175" s="5" t="str">
        <f>IFERROR(__xludf.DUMMYFUNCTION("""COMPUTED_VALUE"""),"https://azizstan.net/student_image/25273.jpg")</f>
        <v>https://azizstan.net/student_image/25273.jpg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>
      <c r="A2176" s="3" t="str">
        <f>IFERROR(__xludf.DUMMYFUNCTION("""COMPUTED_VALUE"""),"25350")</f>
        <v>25350</v>
      </c>
      <c r="B2176" s="3" t="str">
        <f>IFERROR(__xludf.DUMMYFUNCTION("""COMPUTED_VALUE"""),"นายอับดุลอาซัน ชูมุง")</f>
        <v>นายอับดุลอาซัน ชูมุง</v>
      </c>
      <c r="C2176" s="3" t="str">
        <f>IFERROR(__xludf.DUMMYFUNCTION("""COMPUTED_VALUE"""),"ม.6/2")</f>
        <v>ม.6/2</v>
      </c>
      <c r="D2176" s="3" t="str">
        <f>IFERROR(__xludf.DUMMYFUNCTION("""COMPUTED_VALUE"""),"อก.3/4")</f>
        <v>อก.3/4</v>
      </c>
      <c r="E2176" s="2" t="str">
        <f>IFERROR(__xludf.DUMMYFUNCTION("""COMPUTED_VALUE"""),"ชาย")</f>
        <v>ชาย</v>
      </c>
      <c r="F2176" s="5" t="str">
        <f>IFERROR(__xludf.DUMMYFUNCTION("""COMPUTED_VALUE"""),"https://azizstan.net/student_image/25350.jpg")</f>
        <v>https://azizstan.net/student_image/25350.jpg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>
      <c r="A2177" s="3" t="str">
        <f>IFERROR(__xludf.DUMMYFUNCTION("""COMPUTED_VALUE"""),"22666")</f>
        <v>22666</v>
      </c>
      <c r="B2177" s="3" t="str">
        <f>IFERROR(__xludf.DUMMYFUNCTION("""COMPUTED_VALUE"""),"น.ส.ฟารีซาน ลือโมะ")</f>
        <v>น.ส.ฟารีซาน ลือโมะ</v>
      </c>
      <c r="C2177" s="3" t="str">
        <f>IFERROR(__xludf.DUMMYFUNCTION("""COMPUTED_VALUE"""),"ม.6/3")</f>
        <v>ม.6/3</v>
      </c>
      <c r="D2177" s="3" t="str">
        <f>IFERROR(__xludf.DUMMYFUNCTION("""COMPUTED_VALUE"""),"อป.1/1")</f>
        <v>อป.1/1</v>
      </c>
      <c r="E2177" s="2" t="str">
        <f>IFERROR(__xludf.DUMMYFUNCTION("""COMPUTED_VALUE"""),"หญิง")</f>
        <v>หญิง</v>
      </c>
      <c r="F2177" s="5" t="str">
        <f>IFERROR(__xludf.DUMMYFUNCTION("""COMPUTED_VALUE"""),"https://azizstan.net/student_image/22666.jpg")</f>
        <v>https://azizstan.net/student_image/22666.jpg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>
      <c r="A2178" s="3" t="str">
        <f>IFERROR(__xludf.DUMMYFUNCTION("""COMPUTED_VALUE"""),"22694")</f>
        <v>22694</v>
      </c>
      <c r="B2178" s="3" t="str">
        <f>IFERROR(__xludf.DUMMYFUNCTION("""COMPUTED_VALUE"""),"น.ส.รุสลีซา เจะแว")</f>
        <v>น.ส.รุสลีซา เจะแว</v>
      </c>
      <c r="C2178" s="3" t="str">
        <f>IFERROR(__xludf.DUMMYFUNCTION("""COMPUTED_VALUE"""),"ม.6/3")</f>
        <v>ม.6/3</v>
      </c>
      <c r="D2178" s="3" t="str">
        <f>IFERROR(__xludf.DUMMYFUNCTION("""COMPUTED_VALUE"""),"อป.1/1")</f>
        <v>อป.1/1</v>
      </c>
      <c r="E2178" s="2" t="str">
        <f>IFERROR(__xludf.DUMMYFUNCTION("""COMPUTED_VALUE"""),"หญิง")</f>
        <v>หญิง</v>
      </c>
      <c r="F2178" s="5" t="str">
        <f>IFERROR(__xludf.DUMMYFUNCTION("""COMPUTED_VALUE"""),"https://azizstan.net/student_image/22694.jpg")</f>
        <v>https://azizstan.net/student_image/22694.jpg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>
      <c r="A2179" s="3" t="str">
        <f>IFERROR(__xludf.DUMMYFUNCTION("""COMPUTED_VALUE"""),"22714")</f>
        <v>22714</v>
      </c>
      <c r="B2179" s="3" t="str">
        <f>IFERROR(__xludf.DUMMYFUNCTION("""COMPUTED_VALUE"""),"น.ส.นัสรีน เจะเลาะ")</f>
        <v>น.ส.นัสรีน เจะเลาะ</v>
      </c>
      <c r="C2179" s="3" t="str">
        <f>IFERROR(__xludf.DUMMYFUNCTION("""COMPUTED_VALUE"""),"ม.6/3")</f>
        <v>ม.6/3</v>
      </c>
      <c r="D2179" s="3" t="str">
        <f>IFERROR(__xludf.DUMMYFUNCTION("""COMPUTED_VALUE"""),"อป.3/1")</f>
        <v>อป.3/1</v>
      </c>
      <c r="E2179" s="2" t="str">
        <f>IFERROR(__xludf.DUMMYFUNCTION("""COMPUTED_VALUE"""),"หญิง")</f>
        <v>หญิง</v>
      </c>
      <c r="F2179" s="5" t="str">
        <f>IFERROR(__xludf.DUMMYFUNCTION("""COMPUTED_VALUE"""),"https://azizstan.net/student_image/22714.jpg")</f>
        <v>https://azizstan.net/student_image/22714.jpg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>
      <c r="A2180" s="3" t="str">
        <f>IFERROR(__xludf.DUMMYFUNCTION("""COMPUTED_VALUE"""),"22734")</f>
        <v>22734</v>
      </c>
      <c r="B2180" s="3" t="str">
        <f>IFERROR(__xludf.DUMMYFUNCTION("""COMPUTED_VALUE"""),"น.ส.นูรฮูดา ดอเลาะ")</f>
        <v>น.ส.นูรฮูดา ดอเลาะ</v>
      </c>
      <c r="C2180" s="3" t="str">
        <f>IFERROR(__xludf.DUMMYFUNCTION("""COMPUTED_VALUE"""),"ม.6/3")</f>
        <v>ม.6/3</v>
      </c>
      <c r="D2180" s="3" t="str">
        <f>IFERROR(__xludf.DUMMYFUNCTION("""COMPUTED_VALUE"""),"อป.2/1")</f>
        <v>อป.2/1</v>
      </c>
      <c r="E2180" s="2" t="str">
        <f>IFERROR(__xludf.DUMMYFUNCTION("""COMPUTED_VALUE"""),"หญิง")</f>
        <v>หญิง</v>
      </c>
      <c r="F2180" s="5" t="str">
        <f>IFERROR(__xludf.DUMMYFUNCTION("""COMPUTED_VALUE"""),"https://azizstan.net/student_image/22734.jpg")</f>
        <v>https://azizstan.net/student_image/22734.jpg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>
      <c r="A2181" s="3" t="str">
        <f>IFERROR(__xludf.DUMMYFUNCTION("""COMPUTED_VALUE"""),"22745")</f>
        <v>22745</v>
      </c>
      <c r="B2181" s="3" t="str">
        <f>IFERROR(__xludf.DUMMYFUNCTION("""COMPUTED_VALUE"""),"น.ส.ฟาเดีย สะอิ")</f>
        <v>น.ส.ฟาเดีย สะอิ</v>
      </c>
      <c r="C2181" s="3" t="str">
        <f>IFERROR(__xludf.DUMMYFUNCTION("""COMPUTED_VALUE"""),"ม.6/3")</f>
        <v>ม.6/3</v>
      </c>
      <c r="D2181" s="3" t="str">
        <f>IFERROR(__xludf.DUMMYFUNCTION("""COMPUTED_VALUE"""),"อก.3/13")</f>
        <v>อก.3/13</v>
      </c>
      <c r="E2181" s="2" t="str">
        <f>IFERROR(__xludf.DUMMYFUNCTION("""COMPUTED_VALUE"""),"หญิง")</f>
        <v>หญิง</v>
      </c>
      <c r="F2181" s="5" t="str">
        <f>IFERROR(__xludf.DUMMYFUNCTION("""COMPUTED_VALUE"""),"https://azizstan.net/student_image/22745.jpg")</f>
        <v>https://azizstan.net/student_image/22745.jpg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>
      <c r="A2182" s="3" t="str">
        <f>IFERROR(__xludf.DUMMYFUNCTION("""COMPUTED_VALUE"""),"22768")</f>
        <v>22768</v>
      </c>
      <c r="B2182" s="3" t="str">
        <f>IFERROR(__xludf.DUMMYFUNCTION("""COMPUTED_VALUE"""),"น.ส.ฟิรดาวส์ โตะลากอ")</f>
        <v>น.ส.ฟิรดาวส์ โตะลากอ</v>
      </c>
      <c r="C2182" s="3" t="str">
        <f>IFERROR(__xludf.DUMMYFUNCTION("""COMPUTED_VALUE"""),"ม.6/3")</f>
        <v>ม.6/3</v>
      </c>
      <c r="D2182" s="3" t="str">
        <f>IFERROR(__xludf.DUMMYFUNCTION("""COMPUTED_VALUE"""),"อป.1/1")</f>
        <v>อป.1/1</v>
      </c>
      <c r="E2182" s="2" t="str">
        <f>IFERROR(__xludf.DUMMYFUNCTION("""COMPUTED_VALUE"""),"หญิง")</f>
        <v>หญิง</v>
      </c>
      <c r="F2182" s="5" t="str">
        <f>IFERROR(__xludf.DUMMYFUNCTION("""COMPUTED_VALUE"""),"https://azizstan.net/student_image/22768.jpg")</f>
        <v>https://azizstan.net/student_image/22768.jpg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>
      <c r="A2183" s="3" t="str">
        <f>IFERROR(__xludf.DUMMYFUNCTION("""COMPUTED_VALUE"""),"22770")</f>
        <v>22770</v>
      </c>
      <c r="B2183" s="3" t="str">
        <f>IFERROR(__xludf.DUMMYFUNCTION("""COMPUTED_VALUE"""),"น.ส.ตัสนีม หามะ")</f>
        <v>น.ส.ตัสนีม หามะ</v>
      </c>
      <c r="C2183" s="3" t="str">
        <f>IFERROR(__xludf.DUMMYFUNCTION("""COMPUTED_VALUE"""),"ม.6/3")</f>
        <v>ม.6/3</v>
      </c>
      <c r="D2183" s="3" t="str">
        <f>IFERROR(__xludf.DUMMYFUNCTION("""COMPUTED_VALUE"""),"อก.3/13")</f>
        <v>อก.3/13</v>
      </c>
      <c r="E2183" s="2" t="str">
        <f>IFERROR(__xludf.DUMMYFUNCTION("""COMPUTED_VALUE"""),"หญิง")</f>
        <v>หญิง</v>
      </c>
      <c r="F2183" s="5" t="str">
        <f>IFERROR(__xludf.DUMMYFUNCTION("""COMPUTED_VALUE"""),"https://azizstan.net/student_image/22770.jpg")</f>
        <v>https://azizstan.net/student_image/22770.jpg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>
      <c r="A2184" s="3" t="str">
        <f>IFERROR(__xludf.DUMMYFUNCTION("""COMPUTED_VALUE"""),"22826")</f>
        <v>22826</v>
      </c>
      <c r="B2184" s="3" t="str">
        <f>IFERROR(__xludf.DUMMYFUNCTION("""COMPUTED_VALUE"""),"น.ส.ตัสมี อุเซ็ง")</f>
        <v>น.ส.ตัสมี อุเซ็ง</v>
      </c>
      <c r="C2184" s="3" t="str">
        <f>IFERROR(__xludf.DUMMYFUNCTION("""COMPUTED_VALUE"""),"ม.6/3")</f>
        <v>ม.6/3</v>
      </c>
      <c r="D2184" s="3" t="str">
        <f>IFERROR(__xludf.DUMMYFUNCTION("""COMPUTED_VALUE"""),"อป.2/1")</f>
        <v>อป.2/1</v>
      </c>
      <c r="E2184" s="2" t="str">
        <f>IFERROR(__xludf.DUMMYFUNCTION("""COMPUTED_VALUE"""),"หญิง")</f>
        <v>หญิง</v>
      </c>
      <c r="F2184" s="5" t="str">
        <f>IFERROR(__xludf.DUMMYFUNCTION("""COMPUTED_VALUE"""),"https://azizstan.net/student_image/22826.jpg")</f>
        <v>https://azizstan.net/student_image/22826.jpg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>
      <c r="A2185" s="3" t="str">
        <f>IFERROR(__xludf.DUMMYFUNCTION("""COMPUTED_VALUE"""),"22837")</f>
        <v>22837</v>
      </c>
      <c r="B2185" s="3" t="str">
        <f>IFERROR(__xludf.DUMMYFUNCTION("""COMPUTED_VALUE"""),"น.ส.แพรวา สะนิ")</f>
        <v>น.ส.แพรวา สะนิ</v>
      </c>
      <c r="C2185" s="3" t="str">
        <f>IFERROR(__xludf.DUMMYFUNCTION("""COMPUTED_VALUE"""),"ม.6/3")</f>
        <v>ม.6/3</v>
      </c>
      <c r="D2185" s="3" t="str">
        <f>IFERROR(__xludf.DUMMYFUNCTION("""COMPUTED_VALUE"""),"อก.3/13")</f>
        <v>อก.3/13</v>
      </c>
      <c r="E2185" s="2" t="str">
        <f>IFERROR(__xludf.DUMMYFUNCTION("""COMPUTED_VALUE"""),"หญิง")</f>
        <v>หญิง</v>
      </c>
      <c r="F2185" s="5" t="str">
        <f>IFERROR(__xludf.DUMMYFUNCTION("""COMPUTED_VALUE"""),"https://azizstan.net/student_image/22837.jpg")</f>
        <v>https://azizstan.net/student_image/22837.jpg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>
      <c r="A2186" s="3" t="str">
        <f>IFERROR(__xludf.DUMMYFUNCTION("""COMPUTED_VALUE"""),"22886")</f>
        <v>22886</v>
      </c>
      <c r="B2186" s="3" t="str">
        <f>IFERROR(__xludf.DUMMYFUNCTION("""COMPUTED_VALUE"""),"น.ส.กนกวรรณ มิดดี้")</f>
        <v>น.ส.กนกวรรณ มิดดี้</v>
      </c>
      <c r="C2186" s="3" t="str">
        <f>IFERROR(__xludf.DUMMYFUNCTION("""COMPUTED_VALUE"""),"ม.6/3")</f>
        <v>ม.6/3</v>
      </c>
      <c r="D2186" s="3" t="str">
        <f>IFERROR(__xludf.DUMMYFUNCTION("""COMPUTED_VALUE"""),"อป.1/1")</f>
        <v>อป.1/1</v>
      </c>
      <c r="E2186" s="2" t="str">
        <f>IFERROR(__xludf.DUMMYFUNCTION("""COMPUTED_VALUE"""),"หญิง")</f>
        <v>หญิง</v>
      </c>
      <c r="F2186" s="5" t="str">
        <f>IFERROR(__xludf.DUMMYFUNCTION("""COMPUTED_VALUE"""),"https://azizstan.net/student_image/22886.jpg")</f>
        <v>https://azizstan.net/student_image/22886.jpg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>
      <c r="A2187" s="3" t="str">
        <f>IFERROR(__xludf.DUMMYFUNCTION("""COMPUTED_VALUE"""),"22896")</f>
        <v>22896</v>
      </c>
      <c r="B2187" s="3" t="str">
        <f>IFERROR(__xludf.DUMMYFUNCTION("""COMPUTED_VALUE"""),"น.ส.โซฟียา หะยีดอเลาะ")</f>
        <v>น.ส.โซฟียา หะยีดอเลาะ</v>
      </c>
      <c r="C2187" s="3" t="str">
        <f>IFERROR(__xludf.DUMMYFUNCTION("""COMPUTED_VALUE"""),"ม.6/3")</f>
        <v>ม.6/3</v>
      </c>
      <c r="D2187" s="3" t="str">
        <f>IFERROR(__xludf.DUMMYFUNCTION("""COMPUTED_VALUE"""),"อก.3/13")</f>
        <v>อก.3/13</v>
      </c>
      <c r="E2187" s="2" t="str">
        <f>IFERROR(__xludf.DUMMYFUNCTION("""COMPUTED_VALUE"""),"หญิง")</f>
        <v>หญิง</v>
      </c>
      <c r="F2187" s="5" t="str">
        <f>IFERROR(__xludf.DUMMYFUNCTION("""COMPUTED_VALUE"""),"https://azizstan.net/student_image/22896.jpg")</f>
        <v>https://azizstan.net/student_image/22896.jpg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>
      <c r="A2188" s="3" t="str">
        <f>IFERROR(__xludf.DUMMYFUNCTION("""COMPUTED_VALUE"""),"22912")</f>
        <v>22912</v>
      </c>
      <c r="B2188" s="3" t="str">
        <f>IFERROR(__xludf.DUMMYFUNCTION("""COMPUTED_VALUE"""),"น.ส.อานีฟา หะยียูนุ")</f>
        <v>น.ส.อานีฟา หะยียูนุ</v>
      </c>
      <c r="C2188" s="3" t="str">
        <f>IFERROR(__xludf.DUMMYFUNCTION("""COMPUTED_VALUE"""),"ม.6/3")</f>
        <v>ม.6/3</v>
      </c>
      <c r="D2188" s="3" t="str">
        <f>IFERROR(__xludf.DUMMYFUNCTION("""COMPUTED_VALUE"""),"อป.1/1")</f>
        <v>อป.1/1</v>
      </c>
      <c r="E2188" s="2" t="str">
        <f>IFERROR(__xludf.DUMMYFUNCTION("""COMPUTED_VALUE"""),"หญิง")</f>
        <v>หญิง</v>
      </c>
      <c r="F2188" s="5" t="str">
        <f>IFERROR(__xludf.DUMMYFUNCTION("""COMPUTED_VALUE"""),"https://azizstan.net/student_image/22912.jpg")</f>
        <v>https://azizstan.net/student_image/22912.jpg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>
      <c r="A2189" s="3" t="str">
        <f>IFERROR(__xludf.DUMMYFUNCTION("""COMPUTED_VALUE"""),"22915")</f>
        <v>22915</v>
      </c>
      <c r="B2189" s="3" t="str">
        <f>IFERROR(__xludf.DUMMYFUNCTION("""COMPUTED_VALUE"""),"น.ส.นัสรีน สาและเล๊าะ")</f>
        <v>น.ส.นัสรีน สาและเล๊าะ</v>
      </c>
      <c r="C2189" s="3" t="str">
        <f>IFERROR(__xludf.DUMMYFUNCTION("""COMPUTED_VALUE"""),"ม.6/3")</f>
        <v>ม.6/3</v>
      </c>
      <c r="D2189" s="3" t="str">
        <f>IFERROR(__xludf.DUMMYFUNCTION("""COMPUTED_VALUE"""),"อป.1/1")</f>
        <v>อป.1/1</v>
      </c>
      <c r="E2189" s="2" t="str">
        <f>IFERROR(__xludf.DUMMYFUNCTION("""COMPUTED_VALUE"""),"หญิง")</f>
        <v>หญิง</v>
      </c>
      <c r="F2189" s="5" t="str">
        <f>IFERROR(__xludf.DUMMYFUNCTION("""COMPUTED_VALUE"""),"https://azizstan.net/student_image/22915.jpg")</f>
        <v>https://azizstan.net/student_image/22915.jpg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>
      <c r="A2190" s="3" t="str">
        <f>IFERROR(__xludf.DUMMYFUNCTION("""COMPUTED_VALUE"""),"22916")</f>
        <v>22916</v>
      </c>
      <c r="B2190" s="3" t="str">
        <f>IFERROR(__xludf.DUMMYFUNCTION("""COMPUTED_VALUE"""),"น.ส.นัสริน แวยูโซะ")</f>
        <v>น.ส.นัสริน แวยูโซะ</v>
      </c>
      <c r="C2190" s="3" t="str">
        <f>IFERROR(__xludf.DUMMYFUNCTION("""COMPUTED_VALUE"""),"ม.6/3")</f>
        <v>ม.6/3</v>
      </c>
      <c r="D2190" s="3" t="str">
        <f>IFERROR(__xludf.DUMMYFUNCTION("""COMPUTED_VALUE"""),"อป.1/1")</f>
        <v>อป.1/1</v>
      </c>
      <c r="E2190" s="2" t="str">
        <f>IFERROR(__xludf.DUMMYFUNCTION("""COMPUTED_VALUE"""),"หญิง")</f>
        <v>หญิง</v>
      </c>
      <c r="F2190" s="5" t="str">
        <f>IFERROR(__xludf.DUMMYFUNCTION("""COMPUTED_VALUE"""),"https://azizstan.net/student_image/22916.jpg")</f>
        <v>https://azizstan.net/student_image/22916.jpg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>
      <c r="A2191" s="3" t="str">
        <f>IFERROR(__xludf.DUMMYFUNCTION("""COMPUTED_VALUE"""),"22960")</f>
        <v>22960</v>
      </c>
      <c r="B2191" s="3" t="str">
        <f>IFERROR(__xludf.DUMMYFUNCTION("""COMPUTED_VALUE"""),"น.ส.ซาบีเกาะห์ มะดีเยาะ")</f>
        <v>น.ส.ซาบีเกาะห์ มะดีเยาะ</v>
      </c>
      <c r="C2191" s="3" t="str">
        <f>IFERROR(__xludf.DUMMYFUNCTION("""COMPUTED_VALUE"""),"ม.6/3")</f>
        <v>ม.6/3</v>
      </c>
      <c r="D2191" s="3" t="str">
        <f>IFERROR(__xludf.DUMMYFUNCTION("""COMPUTED_VALUE"""),"อก.3/13")</f>
        <v>อก.3/13</v>
      </c>
      <c r="E2191" s="2" t="str">
        <f>IFERROR(__xludf.DUMMYFUNCTION("""COMPUTED_VALUE"""),"หญิง")</f>
        <v>หญิง</v>
      </c>
      <c r="F2191" s="5" t="str">
        <f>IFERROR(__xludf.DUMMYFUNCTION("""COMPUTED_VALUE"""),"https://azizstan.net/student_image/22960.jpg")</f>
        <v>https://azizstan.net/student_image/22960.jpg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>
      <c r="A2192" s="3" t="str">
        <f>IFERROR(__xludf.DUMMYFUNCTION("""COMPUTED_VALUE"""),"22975")</f>
        <v>22975</v>
      </c>
      <c r="B2192" s="3" t="str">
        <f>IFERROR(__xludf.DUMMYFUNCTION("""COMPUTED_VALUE"""),"น.ส.ฟาติมะ หะระซัน")</f>
        <v>น.ส.ฟาติมะ หะระซัน</v>
      </c>
      <c r="C2192" s="3" t="str">
        <f>IFERROR(__xludf.DUMMYFUNCTION("""COMPUTED_VALUE"""),"ม.6/3")</f>
        <v>ม.6/3</v>
      </c>
      <c r="D2192" s="3" t="str">
        <f>IFERROR(__xludf.DUMMYFUNCTION("""COMPUTED_VALUE"""),"อป.1/1")</f>
        <v>อป.1/1</v>
      </c>
      <c r="E2192" s="2" t="str">
        <f>IFERROR(__xludf.DUMMYFUNCTION("""COMPUTED_VALUE"""),"หญิง")</f>
        <v>หญิง</v>
      </c>
      <c r="F2192" s="5" t="str">
        <f>IFERROR(__xludf.DUMMYFUNCTION("""COMPUTED_VALUE"""),"https://azizstan.net/student_image/22975.jpg")</f>
        <v>https://azizstan.net/student_image/22975.jpg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>
      <c r="A2193" s="3" t="str">
        <f>IFERROR(__xludf.DUMMYFUNCTION("""COMPUTED_VALUE"""),"22989")</f>
        <v>22989</v>
      </c>
      <c r="B2193" s="3" t="str">
        <f>IFERROR(__xludf.DUMMYFUNCTION("""COMPUTED_VALUE"""),"น.ส.ซูรีนา ปูซู")</f>
        <v>น.ส.ซูรีนา ปูซู</v>
      </c>
      <c r="C2193" s="3" t="str">
        <f>IFERROR(__xludf.DUMMYFUNCTION("""COMPUTED_VALUE"""),"ม.6/3")</f>
        <v>ม.6/3</v>
      </c>
      <c r="D2193" s="3" t="str">
        <f>IFERROR(__xludf.DUMMYFUNCTION("""COMPUTED_VALUE"""),"อป.1/1")</f>
        <v>อป.1/1</v>
      </c>
      <c r="E2193" s="2" t="str">
        <f>IFERROR(__xludf.DUMMYFUNCTION("""COMPUTED_VALUE"""),"หญิง")</f>
        <v>หญิง</v>
      </c>
      <c r="F2193" s="5" t="str">
        <f>IFERROR(__xludf.DUMMYFUNCTION("""COMPUTED_VALUE"""),"https://azizstan.net/student_image/22989.jpg")</f>
        <v>https://azizstan.net/student_image/22989.jpg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>
      <c r="A2194" s="3" t="str">
        <f>IFERROR(__xludf.DUMMYFUNCTION("""COMPUTED_VALUE"""),"22997")</f>
        <v>22997</v>
      </c>
      <c r="B2194" s="3" t="str">
        <f>IFERROR(__xludf.DUMMYFUNCTION("""COMPUTED_VALUE"""),"น.ส.นูกีต้า หัดกาเจ")</f>
        <v>น.ส.นูกีต้า หัดกาเจ</v>
      </c>
      <c r="C2194" s="3" t="str">
        <f>IFERROR(__xludf.DUMMYFUNCTION("""COMPUTED_VALUE"""),"ม.6/3")</f>
        <v>ม.6/3</v>
      </c>
      <c r="D2194" s="3" t="str">
        <f>IFERROR(__xludf.DUMMYFUNCTION("""COMPUTED_VALUE"""),"อป.1/1")</f>
        <v>อป.1/1</v>
      </c>
      <c r="E2194" s="2" t="str">
        <f>IFERROR(__xludf.DUMMYFUNCTION("""COMPUTED_VALUE"""),"หญิง")</f>
        <v>หญิง</v>
      </c>
      <c r="F2194" s="5" t="str">
        <f>IFERROR(__xludf.DUMMYFUNCTION("""COMPUTED_VALUE"""),"https://azizstan.net/student_image/22997.jpg")</f>
        <v>https://azizstan.net/student_image/22997.jpg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>
      <c r="A2195" s="3" t="str">
        <f>IFERROR(__xludf.DUMMYFUNCTION("""COMPUTED_VALUE"""),"23007")</f>
        <v>23007</v>
      </c>
      <c r="B2195" s="3" t="str">
        <f>IFERROR(__xludf.DUMMYFUNCTION("""COMPUTED_VALUE"""),"น.ส.ชลดา มูณี")</f>
        <v>น.ส.ชลดา มูณี</v>
      </c>
      <c r="C2195" s="3" t="str">
        <f>IFERROR(__xludf.DUMMYFUNCTION("""COMPUTED_VALUE"""),"ม.6/3")</f>
        <v>ม.6/3</v>
      </c>
      <c r="D2195" s="3" t="str">
        <f>IFERROR(__xludf.DUMMYFUNCTION("""COMPUTED_VALUE"""),"อก.3/13")</f>
        <v>อก.3/13</v>
      </c>
      <c r="E2195" s="2" t="str">
        <f>IFERROR(__xludf.DUMMYFUNCTION("""COMPUTED_VALUE"""),"หญิง")</f>
        <v>หญิง</v>
      </c>
      <c r="F2195" s="5" t="str">
        <f>IFERROR(__xludf.DUMMYFUNCTION("""COMPUTED_VALUE"""),"https://azizstan.net/student_image/23007.jpg")</f>
        <v>https://azizstan.net/student_image/23007.jpg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>
      <c r="A2196" s="3" t="str">
        <f>IFERROR(__xludf.DUMMYFUNCTION("""COMPUTED_VALUE"""),"23043")</f>
        <v>23043</v>
      </c>
      <c r="B2196" s="3" t="str">
        <f>IFERROR(__xludf.DUMMYFUNCTION("""COMPUTED_VALUE"""),"น.ส.มารีณี สามะ")</f>
        <v>น.ส.มารีณี สามะ</v>
      </c>
      <c r="C2196" s="3" t="str">
        <f>IFERROR(__xludf.DUMMYFUNCTION("""COMPUTED_VALUE"""),"ม.6/3")</f>
        <v>ม.6/3</v>
      </c>
      <c r="D2196" s="3" t="str">
        <f>IFERROR(__xludf.DUMMYFUNCTION("""COMPUTED_VALUE"""),"อป.2/1")</f>
        <v>อป.2/1</v>
      </c>
      <c r="E2196" s="2" t="str">
        <f>IFERROR(__xludf.DUMMYFUNCTION("""COMPUTED_VALUE"""),"หญิง")</f>
        <v>หญิง</v>
      </c>
      <c r="F2196" s="5" t="str">
        <f>IFERROR(__xludf.DUMMYFUNCTION("""COMPUTED_VALUE"""),"https://azizstan.net/student_image/23043.jpg")</f>
        <v>https://azizstan.net/student_image/23043.jpg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>
      <c r="A2197" s="3" t="str">
        <f>IFERROR(__xludf.DUMMYFUNCTION("""COMPUTED_VALUE"""),"23084")</f>
        <v>23084</v>
      </c>
      <c r="B2197" s="3" t="str">
        <f>IFERROR(__xludf.DUMMYFUNCTION("""COMPUTED_VALUE"""),"น.ส.นุรซันวา สาเมาะ")</f>
        <v>น.ส.นุรซันวา สาเมาะ</v>
      </c>
      <c r="C2197" s="3" t="str">
        <f>IFERROR(__xludf.DUMMYFUNCTION("""COMPUTED_VALUE"""),"ม.6/3")</f>
        <v>ม.6/3</v>
      </c>
      <c r="D2197" s="3" t="str">
        <f>IFERROR(__xludf.DUMMYFUNCTION("""COMPUTED_VALUE"""),"อป.1/3")</f>
        <v>อป.1/3</v>
      </c>
      <c r="E2197" s="2" t="str">
        <f>IFERROR(__xludf.DUMMYFUNCTION("""COMPUTED_VALUE"""),"หญิง")</f>
        <v>หญิง</v>
      </c>
      <c r="F2197" s="5" t="str">
        <f>IFERROR(__xludf.DUMMYFUNCTION("""COMPUTED_VALUE"""),"https://azizstan.net/student_image/23084.jpg")</f>
        <v>https://azizstan.net/student_image/23084.jpg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>
      <c r="A2198" s="3" t="str">
        <f>IFERROR(__xludf.DUMMYFUNCTION("""COMPUTED_VALUE"""),"23086")</f>
        <v>23086</v>
      </c>
      <c r="B2198" s="3" t="str">
        <f>IFERROR(__xludf.DUMMYFUNCTION("""COMPUTED_VALUE"""),"น.ส.สุไรนีย์ กาเต็มมะดี")</f>
        <v>น.ส.สุไรนีย์ กาเต็มมะดี</v>
      </c>
      <c r="C2198" s="3" t="str">
        <f>IFERROR(__xludf.DUMMYFUNCTION("""COMPUTED_VALUE"""),"ม.6/3")</f>
        <v>ม.6/3</v>
      </c>
      <c r="D2198" s="3" t="str">
        <f>IFERROR(__xludf.DUMMYFUNCTION("""COMPUTED_VALUE"""),"อป.1/1")</f>
        <v>อป.1/1</v>
      </c>
      <c r="E2198" s="2" t="str">
        <f>IFERROR(__xludf.DUMMYFUNCTION("""COMPUTED_VALUE"""),"หญิง")</f>
        <v>หญิง</v>
      </c>
      <c r="F2198" s="5" t="str">
        <f>IFERROR(__xludf.DUMMYFUNCTION("""COMPUTED_VALUE"""),"https://azizstan.net/student_image/23086.jpg")</f>
        <v>https://azizstan.net/student_image/23086.jpg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>
      <c r="A2199" s="3" t="str">
        <f>IFERROR(__xludf.DUMMYFUNCTION("""COMPUTED_VALUE"""),"23092")</f>
        <v>23092</v>
      </c>
      <c r="B2199" s="3" t="str">
        <f>IFERROR(__xludf.DUMMYFUNCTION("""COMPUTED_VALUE"""),"น.ส.มูเนาวเราะห์ หะยีเจ๊ะมุ")</f>
        <v>น.ส.มูเนาวเราะห์ หะยีเจ๊ะมุ</v>
      </c>
      <c r="C2199" s="3" t="str">
        <f>IFERROR(__xludf.DUMMYFUNCTION("""COMPUTED_VALUE"""),"ม.6/3")</f>
        <v>ม.6/3</v>
      </c>
      <c r="D2199" s="3" t="str">
        <f>IFERROR(__xludf.DUMMYFUNCTION("""COMPUTED_VALUE"""),"อก.3/13")</f>
        <v>อก.3/13</v>
      </c>
      <c r="E2199" s="2" t="str">
        <f>IFERROR(__xludf.DUMMYFUNCTION("""COMPUTED_VALUE"""),"หญิง")</f>
        <v>หญิง</v>
      </c>
      <c r="F2199" s="5" t="str">
        <f>IFERROR(__xludf.DUMMYFUNCTION("""COMPUTED_VALUE"""),"https://azizstan.net/student_image/23092.jpg")</f>
        <v>https://azizstan.net/student_image/23092.jpg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>
      <c r="A2200" s="3" t="str">
        <f>IFERROR(__xludf.DUMMYFUNCTION("""COMPUTED_VALUE"""),"23138")</f>
        <v>23138</v>
      </c>
      <c r="B2200" s="3" t="str">
        <f>IFERROR(__xludf.DUMMYFUNCTION("""COMPUTED_VALUE"""),"น.ส.ฟิตรีดาห์ อามะ")</f>
        <v>น.ส.ฟิตรีดาห์ อามะ</v>
      </c>
      <c r="C2200" s="3" t="str">
        <f>IFERROR(__xludf.DUMMYFUNCTION("""COMPUTED_VALUE"""),"ม.6/3")</f>
        <v>ม.6/3</v>
      </c>
      <c r="D2200" s="3" t="str">
        <f>IFERROR(__xludf.DUMMYFUNCTION("""COMPUTED_VALUE"""),"อป.2/1")</f>
        <v>อป.2/1</v>
      </c>
      <c r="E2200" s="2" t="str">
        <f>IFERROR(__xludf.DUMMYFUNCTION("""COMPUTED_VALUE"""),"หญิง")</f>
        <v>หญิง</v>
      </c>
      <c r="F2200" s="5" t="str">
        <f>IFERROR(__xludf.DUMMYFUNCTION("""COMPUTED_VALUE"""),"https://azizstan.net/student_image/23138.jpg")</f>
        <v>https://azizstan.net/student_image/23138.jpg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>
      <c r="A2201" s="3" t="str">
        <f>IFERROR(__xludf.DUMMYFUNCTION("""COMPUTED_VALUE"""),"23160")</f>
        <v>23160</v>
      </c>
      <c r="B2201" s="3" t="str">
        <f>IFERROR(__xludf.DUMMYFUNCTION("""COMPUTED_VALUE"""),"น.ส.นูรอารียาณี สะแม")</f>
        <v>น.ส.นูรอารียาณี สะแม</v>
      </c>
      <c r="C2201" s="3" t="str">
        <f>IFERROR(__xludf.DUMMYFUNCTION("""COMPUTED_VALUE"""),"ม.6/3")</f>
        <v>ม.6/3</v>
      </c>
      <c r="D2201" s="3" t="str">
        <f>IFERROR(__xludf.DUMMYFUNCTION("""COMPUTED_VALUE"""),"อป.2/1")</f>
        <v>อป.2/1</v>
      </c>
      <c r="E2201" s="2" t="str">
        <f>IFERROR(__xludf.DUMMYFUNCTION("""COMPUTED_VALUE"""),"หญิง")</f>
        <v>หญิง</v>
      </c>
      <c r="F2201" s="5" t="str">
        <f>IFERROR(__xludf.DUMMYFUNCTION("""COMPUTED_VALUE"""),"https://azizstan.net/student_image/23160.jpg")</f>
        <v>https://azizstan.net/student_image/23160.jpg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>
      <c r="A2202" s="3" t="str">
        <f>IFERROR(__xludf.DUMMYFUNCTION("""COMPUTED_VALUE"""),"23213")</f>
        <v>23213</v>
      </c>
      <c r="B2202" s="3" t="str">
        <f>IFERROR(__xludf.DUMMYFUNCTION("""COMPUTED_VALUE"""),"น.ส.ฮาปือเซาะห์ มะยิ")</f>
        <v>น.ส.ฮาปือเซาะห์ มะยิ</v>
      </c>
      <c r="C2202" s="3" t="str">
        <f>IFERROR(__xludf.DUMMYFUNCTION("""COMPUTED_VALUE"""),"ม.6/3")</f>
        <v>ม.6/3</v>
      </c>
      <c r="D2202" s="3" t="str">
        <f>IFERROR(__xludf.DUMMYFUNCTION("""COMPUTED_VALUE"""),"อป.2/1")</f>
        <v>อป.2/1</v>
      </c>
      <c r="E2202" s="2" t="str">
        <f>IFERROR(__xludf.DUMMYFUNCTION("""COMPUTED_VALUE"""),"หญิง")</f>
        <v>หญิง</v>
      </c>
      <c r="F2202" s="5" t="str">
        <f>IFERROR(__xludf.DUMMYFUNCTION("""COMPUTED_VALUE"""),"https://azizstan.net/student_image/23213.jpg")</f>
        <v>https://azizstan.net/student_image/23213.jpg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>
      <c r="A2203" s="3" t="str">
        <f>IFERROR(__xludf.DUMMYFUNCTION("""COMPUTED_VALUE"""),"23315")</f>
        <v>23315</v>
      </c>
      <c r="B2203" s="3" t="str">
        <f>IFERROR(__xludf.DUMMYFUNCTION("""COMPUTED_VALUE"""),"น.ส.นุรฮัซวานี อามะ")</f>
        <v>น.ส.นุรฮัซวานี อามะ</v>
      </c>
      <c r="C2203" s="3" t="str">
        <f>IFERROR(__xludf.DUMMYFUNCTION("""COMPUTED_VALUE"""),"ม.6/3")</f>
        <v>ม.6/3</v>
      </c>
      <c r="D2203" s="3" t="str">
        <f>IFERROR(__xludf.DUMMYFUNCTION("""COMPUTED_VALUE"""),"อก.3/13")</f>
        <v>อก.3/13</v>
      </c>
      <c r="E2203" s="2" t="str">
        <f>IFERROR(__xludf.DUMMYFUNCTION("""COMPUTED_VALUE"""),"หญิง")</f>
        <v>หญิง</v>
      </c>
      <c r="F2203" s="5" t="str">
        <f>IFERROR(__xludf.DUMMYFUNCTION("""COMPUTED_VALUE"""),"https://azizstan.net/student_image/23315.jpg")</f>
        <v>https://azizstan.net/student_image/23315.jpg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>
      <c r="A2204" s="3" t="str">
        <f>IFERROR(__xludf.DUMMYFUNCTION("""COMPUTED_VALUE"""),"23728")</f>
        <v>23728</v>
      </c>
      <c r="B2204" s="3" t="str">
        <f>IFERROR(__xludf.DUMMYFUNCTION("""COMPUTED_VALUE"""),"น.ส.วิลาสินี สุหลง")</f>
        <v>น.ส.วิลาสินี สุหลง</v>
      </c>
      <c r="C2204" s="3" t="str">
        <f>IFERROR(__xludf.DUMMYFUNCTION("""COMPUTED_VALUE"""),"ม.6/3")</f>
        <v>ม.6/3</v>
      </c>
      <c r="D2204" s="3" t="str">
        <f>IFERROR(__xludf.DUMMYFUNCTION("""COMPUTED_VALUE"""),"อก.3/13")</f>
        <v>อก.3/13</v>
      </c>
      <c r="E2204" s="2" t="str">
        <f>IFERROR(__xludf.DUMMYFUNCTION("""COMPUTED_VALUE"""),"หญิง")</f>
        <v>หญิง</v>
      </c>
      <c r="F2204" s="5" t="str">
        <f>IFERROR(__xludf.DUMMYFUNCTION("""COMPUTED_VALUE"""),"https://azizstan.net/student_image/23728.jpg")</f>
        <v>https://azizstan.net/student_image/23728.jpg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>
      <c r="A2205" s="3" t="str">
        <f>IFERROR(__xludf.DUMMYFUNCTION("""COMPUTED_VALUE"""),"23992")</f>
        <v>23992</v>
      </c>
      <c r="B2205" s="3" t="str">
        <f>IFERROR(__xludf.DUMMYFUNCTION("""COMPUTED_VALUE"""),"น.ส.นูริต้า หมัดอาดัม")</f>
        <v>น.ส.นูริต้า หมัดอาดัม</v>
      </c>
      <c r="C2205" s="3" t="str">
        <f>IFERROR(__xludf.DUMMYFUNCTION("""COMPUTED_VALUE"""),"ม.6/3")</f>
        <v>ม.6/3</v>
      </c>
      <c r="D2205" s="3" t="str">
        <f>IFERROR(__xludf.DUMMYFUNCTION("""COMPUTED_VALUE"""),"อก.3/13")</f>
        <v>อก.3/13</v>
      </c>
      <c r="E2205" s="2" t="str">
        <f>IFERROR(__xludf.DUMMYFUNCTION("""COMPUTED_VALUE"""),"หญิง")</f>
        <v>หญิง</v>
      </c>
      <c r="F2205" s="5" t="str">
        <f>IFERROR(__xludf.DUMMYFUNCTION("""COMPUTED_VALUE"""),"https://azizstan.net/student_image/23992.jpg")</f>
        <v>https://azizstan.net/student_image/23992.jpg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>
      <c r="A2206" s="3" t="str">
        <f>IFERROR(__xludf.DUMMYFUNCTION("""COMPUTED_VALUE"""),"24559")</f>
        <v>24559</v>
      </c>
      <c r="B2206" s="3" t="str">
        <f>IFERROR(__xludf.DUMMYFUNCTION("""COMPUTED_VALUE"""),"น.ส.นูรอัยน์ มะซอ")</f>
        <v>น.ส.นูรอัยน์ มะซอ</v>
      </c>
      <c r="C2206" s="3" t="str">
        <f>IFERROR(__xludf.DUMMYFUNCTION("""COMPUTED_VALUE"""),"ม.6/3")</f>
        <v>ม.6/3</v>
      </c>
      <c r="D2206" s="3" t="str">
        <f>IFERROR(__xludf.DUMMYFUNCTION("""COMPUTED_VALUE"""),"อก.3/13")</f>
        <v>อก.3/13</v>
      </c>
      <c r="E2206" s="2" t="str">
        <f>IFERROR(__xludf.DUMMYFUNCTION("""COMPUTED_VALUE"""),"หญิง")</f>
        <v>หญิง</v>
      </c>
      <c r="F2206" s="5" t="str">
        <f>IFERROR(__xludf.DUMMYFUNCTION("""COMPUTED_VALUE"""),"https://azizstan.net/student_image/24559.jpg")</f>
        <v>https://azizstan.net/student_image/24559.jpg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>
      <c r="A2207" s="3" t="str">
        <f>IFERROR(__xludf.DUMMYFUNCTION("""COMPUTED_VALUE"""),"24739")</f>
        <v>24739</v>
      </c>
      <c r="B2207" s="3" t="str">
        <f>IFERROR(__xludf.DUMMYFUNCTION("""COMPUTED_VALUE"""),"น.ส.คอดีเย๊าะ แวสะแม")</f>
        <v>น.ส.คอดีเย๊าะ แวสะแม</v>
      </c>
      <c r="C2207" s="3" t="str">
        <f>IFERROR(__xludf.DUMMYFUNCTION("""COMPUTED_VALUE"""),"ม.6/3")</f>
        <v>ม.6/3</v>
      </c>
      <c r="D2207" s="3" t="str">
        <f>IFERROR(__xludf.DUMMYFUNCTION("""COMPUTED_VALUE"""),"อป.3/1")</f>
        <v>อป.3/1</v>
      </c>
      <c r="E2207" s="2" t="str">
        <f>IFERROR(__xludf.DUMMYFUNCTION("""COMPUTED_VALUE"""),"หญิง")</f>
        <v>หญิง</v>
      </c>
      <c r="F2207" s="5" t="str">
        <f>IFERROR(__xludf.DUMMYFUNCTION("""COMPUTED_VALUE"""),"https://azizstan.net/student_image/24739.jpg")</f>
        <v>https://azizstan.net/student_image/24739.jpg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>
      <c r="A2208" s="3" t="str">
        <f>IFERROR(__xludf.DUMMYFUNCTION("""COMPUTED_VALUE"""),"24741")</f>
        <v>24741</v>
      </c>
      <c r="B2208" s="3" t="str">
        <f>IFERROR(__xludf.DUMMYFUNCTION("""COMPUTED_VALUE"""),"น.ส.กัลยารัตน์ สาอิ")</f>
        <v>น.ส.กัลยารัตน์ สาอิ</v>
      </c>
      <c r="C2208" s="3" t="str">
        <f>IFERROR(__xludf.DUMMYFUNCTION("""COMPUTED_VALUE"""),"ม.6/3")</f>
        <v>ม.6/3</v>
      </c>
      <c r="D2208" s="3" t="str">
        <f>IFERROR(__xludf.DUMMYFUNCTION("""COMPUTED_VALUE"""),"อก.3/13")</f>
        <v>อก.3/13</v>
      </c>
      <c r="E2208" s="2" t="str">
        <f>IFERROR(__xludf.DUMMYFUNCTION("""COMPUTED_VALUE"""),"หญิง")</f>
        <v>หญิง</v>
      </c>
      <c r="F2208" s="5" t="str">
        <f>IFERROR(__xludf.DUMMYFUNCTION("""COMPUTED_VALUE"""),"https://azizstan.net/student_image/24741.jpg")</f>
        <v>https://azizstan.net/student_image/24741.jpg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>
      <c r="A2209" s="3" t="str">
        <f>IFERROR(__xludf.DUMMYFUNCTION("""COMPUTED_VALUE"""),"24750")</f>
        <v>24750</v>
      </c>
      <c r="B2209" s="3" t="str">
        <f>IFERROR(__xludf.DUMMYFUNCTION("""COMPUTED_VALUE"""),"น.ส.ซัซวานี หลังปาปัน")</f>
        <v>น.ส.ซัซวานี หลังปาปัน</v>
      </c>
      <c r="C2209" s="3" t="str">
        <f>IFERROR(__xludf.DUMMYFUNCTION("""COMPUTED_VALUE"""),"ม.6/3")</f>
        <v>ม.6/3</v>
      </c>
      <c r="D2209" s="3" t="str">
        <f>IFERROR(__xludf.DUMMYFUNCTION("""COMPUTED_VALUE"""),"อป.1/3")</f>
        <v>อป.1/3</v>
      </c>
      <c r="E2209" s="2" t="str">
        <f>IFERROR(__xludf.DUMMYFUNCTION("""COMPUTED_VALUE"""),"หญิง")</f>
        <v>หญิง</v>
      </c>
      <c r="F2209" s="5" t="str">
        <f>IFERROR(__xludf.DUMMYFUNCTION("""COMPUTED_VALUE"""),"https://azizstan.net/student_image/24750.jpg")</f>
        <v>https://azizstan.net/student_image/24750.jpg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>
      <c r="A2210" s="3" t="str">
        <f>IFERROR(__xludf.DUMMYFUNCTION("""COMPUTED_VALUE"""),"24787")</f>
        <v>24787</v>
      </c>
      <c r="B2210" s="3" t="str">
        <f>IFERROR(__xludf.DUMMYFUNCTION("""COMPUTED_VALUE"""),"น.ส.นัรมีน สะแลแม")</f>
        <v>น.ส.นัรมีน สะแลแม</v>
      </c>
      <c r="C2210" s="3" t="str">
        <f>IFERROR(__xludf.DUMMYFUNCTION("""COMPUTED_VALUE"""),"ม.6/3")</f>
        <v>ม.6/3</v>
      </c>
      <c r="D2210" s="3" t="str">
        <f>IFERROR(__xludf.DUMMYFUNCTION("""COMPUTED_VALUE"""),"อก.3/13")</f>
        <v>อก.3/13</v>
      </c>
      <c r="E2210" s="2" t="str">
        <f>IFERROR(__xludf.DUMMYFUNCTION("""COMPUTED_VALUE"""),"หญิง")</f>
        <v>หญิง</v>
      </c>
      <c r="F2210" s="5" t="str">
        <f>IFERROR(__xludf.DUMMYFUNCTION("""COMPUTED_VALUE"""),"https://azizstan.net/student_image/24787.jpg")</f>
        <v>https://azizstan.net/student_image/24787.jpg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>
      <c r="A2211" s="3" t="str">
        <f>IFERROR(__xludf.DUMMYFUNCTION("""COMPUTED_VALUE"""),"24947")</f>
        <v>24947</v>
      </c>
      <c r="B2211" s="3" t="str">
        <f>IFERROR(__xludf.DUMMYFUNCTION("""COMPUTED_VALUE"""),"น.ส.นูรฮายาตี เจะแต")</f>
        <v>น.ส.นูรฮายาตี เจะแต</v>
      </c>
      <c r="C2211" s="3" t="str">
        <f>IFERROR(__xludf.DUMMYFUNCTION("""COMPUTED_VALUE"""),"ม.6/3")</f>
        <v>ม.6/3</v>
      </c>
      <c r="D2211" s="3" t="str">
        <f>IFERROR(__xludf.DUMMYFUNCTION("""COMPUTED_VALUE"""),"อป.3/1")</f>
        <v>อป.3/1</v>
      </c>
      <c r="E2211" s="2" t="str">
        <f>IFERROR(__xludf.DUMMYFUNCTION("""COMPUTED_VALUE"""),"หญิง")</f>
        <v>หญิง</v>
      </c>
      <c r="F2211" s="5" t="str">
        <f>IFERROR(__xludf.DUMMYFUNCTION("""COMPUTED_VALUE"""),"https://azizstan.net/student_image/24947.jpg")</f>
        <v>https://azizstan.net/student_image/24947.jpg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>
      <c r="A2212" s="3" t="str">
        <f>IFERROR(__xludf.DUMMYFUNCTION("""COMPUTED_VALUE"""),"25027")</f>
        <v>25027</v>
      </c>
      <c r="B2212" s="3" t="str">
        <f>IFERROR(__xludf.DUMMYFUNCTION("""COMPUTED_VALUE"""),"น.ส.นิฟาตีมะ สะมะแอ")</f>
        <v>น.ส.นิฟาตีมะ สะมะแอ</v>
      </c>
      <c r="C2212" s="3" t="str">
        <f>IFERROR(__xludf.DUMMYFUNCTION("""COMPUTED_VALUE"""),"ม.6/3")</f>
        <v>ม.6/3</v>
      </c>
      <c r="D2212" s="3" t="str">
        <f>IFERROR(__xludf.DUMMYFUNCTION("""COMPUTED_VALUE"""),"อป.3/1")</f>
        <v>อป.3/1</v>
      </c>
      <c r="E2212" s="2" t="str">
        <f>IFERROR(__xludf.DUMMYFUNCTION("""COMPUTED_VALUE"""),"หญิง")</f>
        <v>หญิง</v>
      </c>
      <c r="F2212" s="5" t="str">
        <f>IFERROR(__xludf.DUMMYFUNCTION("""COMPUTED_VALUE"""),"https://azizstan.net/student_image/25027.jpg")</f>
        <v>https://azizstan.net/student_image/25027.jpg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>
      <c r="A2213" s="3" t="str">
        <f>IFERROR(__xludf.DUMMYFUNCTION("""COMPUTED_VALUE"""),"25117")</f>
        <v>25117</v>
      </c>
      <c r="B2213" s="3" t="str">
        <f>IFERROR(__xludf.DUMMYFUNCTION("""COMPUTED_VALUE"""),"น.ส.ซีรีน เหมมินทร์")</f>
        <v>น.ส.ซีรีน เหมมินทร์</v>
      </c>
      <c r="C2213" s="3" t="str">
        <f>IFERROR(__xludf.DUMMYFUNCTION("""COMPUTED_VALUE"""),"ม.6/3")</f>
        <v>ม.6/3</v>
      </c>
      <c r="D2213" s="3" t="str">
        <f>IFERROR(__xludf.DUMMYFUNCTION("""COMPUTED_VALUE"""),"อก.3/13")</f>
        <v>อก.3/13</v>
      </c>
      <c r="E2213" s="2" t="str">
        <f>IFERROR(__xludf.DUMMYFUNCTION("""COMPUTED_VALUE"""),"หญิง")</f>
        <v>หญิง</v>
      </c>
      <c r="F2213" s="5" t="str">
        <f>IFERROR(__xludf.DUMMYFUNCTION("""COMPUTED_VALUE"""),"https://azizstan.net/student_image/25117.jpg")</f>
        <v>https://azizstan.net/student_image/25117.jpg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>
      <c r="A2214" s="3" t="str">
        <f>IFERROR(__xludf.DUMMYFUNCTION("""COMPUTED_VALUE"""),"25179")</f>
        <v>25179</v>
      </c>
      <c r="B2214" s="3" t="str">
        <f>IFERROR(__xludf.DUMMYFUNCTION("""COMPUTED_VALUE"""),"น.ส.ซอฟะ ดิง")</f>
        <v>น.ส.ซอฟะ ดิง</v>
      </c>
      <c r="C2214" s="3" t="str">
        <f>IFERROR(__xludf.DUMMYFUNCTION("""COMPUTED_VALUE"""),"ม.6/3")</f>
        <v>ม.6/3</v>
      </c>
      <c r="D2214" s="3" t="str">
        <f>IFERROR(__xludf.DUMMYFUNCTION("""COMPUTED_VALUE"""),"อป.3/1")</f>
        <v>อป.3/1</v>
      </c>
      <c r="E2214" s="2" t="str">
        <f>IFERROR(__xludf.DUMMYFUNCTION("""COMPUTED_VALUE"""),"หญิง")</f>
        <v>หญิง</v>
      </c>
      <c r="F2214" s="5" t="str">
        <f>IFERROR(__xludf.DUMMYFUNCTION("""COMPUTED_VALUE"""),"https://azizstan.net/student_image/25179.jpg")</f>
        <v>https://azizstan.net/student_image/25179.jpg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>
      <c r="A2215" s="3" t="str">
        <f>IFERROR(__xludf.DUMMYFUNCTION("""COMPUTED_VALUE"""),"25279")</f>
        <v>25279</v>
      </c>
      <c r="B2215" s="3" t="str">
        <f>IFERROR(__xludf.DUMMYFUNCTION("""COMPUTED_VALUE"""),"น.ส.โซรัยญา ละแมะสะ")</f>
        <v>น.ส.โซรัยญา ละแมะสะ</v>
      </c>
      <c r="C2215" s="3" t="str">
        <f>IFERROR(__xludf.DUMMYFUNCTION("""COMPUTED_VALUE"""),"ม.6/3")</f>
        <v>ม.6/3</v>
      </c>
      <c r="D2215" s="3" t="str">
        <f>IFERROR(__xludf.DUMMYFUNCTION("""COMPUTED_VALUE"""),"อป.2/1")</f>
        <v>อป.2/1</v>
      </c>
      <c r="E2215" s="2" t="str">
        <f>IFERROR(__xludf.DUMMYFUNCTION("""COMPUTED_VALUE"""),"หญิง")</f>
        <v>หญิง</v>
      </c>
      <c r="F2215" s="5" t="str">
        <f>IFERROR(__xludf.DUMMYFUNCTION("""COMPUTED_VALUE"""),"https://azizstan.net/student_image/25279.jpg")</f>
        <v>https://azizstan.net/student_image/25279.jpg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>
      <c r="A2216" s="3" t="str">
        <f>IFERROR(__xludf.DUMMYFUNCTION("""COMPUTED_VALUE"""),"25299")</f>
        <v>25299</v>
      </c>
      <c r="B2216" s="3" t="str">
        <f>IFERROR(__xludf.DUMMYFUNCTION("""COMPUTED_VALUE"""),"น.ส.เปรมศิณี หัดเลาะ")</f>
        <v>น.ส.เปรมศิณี หัดเลาะ</v>
      </c>
      <c r="C2216" s="3" t="str">
        <f>IFERROR(__xludf.DUMMYFUNCTION("""COMPUTED_VALUE"""),"ม.6/3")</f>
        <v>ม.6/3</v>
      </c>
      <c r="D2216" s="3" t="str">
        <f>IFERROR(__xludf.DUMMYFUNCTION("""COMPUTED_VALUE"""),"อป.2/1")</f>
        <v>อป.2/1</v>
      </c>
      <c r="E2216" s="2" t="str">
        <f>IFERROR(__xludf.DUMMYFUNCTION("""COMPUTED_VALUE"""),"หญิง")</f>
        <v>หญิง</v>
      </c>
      <c r="F2216" s="5" t="str">
        <f>IFERROR(__xludf.DUMMYFUNCTION("""COMPUTED_VALUE"""),"https://azizstan.net/student_image/25299.jpg")</f>
        <v>https://azizstan.net/student_image/25299.jpg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>
      <c r="A2217" s="3" t="str">
        <f>IFERROR(__xludf.DUMMYFUNCTION("""COMPUTED_VALUE"""),"25789")</f>
        <v>25789</v>
      </c>
      <c r="B2217" s="3" t="str">
        <f>IFERROR(__xludf.DUMMYFUNCTION("""COMPUTED_VALUE"""),"น.ส.ซูลฟา สะมุดิง")</f>
        <v>น.ส.ซูลฟา สะมุดิง</v>
      </c>
      <c r="C2217" s="3" t="str">
        <f>IFERROR(__xludf.DUMMYFUNCTION("""COMPUTED_VALUE"""),"ม.6/3")</f>
        <v>ม.6/3</v>
      </c>
      <c r="D2217" s="3" t="str">
        <f>IFERROR(__xludf.DUMMYFUNCTION("""COMPUTED_VALUE"""),"อป.3/1")</f>
        <v>อป.3/1</v>
      </c>
      <c r="E2217" s="2" t="str">
        <f>IFERROR(__xludf.DUMMYFUNCTION("""COMPUTED_VALUE"""),"หญิง")</f>
        <v>หญิง</v>
      </c>
      <c r="F2217" s="5" t="str">
        <f>IFERROR(__xludf.DUMMYFUNCTION("""COMPUTED_VALUE"""),"https://azizstan.net/student_image/25789.jpg")</f>
        <v>https://azizstan.net/student_image/25789.jpg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>
      <c r="A2218" s="3" t="str">
        <f>IFERROR(__xludf.DUMMYFUNCTION("""COMPUTED_VALUE"""),"22654")</f>
        <v>22654</v>
      </c>
      <c r="B2218" s="3" t="str">
        <f>IFERROR(__xludf.DUMMYFUNCTION("""COMPUTED_VALUE"""),"น.ส.ฮันนาน บิลหลี")</f>
        <v>น.ส.ฮันนาน บิลหลี</v>
      </c>
      <c r="C2218" s="3" t="str">
        <f>IFERROR(__xludf.DUMMYFUNCTION("""COMPUTED_VALUE"""),"ม.6/4")</f>
        <v>ม.6/4</v>
      </c>
      <c r="D2218" s="3" t="str">
        <f>IFERROR(__xludf.DUMMYFUNCTION("""COMPUTED_VALUE"""),"อป.2/2")</f>
        <v>อป.2/2</v>
      </c>
      <c r="E2218" s="2" t="str">
        <f>IFERROR(__xludf.DUMMYFUNCTION("""COMPUTED_VALUE"""),"หญิง")</f>
        <v>หญิง</v>
      </c>
      <c r="F2218" s="5" t="str">
        <f>IFERROR(__xludf.DUMMYFUNCTION("""COMPUTED_VALUE"""),"https://azizstan.net/student_image/22654.jpg")</f>
        <v>https://azizstan.net/student_image/22654.jpg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>
      <c r="A2219" s="3" t="str">
        <f>IFERROR(__xludf.DUMMYFUNCTION("""COMPUTED_VALUE"""),"22665")</f>
        <v>22665</v>
      </c>
      <c r="B2219" s="3" t="str">
        <f>IFERROR(__xludf.DUMMYFUNCTION("""COMPUTED_VALUE"""),"น.ส.ฟาดีละห์ ปอสา")</f>
        <v>น.ส.ฟาดีละห์ ปอสา</v>
      </c>
      <c r="C2219" s="3" t="str">
        <f>IFERROR(__xludf.DUMMYFUNCTION("""COMPUTED_VALUE"""),"ม.6/4")</f>
        <v>ม.6/4</v>
      </c>
      <c r="D2219" s="3" t="str">
        <f>IFERROR(__xludf.DUMMYFUNCTION("""COMPUTED_VALUE"""),"อป.1/4")</f>
        <v>อป.1/4</v>
      </c>
      <c r="E2219" s="2" t="str">
        <f>IFERROR(__xludf.DUMMYFUNCTION("""COMPUTED_VALUE"""),"หญิง")</f>
        <v>หญิง</v>
      </c>
      <c r="F2219" s="5" t="str">
        <f>IFERROR(__xludf.DUMMYFUNCTION("""COMPUTED_VALUE"""),"https://azizstan.net/student_image/22665.jpg")</f>
        <v>https://azizstan.net/student_image/22665.jpg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>
      <c r="A2220" s="3" t="str">
        <f>IFERROR(__xludf.DUMMYFUNCTION("""COMPUTED_VALUE"""),"22695")</f>
        <v>22695</v>
      </c>
      <c r="B2220" s="3" t="str">
        <f>IFERROR(__xludf.DUMMYFUNCTION("""COMPUTED_VALUE"""),"น.ส.วันฮูดา มะมิง")</f>
        <v>น.ส.วันฮูดา มะมิง</v>
      </c>
      <c r="C2220" s="3" t="str">
        <f>IFERROR(__xludf.DUMMYFUNCTION("""COMPUTED_VALUE"""),"ม.6/4")</f>
        <v>ม.6/4</v>
      </c>
      <c r="D2220" s="3" t="str">
        <f>IFERROR(__xludf.DUMMYFUNCTION("""COMPUTED_VALUE"""),"อป.2/2")</f>
        <v>อป.2/2</v>
      </c>
      <c r="E2220" s="2" t="str">
        <f>IFERROR(__xludf.DUMMYFUNCTION("""COMPUTED_VALUE"""),"หญิง")</f>
        <v>หญิง</v>
      </c>
      <c r="F2220" s="5" t="str">
        <f>IFERROR(__xludf.DUMMYFUNCTION("""COMPUTED_VALUE"""),"https://azizstan.net/student_image/22695.jpg")</f>
        <v>https://azizstan.net/student_image/22695.jpg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>
      <c r="A2221" s="3" t="str">
        <f>IFERROR(__xludf.DUMMYFUNCTION("""COMPUTED_VALUE"""),"22704")</f>
        <v>22704</v>
      </c>
      <c r="B2221" s="3" t="str">
        <f>IFERROR(__xludf.DUMMYFUNCTION("""COMPUTED_VALUE"""),"น.ส.แวซูฮัยลา แวนุเซ็ง")</f>
        <v>น.ส.แวซูฮัยลา แวนุเซ็ง</v>
      </c>
      <c r="C2221" s="3" t="str">
        <f>IFERROR(__xludf.DUMMYFUNCTION("""COMPUTED_VALUE"""),"ม.6/4")</f>
        <v>ม.6/4</v>
      </c>
      <c r="D2221" s="3" t="str">
        <f>IFERROR(__xludf.DUMMYFUNCTION("""COMPUTED_VALUE"""),"อป.2/2")</f>
        <v>อป.2/2</v>
      </c>
      <c r="E2221" s="2" t="str">
        <f>IFERROR(__xludf.DUMMYFUNCTION("""COMPUTED_VALUE"""),"หญิง")</f>
        <v>หญิง</v>
      </c>
      <c r="F2221" s="5" t="str">
        <f>IFERROR(__xludf.DUMMYFUNCTION("""COMPUTED_VALUE"""),"https://azizstan.net/student_image/22704.jpg")</f>
        <v>https://azizstan.net/student_image/22704.jpg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>
      <c r="A2222" s="3" t="str">
        <f>IFERROR(__xludf.DUMMYFUNCTION("""COMPUTED_VALUE"""),"22716")</f>
        <v>22716</v>
      </c>
      <c r="B2222" s="3" t="str">
        <f>IFERROR(__xludf.DUMMYFUNCTION("""COMPUTED_VALUE"""),"น.ส.โรสมียาตี หะยีดาโอะ")</f>
        <v>น.ส.โรสมียาตี หะยีดาโอะ</v>
      </c>
      <c r="C2222" s="3" t="str">
        <f>IFERROR(__xludf.DUMMYFUNCTION("""COMPUTED_VALUE"""),"ม.6/4")</f>
        <v>ม.6/4</v>
      </c>
      <c r="D2222" s="3" t="str">
        <f>IFERROR(__xludf.DUMMYFUNCTION("""COMPUTED_VALUE"""),"อป.3/2")</f>
        <v>อป.3/2</v>
      </c>
      <c r="E2222" s="2" t="str">
        <f>IFERROR(__xludf.DUMMYFUNCTION("""COMPUTED_VALUE"""),"หญิง")</f>
        <v>หญิง</v>
      </c>
      <c r="F2222" s="5" t="str">
        <f>IFERROR(__xludf.DUMMYFUNCTION("""COMPUTED_VALUE"""),"https://azizstan.net/student_image/22716.jpg")</f>
        <v>https://azizstan.net/student_image/22716.jpg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>
      <c r="A2223" s="3" t="str">
        <f>IFERROR(__xludf.DUMMYFUNCTION("""COMPUTED_VALUE"""),"22750")</f>
        <v>22750</v>
      </c>
      <c r="B2223" s="3" t="str">
        <f>IFERROR(__xludf.DUMMYFUNCTION("""COMPUTED_VALUE"""),"น.ส.นูรฮายาตี อีแต")</f>
        <v>น.ส.นูรฮายาตี อีแต</v>
      </c>
      <c r="C2223" s="3" t="str">
        <f>IFERROR(__xludf.DUMMYFUNCTION("""COMPUTED_VALUE"""),"ม.6/4")</f>
        <v>ม.6/4</v>
      </c>
      <c r="D2223" s="3" t="str">
        <f>IFERROR(__xludf.DUMMYFUNCTION("""COMPUTED_VALUE"""),"อป.1/4")</f>
        <v>อป.1/4</v>
      </c>
      <c r="E2223" s="2" t="str">
        <f>IFERROR(__xludf.DUMMYFUNCTION("""COMPUTED_VALUE"""),"หญิง")</f>
        <v>หญิง</v>
      </c>
      <c r="F2223" s="5" t="str">
        <f>IFERROR(__xludf.DUMMYFUNCTION("""COMPUTED_VALUE"""),"https://azizstan.net/student_image/22750.jpg")</f>
        <v>https://azizstan.net/student_image/22750.jpg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>
      <c r="A2224" s="3" t="str">
        <f>IFERROR(__xludf.DUMMYFUNCTION("""COMPUTED_VALUE"""),"22754")</f>
        <v>22754</v>
      </c>
      <c r="B2224" s="3" t="str">
        <f>IFERROR(__xludf.DUMMYFUNCTION("""COMPUTED_VALUE"""),"น.ส.นิสรีน กาซอ")</f>
        <v>น.ส.นิสรีน กาซอ</v>
      </c>
      <c r="C2224" s="3" t="str">
        <f>IFERROR(__xludf.DUMMYFUNCTION("""COMPUTED_VALUE"""),"ม.6/4")</f>
        <v>ม.6/4</v>
      </c>
      <c r="D2224" s="3" t="str">
        <f>IFERROR(__xludf.DUMMYFUNCTION("""COMPUTED_VALUE"""),"อป.2/2")</f>
        <v>อป.2/2</v>
      </c>
      <c r="E2224" s="2" t="str">
        <f>IFERROR(__xludf.DUMMYFUNCTION("""COMPUTED_VALUE"""),"หญิง")</f>
        <v>หญิง</v>
      </c>
      <c r="F2224" s="5" t="str">
        <f>IFERROR(__xludf.DUMMYFUNCTION("""COMPUTED_VALUE"""),"https://azizstan.net/student_image/22754.jpg")</f>
        <v>https://azizstan.net/student_image/22754.jpg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>
      <c r="A2225" s="3" t="str">
        <f>IFERROR(__xludf.DUMMYFUNCTION("""COMPUTED_VALUE"""),"22766")</f>
        <v>22766</v>
      </c>
      <c r="B2225" s="3" t="str">
        <f>IFERROR(__xludf.DUMMYFUNCTION("""COMPUTED_VALUE"""),"น.ส.สุไรนา หะยีมะลี")</f>
        <v>น.ส.สุไรนา หะยีมะลี</v>
      </c>
      <c r="C2225" s="3" t="str">
        <f>IFERROR(__xludf.DUMMYFUNCTION("""COMPUTED_VALUE"""),"ม.6/4")</f>
        <v>ม.6/4</v>
      </c>
      <c r="D2225" s="3" t="str">
        <f>IFERROR(__xludf.DUMMYFUNCTION("""COMPUTED_VALUE"""),"อป.2/2")</f>
        <v>อป.2/2</v>
      </c>
      <c r="E2225" s="2" t="str">
        <f>IFERROR(__xludf.DUMMYFUNCTION("""COMPUTED_VALUE"""),"หญิง")</f>
        <v>หญิง</v>
      </c>
      <c r="F2225" s="5" t="str">
        <f>IFERROR(__xludf.DUMMYFUNCTION("""COMPUTED_VALUE"""),"https://azizstan.net/student_image/22766.jpg")</f>
        <v>https://azizstan.net/student_image/22766.jpg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>
      <c r="A2226" s="3" t="str">
        <f>IFERROR(__xludf.DUMMYFUNCTION("""COMPUTED_VALUE"""),"22767")</f>
        <v>22767</v>
      </c>
      <c r="B2226" s="3" t="str">
        <f>IFERROR(__xludf.DUMMYFUNCTION("""COMPUTED_VALUE"""),"น.ส.สุไรดา หะมะ")</f>
        <v>น.ส.สุไรดา หะมะ</v>
      </c>
      <c r="C2226" s="3" t="str">
        <f>IFERROR(__xludf.DUMMYFUNCTION("""COMPUTED_VALUE"""),"ม.6/4")</f>
        <v>ม.6/4</v>
      </c>
      <c r="D2226" s="3" t="str">
        <f>IFERROR(__xludf.DUMMYFUNCTION("""COMPUTED_VALUE"""),"อป.2/2")</f>
        <v>อป.2/2</v>
      </c>
      <c r="E2226" s="2" t="str">
        <f>IFERROR(__xludf.DUMMYFUNCTION("""COMPUTED_VALUE"""),"หญิง")</f>
        <v>หญิง</v>
      </c>
      <c r="F2226" s="5" t="str">
        <f>IFERROR(__xludf.DUMMYFUNCTION("""COMPUTED_VALUE"""),"https://azizstan.net/student_image/22767.jpg")</f>
        <v>https://azizstan.net/student_image/22767.jpg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>
      <c r="A2227" s="3" t="str">
        <f>IFERROR(__xludf.DUMMYFUNCTION("""COMPUTED_VALUE"""),"22776")</f>
        <v>22776</v>
      </c>
      <c r="B2227" s="3" t="str">
        <f>IFERROR(__xludf.DUMMYFUNCTION("""COMPUTED_VALUE"""),"น.ส.ฟิรดาวส์ ยามา")</f>
        <v>น.ส.ฟิรดาวส์ ยามา</v>
      </c>
      <c r="C2227" s="3" t="str">
        <f>IFERROR(__xludf.DUMMYFUNCTION("""COMPUTED_VALUE"""),"ม.6/4")</f>
        <v>ม.6/4</v>
      </c>
      <c r="D2227" s="3" t="str">
        <f>IFERROR(__xludf.DUMMYFUNCTION("""COMPUTED_VALUE"""),"อป.2/2")</f>
        <v>อป.2/2</v>
      </c>
      <c r="E2227" s="2" t="str">
        <f>IFERROR(__xludf.DUMMYFUNCTION("""COMPUTED_VALUE"""),"หญิง")</f>
        <v>หญิง</v>
      </c>
      <c r="F2227" s="5" t="str">
        <f>IFERROR(__xludf.DUMMYFUNCTION("""COMPUTED_VALUE"""),"https://azizstan.net/student_image/22776.jpg")</f>
        <v>https://azizstan.net/student_image/22776.jpg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>
      <c r="A2228" s="3" t="str">
        <f>IFERROR(__xludf.DUMMYFUNCTION("""COMPUTED_VALUE"""),"22780")</f>
        <v>22780</v>
      </c>
      <c r="B2228" s="3" t="str">
        <f>IFERROR(__xludf.DUMMYFUNCTION("""COMPUTED_VALUE"""),"น.ส.ต่วนนูรีฮัน ดอเลาะ")</f>
        <v>น.ส.ต่วนนูรีฮัน ดอเลาะ</v>
      </c>
      <c r="C2228" s="3" t="str">
        <f>IFERROR(__xludf.DUMMYFUNCTION("""COMPUTED_VALUE"""),"ม.6/4")</f>
        <v>ม.6/4</v>
      </c>
      <c r="D2228" s="3" t="str">
        <f>IFERROR(__xludf.DUMMYFUNCTION("""COMPUTED_VALUE"""),"อป.2/2")</f>
        <v>อป.2/2</v>
      </c>
      <c r="E2228" s="2" t="str">
        <f>IFERROR(__xludf.DUMMYFUNCTION("""COMPUTED_VALUE"""),"หญิง")</f>
        <v>หญิง</v>
      </c>
      <c r="F2228" s="5" t="str">
        <f>IFERROR(__xludf.DUMMYFUNCTION("""COMPUTED_VALUE"""),"https://azizstan.net/student_image/22780.jpg")</f>
        <v>https://azizstan.net/student_image/22780.jpg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>
      <c r="A2229" s="3" t="str">
        <f>IFERROR(__xludf.DUMMYFUNCTION("""COMPUTED_VALUE"""),"22782")</f>
        <v>22782</v>
      </c>
      <c r="B2229" s="3" t="str">
        <f>IFERROR(__xludf.DUMMYFUNCTION("""COMPUTED_VALUE"""),"น.ส.สีตีดียานา สาหะ")</f>
        <v>น.ส.สีตีดียานา สาหะ</v>
      </c>
      <c r="C2229" s="3" t="str">
        <f>IFERROR(__xludf.DUMMYFUNCTION("""COMPUTED_VALUE"""),"ม.6/4")</f>
        <v>ม.6/4</v>
      </c>
      <c r="D2229" s="3" t="str">
        <f>IFERROR(__xludf.DUMMYFUNCTION("""COMPUTED_VALUE"""),"อป.2/2")</f>
        <v>อป.2/2</v>
      </c>
      <c r="E2229" s="2" t="str">
        <f>IFERROR(__xludf.DUMMYFUNCTION("""COMPUTED_VALUE"""),"หญิง")</f>
        <v>หญิง</v>
      </c>
      <c r="F2229" s="5" t="str">
        <f>IFERROR(__xludf.DUMMYFUNCTION("""COMPUTED_VALUE"""),"https://azizstan.net/student_image/22782.jpg")</f>
        <v>https://azizstan.net/student_image/22782.jpg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>
      <c r="A2230" s="3" t="str">
        <f>IFERROR(__xludf.DUMMYFUNCTION("""COMPUTED_VALUE"""),"22799")</f>
        <v>22799</v>
      </c>
      <c r="B2230" s="3" t="str">
        <f>IFERROR(__xludf.DUMMYFUNCTION("""COMPUTED_VALUE"""),"น.ส.นูรอัยณีย์ มะดีเยาะ")</f>
        <v>น.ส.นูรอัยณีย์ มะดีเยาะ</v>
      </c>
      <c r="C2230" s="3" t="str">
        <f>IFERROR(__xludf.DUMMYFUNCTION("""COMPUTED_VALUE"""),"ม.6/4")</f>
        <v>ม.6/4</v>
      </c>
      <c r="D2230" s="3" t="str">
        <f>IFERROR(__xludf.DUMMYFUNCTION("""COMPUTED_VALUE"""),"อป.1/4")</f>
        <v>อป.1/4</v>
      </c>
      <c r="E2230" s="2" t="str">
        <f>IFERROR(__xludf.DUMMYFUNCTION("""COMPUTED_VALUE"""),"หญิง")</f>
        <v>หญิง</v>
      </c>
      <c r="F2230" s="5" t="str">
        <f>IFERROR(__xludf.DUMMYFUNCTION("""COMPUTED_VALUE"""),"https://azizstan.net/student_image/22799.jpg")</f>
        <v>https://azizstan.net/student_image/22799.jpg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>
      <c r="A2231" s="3" t="str">
        <f>IFERROR(__xludf.DUMMYFUNCTION("""COMPUTED_VALUE"""),"22815")</f>
        <v>22815</v>
      </c>
      <c r="B2231" s="3" t="str">
        <f>IFERROR(__xludf.DUMMYFUNCTION("""COMPUTED_VALUE"""),"น.ส.นุรูฮานีซ๊ะห์ เจะสนิ")</f>
        <v>น.ส.นุรูฮานีซ๊ะห์ เจะสนิ</v>
      </c>
      <c r="C2231" s="3" t="str">
        <f>IFERROR(__xludf.DUMMYFUNCTION("""COMPUTED_VALUE"""),"ม.6/4")</f>
        <v>ม.6/4</v>
      </c>
      <c r="D2231" s="3" t="str">
        <f>IFERROR(__xludf.DUMMYFUNCTION("""COMPUTED_VALUE"""),"อป.3/2")</f>
        <v>อป.3/2</v>
      </c>
      <c r="E2231" s="2" t="str">
        <f>IFERROR(__xludf.DUMMYFUNCTION("""COMPUTED_VALUE"""),"หญิง")</f>
        <v>หญิง</v>
      </c>
      <c r="F2231" s="5" t="str">
        <f>IFERROR(__xludf.DUMMYFUNCTION("""COMPUTED_VALUE"""),"https://azizstan.net/student_image/22815.jpg")</f>
        <v>https://azizstan.net/student_image/22815.jpg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>
      <c r="A2232" s="3" t="str">
        <f>IFERROR(__xludf.DUMMYFUNCTION("""COMPUTED_VALUE"""),"22832")</f>
        <v>22832</v>
      </c>
      <c r="B2232" s="3" t="str">
        <f>IFERROR(__xludf.DUMMYFUNCTION("""COMPUTED_VALUE"""),"น.ส.ศอฟาอ์ มะเส็นสะ")</f>
        <v>น.ส.ศอฟาอ์ มะเส็นสะ</v>
      </c>
      <c r="C2232" s="3" t="str">
        <f>IFERROR(__xludf.DUMMYFUNCTION("""COMPUTED_VALUE"""),"ม.6/4")</f>
        <v>ม.6/4</v>
      </c>
      <c r="D2232" s="3" t="str">
        <f>IFERROR(__xludf.DUMMYFUNCTION("""COMPUTED_VALUE"""),"อป.2/2")</f>
        <v>อป.2/2</v>
      </c>
      <c r="E2232" s="2" t="str">
        <f>IFERROR(__xludf.DUMMYFUNCTION("""COMPUTED_VALUE"""),"หญิง")</f>
        <v>หญิง</v>
      </c>
      <c r="F2232" s="5" t="str">
        <f>IFERROR(__xludf.DUMMYFUNCTION("""COMPUTED_VALUE"""),"https://azizstan.net/student_image/22832.jpg")</f>
        <v>https://azizstan.net/student_image/22832.jpg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>
      <c r="A2233" s="3" t="str">
        <f>IFERROR(__xludf.DUMMYFUNCTION("""COMPUTED_VALUE"""),"22848")</f>
        <v>22848</v>
      </c>
      <c r="B2233" s="3" t="str">
        <f>IFERROR(__xludf.DUMMYFUNCTION("""COMPUTED_VALUE"""),"น.ส.นูรอัยนี โตะมิง")</f>
        <v>น.ส.นูรอัยนี โตะมิง</v>
      </c>
      <c r="C2233" s="3" t="str">
        <f>IFERROR(__xludf.DUMMYFUNCTION("""COMPUTED_VALUE"""),"ม.6/4")</f>
        <v>ม.6/4</v>
      </c>
      <c r="D2233" s="3" t="str">
        <f>IFERROR(__xludf.DUMMYFUNCTION("""COMPUTED_VALUE"""),"อป.2/2")</f>
        <v>อป.2/2</v>
      </c>
      <c r="E2233" s="2" t="str">
        <f>IFERROR(__xludf.DUMMYFUNCTION("""COMPUTED_VALUE"""),"หญิง")</f>
        <v>หญิง</v>
      </c>
      <c r="F2233" s="5" t="str">
        <f>IFERROR(__xludf.DUMMYFUNCTION("""COMPUTED_VALUE"""),"https://azizstan.net/student_image/22848.jpg")</f>
        <v>https://azizstan.net/student_image/22848.jpg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>
      <c r="A2234" s="3" t="str">
        <f>IFERROR(__xludf.DUMMYFUNCTION("""COMPUTED_VALUE"""),"22922")</f>
        <v>22922</v>
      </c>
      <c r="B2234" s="3" t="str">
        <f>IFERROR(__xludf.DUMMYFUNCTION("""COMPUTED_VALUE"""),"น.ส.นูรีดา บ่อเตย")</f>
        <v>น.ส.นูรีดา บ่อเตย</v>
      </c>
      <c r="C2234" s="3" t="str">
        <f>IFERROR(__xludf.DUMMYFUNCTION("""COMPUTED_VALUE"""),"ม.6/4")</f>
        <v>ม.6/4</v>
      </c>
      <c r="D2234" s="3" t="str">
        <f>IFERROR(__xludf.DUMMYFUNCTION("""COMPUTED_VALUE"""),"อป.2/2")</f>
        <v>อป.2/2</v>
      </c>
      <c r="E2234" s="2" t="str">
        <f>IFERROR(__xludf.DUMMYFUNCTION("""COMPUTED_VALUE"""),"หญิง")</f>
        <v>หญิง</v>
      </c>
      <c r="F2234" s="5" t="str">
        <f>IFERROR(__xludf.DUMMYFUNCTION("""COMPUTED_VALUE"""),"https://azizstan.net/student_image/22922.jpg")</f>
        <v>https://azizstan.net/student_image/22922.jpg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>
      <c r="A2235" s="3" t="str">
        <f>IFERROR(__xludf.DUMMYFUNCTION("""COMPUTED_VALUE"""),"22934")</f>
        <v>22934</v>
      </c>
      <c r="B2235" s="3" t="str">
        <f>IFERROR(__xludf.DUMMYFUNCTION("""COMPUTED_VALUE"""),"น.ส.ฟาตอนะห์ ยามิง")</f>
        <v>น.ส.ฟาตอนะห์ ยามิง</v>
      </c>
      <c r="C2235" s="3" t="str">
        <f>IFERROR(__xludf.DUMMYFUNCTION("""COMPUTED_VALUE"""),"ม.6/4")</f>
        <v>ม.6/4</v>
      </c>
      <c r="D2235" s="3" t="str">
        <f>IFERROR(__xludf.DUMMYFUNCTION("""COMPUTED_VALUE"""),"อป.1/4")</f>
        <v>อป.1/4</v>
      </c>
      <c r="E2235" s="2" t="str">
        <f>IFERROR(__xludf.DUMMYFUNCTION("""COMPUTED_VALUE"""),"หญิง")</f>
        <v>หญิง</v>
      </c>
      <c r="F2235" s="5" t="str">
        <f>IFERROR(__xludf.DUMMYFUNCTION("""COMPUTED_VALUE"""),"https://azizstan.net/student_image/22934.jpg")</f>
        <v>https://azizstan.net/student_image/22934.jpg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>
      <c r="A2236" s="3" t="str">
        <f>IFERROR(__xludf.DUMMYFUNCTION("""COMPUTED_VALUE"""),"22935")</f>
        <v>22935</v>
      </c>
      <c r="B2236" s="3" t="str">
        <f>IFERROR(__xludf.DUMMYFUNCTION("""COMPUTED_VALUE"""),"น.ส.ซูซานา สาอิ")</f>
        <v>น.ส.ซูซานา สาอิ</v>
      </c>
      <c r="C2236" s="3" t="str">
        <f>IFERROR(__xludf.DUMMYFUNCTION("""COMPUTED_VALUE"""),"ม.6/4")</f>
        <v>ม.6/4</v>
      </c>
      <c r="D2236" s="3" t="str">
        <f>IFERROR(__xludf.DUMMYFUNCTION("""COMPUTED_VALUE"""),"อป.2/2")</f>
        <v>อป.2/2</v>
      </c>
      <c r="E2236" s="2" t="str">
        <f>IFERROR(__xludf.DUMMYFUNCTION("""COMPUTED_VALUE"""),"หญิง")</f>
        <v>หญิง</v>
      </c>
      <c r="F2236" s="5" t="str">
        <f>IFERROR(__xludf.DUMMYFUNCTION("""COMPUTED_VALUE"""),"https://azizstan.net/student_image/22935.jpg")</f>
        <v>https://azizstan.net/student_image/22935.jpg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>
      <c r="A2237" s="3" t="str">
        <f>IFERROR(__xludf.DUMMYFUNCTION("""COMPUTED_VALUE"""),"22961")</f>
        <v>22961</v>
      </c>
      <c r="B2237" s="3" t="str">
        <f>IFERROR(__xludf.DUMMYFUNCTION("""COMPUTED_VALUE"""),"น.ส.ซาบีเราะห์ มะดีเยาะ")</f>
        <v>น.ส.ซาบีเราะห์ มะดีเยาะ</v>
      </c>
      <c r="C2237" s="3" t="str">
        <f>IFERROR(__xludf.DUMMYFUNCTION("""COMPUTED_VALUE"""),"ม.6/4")</f>
        <v>ม.6/4</v>
      </c>
      <c r="D2237" s="3" t="str">
        <f>IFERROR(__xludf.DUMMYFUNCTION("""COMPUTED_VALUE"""),"อก.3/16")</f>
        <v>อก.3/16</v>
      </c>
      <c r="E2237" s="2" t="str">
        <f>IFERROR(__xludf.DUMMYFUNCTION("""COMPUTED_VALUE"""),"หญิง")</f>
        <v>หญิง</v>
      </c>
      <c r="F2237" s="5" t="str">
        <f>IFERROR(__xludf.DUMMYFUNCTION("""COMPUTED_VALUE"""),"https://azizstan.net/student_image/22961.jpg")</f>
        <v>https://azizstan.net/student_image/22961.jpg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>
      <c r="A2238" s="3" t="str">
        <f>IFERROR(__xludf.DUMMYFUNCTION("""COMPUTED_VALUE"""),"22978")</f>
        <v>22978</v>
      </c>
      <c r="B2238" s="3" t="str">
        <f>IFERROR(__xludf.DUMMYFUNCTION("""COMPUTED_VALUE"""),"น.ส.ชลธิชา มิ่งแม้น")</f>
        <v>น.ส.ชลธิชา มิ่งแม้น</v>
      </c>
      <c r="C2238" s="3" t="str">
        <f>IFERROR(__xludf.DUMMYFUNCTION("""COMPUTED_VALUE"""),"ม.6/4")</f>
        <v>ม.6/4</v>
      </c>
      <c r="D2238" s="3" t="str">
        <f>IFERROR(__xludf.DUMMYFUNCTION("""COMPUTED_VALUE"""),"อก.3/16")</f>
        <v>อก.3/16</v>
      </c>
      <c r="E2238" s="2" t="str">
        <f>IFERROR(__xludf.DUMMYFUNCTION("""COMPUTED_VALUE"""),"หญิง")</f>
        <v>หญิง</v>
      </c>
      <c r="F2238" s="5" t="str">
        <f>IFERROR(__xludf.DUMMYFUNCTION("""COMPUTED_VALUE"""),"https://azizstan.net/student_image/22978.jpg")</f>
        <v>https://azizstan.net/student_image/22978.jpg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>
      <c r="A2239" s="3" t="str">
        <f>IFERROR(__xludf.DUMMYFUNCTION("""COMPUTED_VALUE"""),"22987")</f>
        <v>22987</v>
      </c>
      <c r="B2239" s="3" t="str">
        <f>IFERROR(__xludf.DUMMYFUNCTION("""COMPUTED_VALUE"""),"น.ส.นูรไฮดา หมัดยาดำ")</f>
        <v>น.ส.นูรไฮดา หมัดยาดำ</v>
      </c>
      <c r="C2239" s="3" t="str">
        <f>IFERROR(__xludf.DUMMYFUNCTION("""COMPUTED_VALUE"""),"ม.6/4")</f>
        <v>ม.6/4</v>
      </c>
      <c r="D2239" s="3" t="str">
        <f>IFERROR(__xludf.DUMMYFUNCTION("""COMPUTED_VALUE"""),"อป.3/2")</f>
        <v>อป.3/2</v>
      </c>
      <c r="E2239" s="2" t="str">
        <f>IFERROR(__xludf.DUMMYFUNCTION("""COMPUTED_VALUE"""),"หญิง")</f>
        <v>หญิง</v>
      </c>
      <c r="F2239" s="5" t="str">
        <f>IFERROR(__xludf.DUMMYFUNCTION("""COMPUTED_VALUE"""),"https://azizstan.net/student_image/22987.jpg")</f>
        <v>https://azizstan.net/student_image/22987.jpg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>
      <c r="A2240" s="3" t="str">
        <f>IFERROR(__xludf.DUMMYFUNCTION("""COMPUTED_VALUE"""),"23014")</f>
        <v>23014</v>
      </c>
      <c r="B2240" s="3" t="str">
        <f>IFERROR(__xludf.DUMMYFUNCTION("""COMPUTED_VALUE"""),"น.ส.ซิลมี ปะจู")</f>
        <v>น.ส.ซิลมี ปะจู</v>
      </c>
      <c r="C2240" s="3" t="str">
        <f>IFERROR(__xludf.DUMMYFUNCTION("""COMPUTED_VALUE"""),"ม.6/4")</f>
        <v>ม.6/4</v>
      </c>
      <c r="D2240" s="3" t="str">
        <f>IFERROR(__xludf.DUMMYFUNCTION("""COMPUTED_VALUE"""),"อป.2/2")</f>
        <v>อป.2/2</v>
      </c>
      <c r="E2240" s="2" t="str">
        <f>IFERROR(__xludf.DUMMYFUNCTION("""COMPUTED_VALUE"""),"หญิง")</f>
        <v>หญิง</v>
      </c>
      <c r="F2240" s="5" t="str">
        <f>IFERROR(__xludf.DUMMYFUNCTION("""COMPUTED_VALUE"""),"https://azizstan.net/student_image/23014.jpg")</f>
        <v>https://azizstan.net/student_image/23014.jpg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>
      <c r="A2241" s="3" t="str">
        <f>IFERROR(__xludf.DUMMYFUNCTION("""COMPUTED_VALUE"""),"23095")</f>
        <v>23095</v>
      </c>
      <c r="B2241" s="3" t="str">
        <f>IFERROR(__xludf.DUMMYFUNCTION("""COMPUTED_VALUE"""),"น.ส.ซารีน่า โอล่า")</f>
        <v>น.ส.ซารีน่า โอล่า</v>
      </c>
      <c r="C2241" s="3" t="str">
        <f>IFERROR(__xludf.DUMMYFUNCTION("""COMPUTED_VALUE"""),"ม.6/4")</f>
        <v>ม.6/4</v>
      </c>
      <c r="D2241" s="3" t="str">
        <f>IFERROR(__xludf.DUMMYFUNCTION("""COMPUTED_VALUE"""),"อก.3/14")</f>
        <v>อก.3/14</v>
      </c>
      <c r="E2241" s="2" t="str">
        <f>IFERROR(__xludf.DUMMYFUNCTION("""COMPUTED_VALUE"""),"หญิง")</f>
        <v>หญิง</v>
      </c>
      <c r="F2241" s="5" t="str">
        <f>IFERROR(__xludf.DUMMYFUNCTION("""COMPUTED_VALUE"""),"https://azizstan.net/student_image/23095.jpg")</f>
        <v>https://azizstan.net/student_image/23095.jpg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>
      <c r="A2242" s="3" t="str">
        <f>IFERROR(__xludf.DUMMYFUNCTION("""COMPUTED_VALUE"""),"23128")</f>
        <v>23128</v>
      </c>
      <c r="B2242" s="3" t="str">
        <f>IFERROR(__xludf.DUMMYFUNCTION("""COMPUTED_VALUE"""),"น.ส.พาวาตี เจ๊ะอีแต")</f>
        <v>น.ส.พาวาตี เจ๊ะอีแต</v>
      </c>
      <c r="C2242" s="3" t="str">
        <f>IFERROR(__xludf.DUMMYFUNCTION("""COMPUTED_VALUE"""),"ม.6/4")</f>
        <v>ม.6/4</v>
      </c>
      <c r="D2242" s="3" t="str">
        <f>IFERROR(__xludf.DUMMYFUNCTION("""COMPUTED_VALUE"""),"อป.2/2")</f>
        <v>อป.2/2</v>
      </c>
      <c r="E2242" s="2" t="str">
        <f>IFERROR(__xludf.DUMMYFUNCTION("""COMPUTED_VALUE"""),"หญิง")</f>
        <v>หญิง</v>
      </c>
      <c r="F2242" s="5" t="str">
        <f>IFERROR(__xludf.DUMMYFUNCTION("""COMPUTED_VALUE"""),"https://azizstan.net/student_image/23128.jpg")</f>
        <v>https://azizstan.net/student_image/23128.jpg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>
      <c r="A2243" s="3" t="str">
        <f>IFERROR(__xludf.DUMMYFUNCTION("""COMPUTED_VALUE"""),"23132")</f>
        <v>23132</v>
      </c>
      <c r="B2243" s="3" t="str">
        <f>IFERROR(__xludf.DUMMYFUNCTION("""COMPUTED_VALUE"""),"น.ส.ฮาพีซัน กาซอ")</f>
        <v>น.ส.ฮาพีซัน กาซอ</v>
      </c>
      <c r="C2243" s="3" t="str">
        <f>IFERROR(__xludf.DUMMYFUNCTION("""COMPUTED_VALUE"""),"ม.6/4")</f>
        <v>ม.6/4</v>
      </c>
      <c r="D2243" s="3" t="str">
        <f>IFERROR(__xludf.DUMMYFUNCTION("""COMPUTED_VALUE"""),"อป.2/2")</f>
        <v>อป.2/2</v>
      </c>
      <c r="E2243" s="2" t="str">
        <f>IFERROR(__xludf.DUMMYFUNCTION("""COMPUTED_VALUE"""),"หญิง")</f>
        <v>หญิง</v>
      </c>
      <c r="F2243" s="5" t="str">
        <f>IFERROR(__xludf.DUMMYFUNCTION("""COMPUTED_VALUE"""),"https://azizstan.net/student_image/23132.jpg")</f>
        <v>https://azizstan.net/student_image/23132.jpg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>
      <c r="A2244" s="3" t="str">
        <f>IFERROR(__xludf.DUMMYFUNCTION("""COMPUTED_VALUE"""),"23152")</f>
        <v>23152</v>
      </c>
      <c r="B2244" s="3" t="str">
        <f>IFERROR(__xludf.DUMMYFUNCTION("""COMPUTED_VALUE"""),"น.ส.อาวาฏิฟ สะลิมิง")</f>
        <v>น.ส.อาวาฏิฟ สะลิมิง</v>
      </c>
      <c r="C2244" s="3" t="str">
        <f>IFERROR(__xludf.DUMMYFUNCTION("""COMPUTED_VALUE"""),"ม.6/4")</f>
        <v>ม.6/4</v>
      </c>
      <c r="D2244" s="3" t="str">
        <f>IFERROR(__xludf.DUMMYFUNCTION("""COMPUTED_VALUE"""),"อป.3/2")</f>
        <v>อป.3/2</v>
      </c>
      <c r="E2244" s="2" t="str">
        <f>IFERROR(__xludf.DUMMYFUNCTION("""COMPUTED_VALUE"""),"หญิง")</f>
        <v>หญิง</v>
      </c>
      <c r="F2244" s="5" t="str">
        <f>IFERROR(__xludf.DUMMYFUNCTION("""COMPUTED_VALUE"""),"https://azizstan.net/student_image/23152.jpg")</f>
        <v>https://azizstan.net/student_image/23152.jpg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>
      <c r="A2245" s="3" t="str">
        <f>IFERROR(__xludf.DUMMYFUNCTION("""COMPUTED_VALUE"""),"23155")</f>
        <v>23155</v>
      </c>
      <c r="B2245" s="3" t="str">
        <f>IFERROR(__xludf.DUMMYFUNCTION("""COMPUTED_VALUE"""),"น.ส.การีมะฮ์ ตาเยะ")</f>
        <v>น.ส.การีมะฮ์ ตาเยะ</v>
      </c>
      <c r="C2245" s="3" t="str">
        <f>IFERROR(__xludf.DUMMYFUNCTION("""COMPUTED_VALUE"""),"ม.6/4")</f>
        <v>ม.6/4</v>
      </c>
      <c r="D2245" s="3" t="str">
        <f>IFERROR(__xludf.DUMMYFUNCTION("""COMPUTED_VALUE"""),"อป.2/2")</f>
        <v>อป.2/2</v>
      </c>
      <c r="E2245" s="2" t="str">
        <f>IFERROR(__xludf.DUMMYFUNCTION("""COMPUTED_VALUE"""),"หญิง")</f>
        <v>หญิง</v>
      </c>
      <c r="F2245" s="5" t="str">
        <f>IFERROR(__xludf.DUMMYFUNCTION("""COMPUTED_VALUE"""),"https://azizstan.net/student_image/23155.jpg")</f>
        <v>https://azizstan.net/student_image/23155.jpg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>
      <c r="A2246" s="3" t="str">
        <f>IFERROR(__xludf.DUMMYFUNCTION("""COMPUTED_VALUE"""),"23225")</f>
        <v>23225</v>
      </c>
      <c r="B2246" s="3" t="str">
        <f>IFERROR(__xludf.DUMMYFUNCTION("""COMPUTED_VALUE"""),"น.ส.ฟิรดาวส์ เตาะมะ")</f>
        <v>น.ส.ฟิรดาวส์ เตาะมะ</v>
      </c>
      <c r="C2246" s="3" t="str">
        <f>IFERROR(__xludf.DUMMYFUNCTION("""COMPUTED_VALUE"""),"ม.6/4")</f>
        <v>ม.6/4</v>
      </c>
      <c r="D2246" s="3" t="str">
        <f>IFERROR(__xludf.DUMMYFUNCTION("""COMPUTED_VALUE"""),"อก.3/16")</f>
        <v>อก.3/16</v>
      </c>
      <c r="E2246" s="2" t="str">
        <f>IFERROR(__xludf.DUMMYFUNCTION("""COMPUTED_VALUE"""),"หญิง")</f>
        <v>หญิง</v>
      </c>
      <c r="F2246" s="5" t="str">
        <f>IFERROR(__xludf.DUMMYFUNCTION("""COMPUTED_VALUE"""),"https://azizstan.net/student_image/23225.jpg")</f>
        <v>https://azizstan.net/student_image/23225.jpg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>
      <c r="A2247" s="3" t="str">
        <f>IFERROR(__xludf.DUMMYFUNCTION("""COMPUTED_VALUE"""),"23254")</f>
        <v>23254</v>
      </c>
      <c r="B2247" s="3" t="str">
        <f>IFERROR(__xludf.DUMMYFUNCTION("""COMPUTED_VALUE"""),"น.ส.อาฟีฟะฮ์ ดามัน")</f>
        <v>น.ส.อาฟีฟะฮ์ ดามัน</v>
      </c>
      <c r="C2247" s="3" t="str">
        <f>IFERROR(__xludf.DUMMYFUNCTION("""COMPUTED_VALUE"""),"ม.6/4")</f>
        <v>ม.6/4</v>
      </c>
      <c r="D2247" s="3" t="str">
        <f>IFERROR(__xludf.DUMMYFUNCTION("""COMPUTED_VALUE"""),"อป.2/2")</f>
        <v>อป.2/2</v>
      </c>
      <c r="E2247" s="2" t="str">
        <f>IFERROR(__xludf.DUMMYFUNCTION("""COMPUTED_VALUE"""),"หญิง")</f>
        <v>หญิง</v>
      </c>
      <c r="F2247" s="5" t="str">
        <f>IFERROR(__xludf.DUMMYFUNCTION("""COMPUTED_VALUE"""),"https://azizstan.net/student_image/23254.jpg")</f>
        <v>https://azizstan.net/student_image/23254.jpg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>
      <c r="A2248" s="3" t="str">
        <f>IFERROR(__xludf.DUMMYFUNCTION("""COMPUTED_VALUE"""),"24475")</f>
        <v>24475</v>
      </c>
      <c r="B2248" s="3" t="str">
        <f>IFERROR(__xludf.DUMMYFUNCTION("""COMPUTED_VALUE"""),"น.ส.ซูไฮลา อาแว")</f>
        <v>น.ส.ซูไฮลา อาแว</v>
      </c>
      <c r="C2248" s="3" t="str">
        <f>IFERROR(__xludf.DUMMYFUNCTION("""COMPUTED_VALUE"""),"ม.6/4")</f>
        <v>ม.6/4</v>
      </c>
      <c r="D2248" s="3" t="str">
        <f>IFERROR(__xludf.DUMMYFUNCTION("""COMPUTED_VALUE"""),"อก.3/14")</f>
        <v>อก.3/14</v>
      </c>
      <c r="E2248" s="2" t="str">
        <f>IFERROR(__xludf.DUMMYFUNCTION("""COMPUTED_VALUE"""),"หญิง")</f>
        <v>หญิง</v>
      </c>
      <c r="F2248" s="5" t="str">
        <f>IFERROR(__xludf.DUMMYFUNCTION("""COMPUTED_VALUE"""),"https://azizstan.net/student_image/24475.jpg")</f>
        <v>https://azizstan.net/student_image/24475.jpg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>
      <c r="A2249" s="3" t="str">
        <f>IFERROR(__xludf.DUMMYFUNCTION("""COMPUTED_VALUE"""),"24629")</f>
        <v>24629</v>
      </c>
      <c r="B2249" s="3" t="str">
        <f>IFERROR(__xludf.DUMMYFUNCTION("""COMPUTED_VALUE"""),"น.ส.นูรฮาลาวาตี หะยีเลาะ")</f>
        <v>น.ส.นูรฮาลาวาตี หะยีเลาะ</v>
      </c>
      <c r="C2249" s="3" t="str">
        <f>IFERROR(__xludf.DUMMYFUNCTION("""COMPUTED_VALUE"""),"ม.6/4")</f>
        <v>ม.6/4</v>
      </c>
      <c r="D2249" s="3" t="str">
        <f>IFERROR(__xludf.DUMMYFUNCTION("""COMPUTED_VALUE"""),"อป.3/2")</f>
        <v>อป.3/2</v>
      </c>
      <c r="E2249" s="2" t="str">
        <f>IFERROR(__xludf.DUMMYFUNCTION("""COMPUTED_VALUE"""),"หญิง")</f>
        <v>หญิง</v>
      </c>
      <c r="F2249" s="5" t="str">
        <f>IFERROR(__xludf.DUMMYFUNCTION("""COMPUTED_VALUE"""),"https://azizstan.net/student_image/24629.jpg")</f>
        <v>https://azizstan.net/student_image/24629.jpg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>
      <c r="A2250" s="3" t="str">
        <f>IFERROR(__xludf.DUMMYFUNCTION("""COMPUTED_VALUE"""),"24683")</f>
        <v>24683</v>
      </c>
      <c r="B2250" s="3" t="str">
        <f>IFERROR(__xludf.DUMMYFUNCTION("""COMPUTED_VALUE"""),"น.ส.นูรีนา ตาเละ")</f>
        <v>น.ส.นูรีนา ตาเละ</v>
      </c>
      <c r="C2250" s="3" t="str">
        <f>IFERROR(__xludf.DUMMYFUNCTION("""COMPUTED_VALUE"""),"ม.6/4")</f>
        <v>ม.6/4</v>
      </c>
      <c r="D2250" s="3" t="str">
        <f>IFERROR(__xludf.DUMMYFUNCTION("""COMPUTED_VALUE"""),"อก.3/16")</f>
        <v>อก.3/16</v>
      </c>
      <c r="E2250" s="2" t="str">
        <f>IFERROR(__xludf.DUMMYFUNCTION("""COMPUTED_VALUE"""),"หญิง")</f>
        <v>หญิง</v>
      </c>
      <c r="F2250" s="5" t="str">
        <f>IFERROR(__xludf.DUMMYFUNCTION("""COMPUTED_VALUE"""),"https://azizstan.net/student_image/24683.jpg")</f>
        <v>https://azizstan.net/student_image/24683.jpg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>
      <c r="A2251" s="3" t="str">
        <f>IFERROR(__xludf.DUMMYFUNCTION("""COMPUTED_VALUE"""),"24812")</f>
        <v>24812</v>
      </c>
      <c r="B2251" s="3" t="str">
        <f>IFERROR(__xludf.DUMMYFUNCTION("""COMPUTED_VALUE"""),"น.ส.ซามีมี่ เจะเงาะ")</f>
        <v>น.ส.ซามีมี่ เจะเงาะ</v>
      </c>
      <c r="C2251" s="3" t="str">
        <f>IFERROR(__xludf.DUMMYFUNCTION("""COMPUTED_VALUE"""),"ม.6/4")</f>
        <v>ม.6/4</v>
      </c>
      <c r="D2251" s="3" t="str">
        <f>IFERROR(__xludf.DUMMYFUNCTION("""COMPUTED_VALUE"""),"อป.1/4")</f>
        <v>อป.1/4</v>
      </c>
      <c r="E2251" s="2" t="str">
        <f>IFERROR(__xludf.DUMMYFUNCTION("""COMPUTED_VALUE"""),"หญิง")</f>
        <v>หญิง</v>
      </c>
      <c r="F2251" s="5" t="str">
        <f>IFERROR(__xludf.DUMMYFUNCTION("""COMPUTED_VALUE"""),"https://azizstan.net/student_image/24812.jpg")</f>
        <v>https://azizstan.net/student_image/24812.jpg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>
      <c r="A2252" s="3" t="str">
        <f>IFERROR(__xludf.DUMMYFUNCTION("""COMPUTED_VALUE"""),"24855")</f>
        <v>24855</v>
      </c>
      <c r="B2252" s="3" t="str">
        <f>IFERROR(__xludf.DUMMYFUNCTION("""COMPUTED_VALUE"""),"น.ส.อานัดซูวา ดือราแม")</f>
        <v>น.ส.อานัดซูวา ดือราแม</v>
      </c>
      <c r="C2252" s="3" t="str">
        <f>IFERROR(__xludf.DUMMYFUNCTION("""COMPUTED_VALUE"""),"ม.6/4")</f>
        <v>ม.6/4</v>
      </c>
      <c r="D2252" s="3" t="str">
        <f>IFERROR(__xludf.DUMMYFUNCTION("""COMPUTED_VALUE"""),"อป.3/2")</f>
        <v>อป.3/2</v>
      </c>
      <c r="E2252" s="2" t="str">
        <f>IFERROR(__xludf.DUMMYFUNCTION("""COMPUTED_VALUE"""),"หญิง")</f>
        <v>หญิง</v>
      </c>
      <c r="F2252" s="5" t="str">
        <f>IFERROR(__xludf.DUMMYFUNCTION("""COMPUTED_VALUE"""),"https://azizstan.net/student_image/24855.jpg")</f>
        <v>https://azizstan.net/student_image/24855.jpg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>
      <c r="A2253" s="3" t="str">
        <f>IFERROR(__xludf.DUMMYFUNCTION("""COMPUTED_VALUE"""),"24927")</f>
        <v>24927</v>
      </c>
      <c r="B2253" s="3" t="str">
        <f>IFERROR(__xludf.DUMMYFUNCTION("""COMPUTED_VALUE"""),"น.ส.รูวัยดา โดยหมะ")</f>
        <v>น.ส.รูวัยดา โดยหมะ</v>
      </c>
      <c r="C2253" s="3" t="str">
        <f>IFERROR(__xludf.DUMMYFUNCTION("""COMPUTED_VALUE"""),"ม.6/4")</f>
        <v>ม.6/4</v>
      </c>
      <c r="D2253" s="3" t="str">
        <f>IFERROR(__xludf.DUMMYFUNCTION("""COMPUTED_VALUE"""),"อก.3/16")</f>
        <v>อก.3/16</v>
      </c>
      <c r="E2253" s="2" t="str">
        <f>IFERROR(__xludf.DUMMYFUNCTION("""COMPUTED_VALUE"""),"หญิง")</f>
        <v>หญิง</v>
      </c>
      <c r="F2253" s="5" t="str">
        <f>IFERROR(__xludf.DUMMYFUNCTION("""COMPUTED_VALUE"""),"https://azizstan.net/student_image/24927.jpg")</f>
        <v>https://azizstan.net/student_image/24927.jpg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>
      <c r="A2254" s="3" t="str">
        <f>IFERROR(__xludf.DUMMYFUNCTION("""COMPUTED_VALUE"""),"25045")</f>
        <v>25045</v>
      </c>
      <c r="B2254" s="3" t="str">
        <f>IFERROR(__xludf.DUMMYFUNCTION("""COMPUTED_VALUE"""),"น.ส.อาริตา มะหลี")</f>
        <v>น.ส.อาริตา มะหลี</v>
      </c>
      <c r="C2254" s="3" t="str">
        <f>IFERROR(__xludf.DUMMYFUNCTION("""COMPUTED_VALUE"""),"ม.6/4")</f>
        <v>ม.6/4</v>
      </c>
      <c r="D2254" s="3" t="str">
        <f>IFERROR(__xludf.DUMMYFUNCTION("""COMPUTED_VALUE"""),"อป.3/2")</f>
        <v>อป.3/2</v>
      </c>
      <c r="E2254" s="2" t="str">
        <f>IFERROR(__xludf.DUMMYFUNCTION("""COMPUTED_VALUE"""),"หญิง")</f>
        <v>หญิง</v>
      </c>
      <c r="F2254" s="5" t="str">
        <f>IFERROR(__xludf.DUMMYFUNCTION("""COMPUTED_VALUE"""),"https://azizstan.net/student_image/25045.jpg")</f>
        <v>https://azizstan.net/student_image/25045.jpg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>
      <c r="A2255" s="3" t="str">
        <f>IFERROR(__xludf.DUMMYFUNCTION("""COMPUTED_VALUE"""),"25050")</f>
        <v>25050</v>
      </c>
      <c r="B2255" s="3" t="str">
        <f>IFERROR(__xludf.DUMMYFUNCTION("""COMPUTED_VALUE"""),"น.ส.อารียา มุสอหัด")</f>
        <v>น.ส.อารียา มุสอหัด</v>
      </c>
      <c r="C2255" s="3" t="str">
        <f>IFERROR(__xludf.DUMMYFUNCTION("""COMPUTED_VALUE"""),"ม.6/4")</f>
        <v>ม.6/4</v>
      </c>
      <c r="D2255" s="3" t="str">
        <f>IFERROR(__xludf.DUMMYFUNCTION("""COMPUTED_VALUE"""),"อป.3/2")</f>
        <v>อป.3/2</v>
      </c>
      <c r="E2255" s="2" t="str">
        <f>IFERROR(__xludf.DUMMYFUNCTION("""COMPUTED_VALUE"""),"หญิง")</f>
        <v>หญิง</v>
      </c>
      <c r="F2255" s="5" t="str">
        <f>IFERROR(__xludf.DUMMYFUNCTION("""COMPUTED_VALUE"""),"https://azizstan.net/student_image/25050.jpg")</f>
        <v>https://azizstan.net/student_image/25050.jpg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>
      <c r="A2256" s="3" t="str">
        <f>IFERROR(__xludf.DUMMYFUNCTION("""COMPUTED_VALUE"""),"25054")</f>
        <v>25054</v>
      </c>
      <c r="B2256" s="3" t="str">
        <f>IFERROR(__xludf.DUMMYFUNCTION("""COMPUTED_VALUE"""),"น.ส.นุรอัฟนัน สามะ")</f>
        <v>น.ส.นุรอัฟนัน สามะ</v>
      </c>
      <c r="C2256" s="3" t="str">
        <f>IFERROR(__xludf.DUMMYFUNCTION("""COMPUTED_VALUE"""),"ม.6/4")</f>
        <v>ม.6/4</v>
      </c>
      <c r="D2256" s="3" t="str">
        <f>IFERROR(__xludf.DUMMYFUNCTION("""COMPUTED_VALUE"""),"อป.3/2")</f>
        <v>อป.3/2</v>
      </c>
      <c r="E2256" s="2" t="str">
        <f>IFERROR(__xludf.DUMMYFUNCTION("""COMPUTED_VALUE"""),"หญิง")</f>
        <v>หญิง</v>
      </c>
      <c r="F2256" s="5" t="str">
        <f>IFERROR(__xludf.DUMMYFUNCTION("""COMPUTED_VALUE"""),"https://azizstan.net/student_image/25054.jpg")</f>
        <v>https://azizstan.net/student_image/25054.jpg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>
      <c r="A2257" s="3" t="str">
        <f>IFERROR(__xludf.DUMMYFUNCTION("""COMPUTED_VALUE"""),"25066")</f>
        <v>25066</v>
      </c>
      <c r="B2257" s="3" t="str">
        <f>IFERROR(__xludf.DUMMYFUNCTION("""COMPUTED_VALUE"""),"น.ส.นุรอายน์ บูละ")</f>
        <v>น.ส.นุรอายน์ บูละ</v>
      </c>
      <c r="C2257" s="3" t="str">
        <f>IFERROR(__xludf.DUMMYFUNCTION("""COMPUTED_VALUE"""),"ม.6/4")</f>
        <v>ม.6/4</v>
      </c>
      <c r="D2257" s="3" t="str">
        <f>IFERROR(__xludf.DUMMYFUNCTION("""COMPUTED_VALUE"""),"อป.3/2")</f>
        <v>อป.3/2</v>
      </c>
      <c r="E2257" s="2" t="str">
        <f>IFERROR(__xludf.DUMMYFUNCTION("""COMPUTED_VALUE"""),"หญิง")</f>
        <v>หญิง</v>
      </c>
      <c r="F2257" s="5" t="str">
        <f>IFERROR(__xludf.DUMMYFUNCTION("""COMPUTED_VALUE"""),"https://azizstan.net/student_image/25066.jpg")</f>
        <v>https://azizstan.net/student_image/25066.jpg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>
      <c r="A2258" s="3" t="str">
        <f>IFERROR(__xludf.DUMMYFUNCTION("""COMPUTED_VALUE"""),"25110")</f>
        <v>25110</v>
      </c>
      <c r="B2258" s="3" t="str">
        <f>IFERROR(__xludf.DUMMYFUNCTION("""COMPUTED_VALUE"""),"น.ส.นูรมา บางปู")</f>
        <v>น.ส.นูรมา บางปู</v>
      </c>
      <c r="C2258" s="3" t="str">
        <f>IFERROR(__xludf.DUMMYFUNCTION("""COMPUTED_VALUE"""),"ม.6/4")</f>
        <v>ม.6/4</v>
      </c>
      <c r="D2258" s="3" t="str">
        <f>IFERROR(__xludf.DUMMYFUNCTION("""COMPUTED_VALUE"""),"อป.1/4")</f>
        <v>อป.1/4</v>
      </c>
      <c r="E2258" s="2" t="str">
        <f>IFERROR(__xludf.DUMMYFUNCTION("""COMPUTED_VALUE"""),"หญิง")</f>
        <v>หญิง</v>
      </c>
      <c r="F2258" s="5" t="str">
        <f>IFERROR(__xludf.DUMMYFUNCTION("""COMPUTED_VALUE"""),"https://azizstan.net/student_image/25110.jpg")</f>
        <v>https://azizstan.net/student_image/25110.jpg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>
      <c r="A2259" s="3" t="str">
        <f>IFERROR(__xludf.DUMMYFUNCTION("""COMPUTED_VALUE"""),"25119")</f>
        <v>25119</v>
      </c>
      <c r="B2259" s="3" t="str">
        <f>IFERROR(__xludf.DUMMYFUNCTION("""COMPUTED_VALUE"""),"น.ส.ซัซวานา เจ๊ะดาโอะ")</f>
        <v>น.ส.ซัซวานา เจ๊ะดาโอะ</v>
      </c>
      <c r="C2259" s="3" t="str">
        <f>IFERROR(__xludf.DUMMYFUNCTION("""COMPUTED_VALUE"""),"ม.6/4")</f>
        <v>ม.6/4</v>
      </c>
      <c r="D2259" s="3" t="str">
        <f>IFERROR(__xludf.DUMMYFUNCTION("""COMPUTED_VALUE"""),"อป.2/2")</f>
        <v>อป.2/2</v>
      </c>
      <c r="E2259" s="2" t="str">
        <f>IFERROR(__xludf.DUMMYFUNCTION("""COMPUTED_VALUE"""),"หญิง")</f>
        <v>หญิง</v>
      </c>
      <c r="F2259" s="5" t="str">
        <f>IFERROR(__xludf.DUMMYFUNCTION("""COMPUTED_VALUE"""),"https://azizstan.net/student_image/25119.jpg")</f>
        <v>https://azizstan.net/student_image/25119.jpg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>
      <c r="A2260" s="3" t="str">
        <f>IFERROR(__xludf.DUMMYFUNCTION("""COMPUTED_VALUE"""),"25232")</f>
        <v>25232</v>
      </c>
      <c r="B2260" s="3" t="str">
        <f>IFERROR(__xludf.DUMMYFUNCTION("""COMPUTED_VALUE"""),"น.ส.อามาดีนา บากา")</f>
        <v>น.ส.อามาดีนา บากา</v>
      </c>
      <c r="C2260" s="3" t="str">
        <f>IFERROR(__xludf.DUMMYFUNCTION("""COMPUTED_VALUE"""),"ม.6/4")</f>
        <v>ม.6/4</v>
      </c>
      <c r="D2260" s="3" t="str">
        <f>IFERROR(__xludf.DUMMYFUNCTION("""COMPUTED_VALUE"""),"อป.3/2")</f>
        <v>อป.3/2</v>
      </c>
      <c r="E2260" s="2" t="str">
        <f>IFERROR(__xludf.DUMMYFUNCTION("""COMPUTED_VALUE"""),"หญิง")</f>
        <v>หญิง</v>
      </c>
      <c r="F2260" s="5" t="str">
        <f>IFERROR(__xludf.DUMMYFUNCTION("""COMPUTED_VALUE"""),"https://azizstan.net/student_image/25232.jpg")</f>
        <v>https://azizstan.net/student_image/25232.jpg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>
      <c r="A2261" s="3" t="str">
        <f>IFERROR(__xludf.DUMMYFUNCTION("""COMPUTED_VALUE"""),"25280")</f>
        <v>25280</v>
      </c>
      <c r="B2261" s="3" t="str">
        <f>IFERROR(__xludf.DUMMYFUNCTION("""COMPUTED_VALUE"""),"น.ส.ศิริขวัญ วรรณศรี")</f>
        <v>น.ส.ศิริขวัญ วรรณศรี</v>
      </c>
      <c r="C2261" s="3" t="str">
        <f>IFERROR(__xludf.DUMMYFUNCTION("""COMPUTED_VALUE"""),"ม.6/4")</f>
        <v>ม.6/4</v>
      </c>
      <c r="D2261" s="3" t="str">
        <f>IFERROR(__xludf.DUMMYFUNCTION("""COMPUTED_VALUE"""),"อก.3/16")</f>
        <v>อก.3/16</v>
      </c>
      <c r="E2261" s="2" t="str">
        <f>IFERROR(__xludf.DUMMYFUNCTION("""COMPUTED_VALUE"""),"หญิง")</f>
        <v>หญิง</v>
      </c>
      <c r="F2261" s="5" t="str">
        <f>IFERROR(__xludf.DUMMYFUNCTION("""COMPUTED_VALUE"""),"https://azizstan.net/student_image/25280.jpg")</f>
        <v>https://azizstan.net/student_image/25280.jpg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>
      <c r="A2262" s="3" t="str">
        <f>IFERROR(__xludf.DUMMYFUNCTION("""COMPUTED_VALUE"""),"25688")</f>
        <v>25688</v>
      </c>
      <c r="B2262" s="3" t="str">
        <f>IFERROR(__xludf.DUMMYFUNCTION("""COMPUTED_VALUE"""),"น.ส.สาอีดะห์ รามัญเศษ")</f>
        <v>น.ส.สาอีดะห์ รามัญเศษ</v>
      </c>
      <c r="C2262" s="3" t="str">
        <f>IFERROR(__xludf.DUMMYFUNCTION("""COMPUTED_VALUE"""),"ม.6/4")</f>
        <v>ม.6/4</v>
      </c>
      <c r="D2262" s="3" t="str">
        <f>IFERROR(__xludf.DUMMYFUNCTION("""COMPUTED_VALUE"""),"อป.3/2")</f>
        <v>อป.3/2</v>
      </c>
      <c r="E2262" s="2" t="str">
        <f>IFERROR(__xludf.DUMMYFUNCTION("""COMPUTED_VALUE"""),"หญิง")</f>
        <v>หญิง</v>
      </c>
      <c r="F2262" s="5" t="str">
        <f>IFERROR(__xludf.DUMMYFUNCTION("""COMPUTED_VALUE"""),"https://azizstan.net/student_image/25688.jpg")</f>
        <v>https://azizstan.net/student_image/25688.jpg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>
      <c r="A2263" s="3" t="str">
        <f>IFERROR(__xludf.DUMMYFUNCTION("""COMPUTED_VALUE"""),"26023")</f>
        <v>26023</v>
      </c>
      <c r="B2263" s="3" t="str">
        <f>IFERROR(__xludf.DUMMYFUNCTION("""COMPUTED_VALUE"""),"น.ส.อันดาวาตี เจะแม")</f>
        <v>น.ส.อันดาวาตี เจะแม</v>
      </c>
      <c r="C2263" s="3" t="str">
        <f>IFERROR(__xludf.DUMMYFUNCTION("""COMPUTED_VALUE"""),"ม.6/4")</f>
        <v>ม.6/4</v>
      </c>
      <c r="D2263" s="3" t="str">
        <f>IFERROR(__xludf.DUMMYFUNCTION("""COMPUTED_VALUE"""),"อก.3/16")</f>
        <v>อก.3/16</v>
      </c>
      <c r="E2263" s="2" t="str">
        <f>IFERROR(__xludf.DUMMYFUNCTION("""COMPUTED_VALUE"""),"หญิง")</f>
        <v>หญิง</v>
      </c>
      <c r="F2263" s="5" t="str">
        <f>IFERROR(__xludf.DUMMYFUNCTION("""COMPUTED_VALUE"""),"https://azizstan.net/student_image/26023.jpg")</f>
        <v>https://azizstan.net/student_image/26023.jpg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>
      <c r="A2264" s="3" t="str">
        <f>IFERROR(__xludf.DUMMYFUNCTION("""COMPUTED_VALUE"""),"22648")</f>
        <v>22648</v>
      </c>
      <c r="B2264" s="3" t="str">
        <f>IFERROR(__xludf.DUMMYFUNCTION("""COMPUTED_VALUE"""),"นายอาดีนัน แยนาย")</f>
        <v>นายอาดีนัน แยนาย</v>
      </c>
      <c r="C2264" s="3" t="str">
        <f>IFERROR(__xludf.DUMMYFUNCTION("""COMPUTED_VALUE"""),"ม.6/5")</f>
        <v>ม.6/5</v>
      </c>
      <c r="D2264" s="3" t="str">
        <f>IFERROR(__xludf.DUMMYFUNCTION("""COMPUTED_VALUE"""),"อป.3/5")</f>
        <v>อป.3/5</v>
      </c>
      <c r="E2264" s="2" t="str">
        <f>IFERROR(__xludf.DUMMYFUNCTION("""COMPUTED_VALUE"""),"ชาย")</f>
        <v>ชาย</v>
      </c>
      <c r="F2264" s="5" t="str">
        <f>IFERROR(__xludf.DUMMYFUNCTION("""COMPUTED_VALUE"""),"https://azizstan.net/student_image/22648.jpg")</f>
        <v>https://azizstan.net/student_image/22648.jpg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>
      <c r="A2265" s="3" t="str">
        <f>IFERROR(__xludf.DUMMYFUNCTION("""COMPUTED_VALUE"""),"22653")</f>
        <v>22653</v>
      </c>
      <c r="B2265" s="3" t="str">
        <f>IFERROR(__xludf.DUMMYFUNCTION("""COMPUTED_VALUE"""),"นายอับดุลมุมิน หมะเด็น")</f>
        <v>นายอับดุลมุมิน หมะเด็น</v>
      </c>
      <c r="C2265" s="3" t="str">
        <f>IFERROR(__xludf.DUMMYFUNCTION("""COMPUTED_VALUE"""),"ม.6/5")</f>
        <v>ม.6/5</v>
      </c>
      <c r="D2265" s="3" t="str">
        <f>IFERROR(__xludf.DUMMYFUNCTION("""COMPUTED_VALUE"""),"อป.3/5")</f>
        <v>อป.3/5</v>
      </c>
      <c r="E2265" s="2" t="str">
        <f>IFERROR(__xludf.DUMMYFUNCTION("""COMPUTED_VALUE"""),"ชาย")</f>
        <v>ชาย</v>
      </c>
      <c r="F2265" s="5" t="str">
        <f>IFERROR(__xludf.DUMMYFUNCTION("""COMPUTED_VALUE"""),"https://azizstan.net/student_image/22653.jpg")</f>
        <v>https://azizstan.net/student_image/22653.jpg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>
      <c r="A2266" s="3" t="str">
        <f>IFERROR(__xludf.DUMMYFUNCTION("""COMPUTED_VALUE"""),"22655")</f>
        <v>22655</v>
      </c>
      <c r="B2266" s="3" t="str">
        <f>IFERROR(__xludf.DUMMYFUNCTION("""COMPUTED_VALUE"""),"น.ส.อาดิลานานา แดหวา")</f>
        <v>น.ส.อาดิลานานา แดหวา</v>
      </c>
      <c r="C2266" s="3" t="str">
        <f>IFERROR(__xludf.DUMMYFUNCTION("""COMPUTED_VALUE"""),"ม.6/5")</f>
        <v>ม.6/5</v>
      </c>
      <c r="D2266" s="3" t="str">
        <f>IFERROR(__xludf.DUMMYFUNCTION("""COMPUTED_VALUE"""),"อป.3/5")</f>
        <v>อป.3/5</v>
      </c>
      <c r="E2266" s="2" t="str">
        <f>IFERROR(__xludf.DUMMYFUNCTION("""COMPUTED_VALUE"""),"หญิง")</f>
        <v>หญิง</v>
      </c>
      <c r="F2266" s="5" t="str">
        <f>IFERROR(__xludf.DUMMYFUNCTION("""COMPUTED_VALUE"""),"https://azizstan.net/student_image/22655.jpg")</f>
        <v>https://azizstan.net/student_image/22655.jpg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>
      <c r="A2267" s="3" t="str">
        <f>IFERROR(__xludf.DUMMYFUNCTION("""COMPUTED_VALUE"""),"22663")</f>
        <v>22663</v>
      </c>
      <c r="B2267" s="3" t="str">
        <f>IFERROR(__xludf.DUMMYFUNCTION("""COMPUTED_VALUE"""),"น.ส.อัลญาดานียะห์ อาแว")</f>
        <v>น.ส.อัลญาดานียะห์ อาแว</v>
      </c>
      <c r="C2267" s="3" t="str">
        <f>IFERROR(__xludf.DUMMYFUNCTION("""COMPUTED_VALUE"""),"ม.6/5")</f>
        <v>ม.6/5</v>
      </c>
      <c r="D2267" s="3" t="str">
        <f>IFERROR(__xludf.DUMMYFUNCTION("""COMPUTED_VALUE"""),"อป.3/5")</f>
        <v>อป.3/5</v>
      </c>
      <c r="E2267" s="2" t="str">
        <f>IFERROR(__xludf.DUMMYFUNCTION("""COMPUTED_VALUE"""),"หญิง")</f>
        <v>หญิง</v>
      </c>
      <c r="F2267" s="5" t="str">
        <f>IFERROR(__xludf.DUMMYFUNCTION("""COMPUTED_VALUE"""),"https://azizstan.net/student_image/22663.jpg")</f>
        <v>https://azizstan.net/student_image/22663.jpg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>
      <c r="A2268" s="3" t="str">
        <f>IFERROR(__xludf.DUMMYFUNCTION("""COMPUTED_VALUE"""),"22668")</f>
        <v>22668</v>
      </c>
      <c r="B2268" s="3" t="str">
        <f>IFERROR(__xludf.DUMMYFUNCTION("""COMPUTED_VALUE"""),"น.ส.ซิกรอ สะมะแอ")</f>
        <v>น.ส.ซิกรอ สะมะแอ</v>
      </c>
      <c r="C2268" s="3" t="str">
        <f>IFERROR(__xludf.DUMMYFUNCTION("""COMPUTED_VALUE"""),"ม.6/5")</f>
        <v>ม.6/5</v>
      </c>
      <c r="D2268" s="3" t="str">
        <f>IFERROR(__xludf.DUMMYFUNCTION("""COMPUTED_VALUE"""),"อป.3/5")</f>
        <v>อป.3/5</v>
      </c>
      <c r="E2268" s="2" t="str">
        <f>IFERROR(__xludf.DUMMYFUNCTION("""COMPUTED_VALUE"""),"หญิง")</f>
        <v>หญิง</v>
      </c>
      <c r="F2268" s="5" t="str">
        <f>IFERROR(__xludf.DUMMYFUNCTION("""COMPUTED_VALUE"""),"https://azizstan.net/student_image/22668.jpg")</f>
        <v>https://azizstan.net/student_image/22668.jpg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>
      <c r="A2269" s="3" t="str">
        <f>IFERROR(__xludf.DUMMYFUNCTION("""COMPUTED_VALUE"""),"22671")</f>
        <v>22671</v>
      </c>
      <c r="B2269" s="3" t="str">
        <f>IFERROR(__xludf.DUMMYFUNCTION("""COMPUTED_VALUE"""),"นายยุซรี แวหนิ")</f>
        <v>นายยุซรี แวหนิ</v>
      </c>
      <c r="C2269" s="3" t="str">
        <f>IFERROR(__xludf.DUMMYFUNCTION("""COMPUTED_VALUE"""),"ม.6/5")</f>
        <v>ม.6/5</v>
      </c>
      <c r="D2269" s="3" t="str">
        <f>IFERROR(__xludf.DUMMYFUNCTION("""COMPUTED_VALUE"""),"อป.3/5")</f>
        <v>อป.3/5</v>
      </c>
      <c r="E2269" s="2" t="str">
        <f>IFERROR(__xludf.DUMMYFUNCTION("""COMPUTED_VALUE"""),"ชาย")</f>
        <v>ชาย</v>
      </c>
      <c r="F2269" s="5" t="str">
        <f>IFERROR(__xludf.DUMMYFUNCTION("""COMPUTED_VALUE"""),"https://azizstan.net/student_image/22671.jpg")</f>
        <v>https://azizstan.net/student_image/22671.jpg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>
      <c r="A2270" s="3" t="str">
        <f>IFERROR(__xludf.DUMMYFUNCTION("""COMPUTED_VALUE"""),"22675")</f>
        <v>22675</v>
      </c>
      <c r="B2270" s="3" t="str">
        <f>IFERROR(__xludf.DUMMYFUNCTION("""COMPUTED_VALUE"""),"น.ส.อัสนา ฮาแว")</f>
        <v>น.ส.อัสนา ฮาแว</v>
      </c>
      <c r="C2270" s="3" t="str">
        <f>IFERROR(__xludf.DUMMYFUNCTION("""COMPUTED_VALUE"""),"ม.6/5")</f>
        <v>ม.6/5</v>
      </c>
      <c r="D2270" s="3" t="str">
        <f>IFERROR(__xludf.DUMMYFUNCTION("""COMPUTED_VALUE"""),"อป.3/5")</f>
        <v>อป.3/5</v>
      </c>
      <c r="E2270" s="2" t="str">
        <f>IFERROR(__xludf.DUMMYFUNCTION("""COMPUTED_VALUE"""),"หญิง")</f>
        <v>หญิง</v>
      </c>
      <c r="F2270" s="5" t="str">
        <f>IFERROR(__xludf.DUMMYFUNCTION("""COMPUTED_VALUE"""),"https://azizstan.net/student_image/22675.jpg")</f>
        <v>https://azizstan.net/student_image/22675.jpg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>
      <c r="A2271" s="3" t="str">
        <f>IFERROR(__xludf.DUMMYFUNCTION("""COMPUTED_VALUE"""),"22722")</f>
        <v>22722</v>
      </c>
      <c r="B2271" s="3" t="str">
        <f>IFERROR(__xludf.DUMMYFUNCTION("""COMPUTED_VALUE"""),"นายมุมิน เล๊าะล่อ")</f>
        <v>นายมุมิน เล๊าะล่อ</v>
      </c>
      <c r="C2271" s="3" t="str">
        <f>IFERROR(__xludf.DUMMYFUNCTION("""COMPUTED_VALUE"""),"ม.6/5")</f>
        <v>ม.6/5</v>
      </c>
      <c r="D2271" s="3" t="str">
        <f>IFERROR(__xludf.DUMMYFUNCTION("""COMPUTED_VALUE"""),"อป.3/5")</f>
        <v>อป.3/5</v>
      </c>
      <c r="E2271" s="2" t="str">
        <f>IFERROR(__xludf.DUMMYFUNCTION("""COMPUTED_VALUE"""),"ชาย")</f>
        <v>ชาย</v>
      </c>
      <c r="F2271" s="5" t="str">
        <f>IFERROR(__xludf.DUMMYFUNCTION("""COMPUTED_VALUE"""),"https://azizstan.net/student_image/22722.jpg")</f>
        <v>https://azizstan.net/student_image/22722.jpg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>
      <c r="A2272" s="3" t="str">
        <f>IFERROR(__xludf.DUMMYFUNCTION("""COMPUTED_VALUE"""),"22725")</f>
        <v>22725</v>
      </c>
      <c r="B2272" s="3" t="str">
        <f>IFERROR(__xludf.DUMMYFUNCTION("""COMPUTED_VALUE"""),"น.ส.ญัฟนี ลาเต๊ะ")</f>
        <v>น.ส.ญัฟนี ลาเต๊ะ</v>
      </c>
      <c r="C2272" s="3" t="str">
        <f>IFERROR(__xludf.DUMMYFUNCTION("""COMPUTED_VALUE"""),"ม.6/5")</f>
        <v>ม.6/5</v>
      </c>
      <c r="D2272" s="3" t="str">
        <f>IFERROR(__xludf.DUMMYFUNCTION("""COMPUTED_VALUE"""),"อป.3/5")</f>
        <v>อป.3/5</v>
      </c>
      <c r="E2272" s="2" t="str">
        <f>IFERROR(__xludf.DUMMYFUNCTION("""COMPUTED_VALUE"""),"หญิง")</f>
        <v>หญิง</v>
      </c>
      <c r="F2272" s="5" t="str">
        <f>IFERROR(__xludf.DUMMYFUNCTION("""COMPUTED_VALUE"""),"https://azizstan.net/student_image/22725.jpg")</f>
        <v>https://azizstan.net/student_image/22725.jpg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>
      <c r="A2273" s="3" t="str">
        <f>IFERROR(__xludf.DUMMYFUNCTION("""COMPUTED_VALUE"""),"22735")</f>
        <v>22735</v>
      </c>
      <c r="B2273" s="3" t="str">
        <f>IFERROR(__xludf.DUMMYFUNCTION("""COMPUTED_VALUE"""),"น.ส.ฟาตีเมาะ แวหามะ")</f>
        <v>น.ส.ฟาตีเมาะ แวหามะ</v>
      </c>
      <c r="C2273" s="3" t="str">
        <f>IFERROR(__xludf.DUMMYFUNCTION("""COMPUTED_VALUE"""),"ม.6/5")</f>
        <v>ม.6/5</v>
      </c>
      <c r="D2273" s="3" t="str">
        <f>IFERROR(__xludf.DUMMYFUNCTION("""COMPUTED_VALUE"""),"อป.3/5")</f>
        <v>อป.3/5</v>
      </c>
      <c r="E2273" s="2" t="str">
        <f>IFERROR(__xludf.DUMMYFUNCTION("""COMPUTED_VALUE"""),"หญิง")</f>
        <v>หญิง</v>
      </c>
      <c r="F2273" s="5" t="str">
        <f>IFERROR(__xludf.DUMMYFUNCTION("""COMPUTED_VALUE"""),"https://azizstan.net/student_image/22735.jpg")</f>
        <v>https://azizstan.net/student_image/22735.jpg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>
      <c r="A2274" s="3" t="str">
        <f>IFERROR(__xludf.DUMMYFUNCTION("""COMPUTED_VALUE"""),"22761")</f>
        <v>22761</v>
      </c>
      <c r="B2274" s="3" t="str">
        <f>IFERROR(__xludf.DUMMYFUNCTION("""COMPUTED_VALUE"""),"น.ส.นิคอาซูรา บือราเฮง")</f>
        <v>น.ส.นิคอาซูรา บือราเฮง</v>
      </c>
      <c r="C2274" s="3" t="str">
        <f>IFERROR(__xludf.DUMMYFUNCTION("""COMPUTED_VALUE"""),"ม.6/5")</f>
        <v>ม.6/5</v>
      </c>
      <c r="D2274" s="3" t="str">
        <f>IFERROR(__xludf.DUMMYFUNCTION("""COMPUTED_VALUE"""),"อป.3/5")</f>
        <v>อป.3/5</v>
      </c>
      <c r="E2274" s="2" t="str">
        <f>IFERROR(__xludf.DUMMYFUNCTION("""COMPUTED_VALUE"""),"หญิง")</f>
        <v>หญิง</v>
      </c>
      <c r="F2274" s="5" t="str">
        <f>IFERROR(__xludf.DUMMYFUNCTION("""COMPUTED_VALUE"""),"https://azizstan.net/student_image/22761.jpg")</f>
        <v>https://azizstan.net/student_image/22761.jpg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>
      <c r="A2275" s="3" t="str">
        <f>IFERROR(__xludf.DUMMYFUNCTION("""COMPUTED_VALUE"""),"22807")</f>
        <v>22807</v>
      </c>
      <c r="B2275" s="3" t="str">
        <f>IFERROR(__xludf.DUMMYFUNCTION("""COMPUTED_VALUE"""),"น.ส.จามิล เจ๊ะมามะ")</f>
        <v>น.ส.จามิล เจ๊ะมามะ</v>
      </c>
      <c r="C2275" s="3" t="str">
        <f>IFERROR(__xludf.DUMMYFUNCTION("""COMPUTED_VALUE"""),"ม.6/5")</f>
        <v>ม.6/5</v>
      </c>
      <c r="D2275" s="3" t="str">
        <f>IFERROR(__xludf.DUMMYFUNCTION("""COMPUTED_VALUE"""),"อป.3/5")</f>
        <v>อป.3/5</v>
      </c>
      <c r="E2275" s="2" t="str">
        <f>IFERROR(__xludf.DUMMYFUNCTION("""COMPUTED_VALUE"""),"หญิง")</f>
        <v>หญิง</v>
      </c>
      <c r="F2275" s="5" t="str">
        <f>IFERROR(__xludf.DUMMYFUNCTION("""COMPUTED_VALUE"""),"https://azizstan.net/student_image/22807.jpg")</f>
        <v>https://azizstan.net/student_image/22807.jpg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>
      <c r="A2276" s="3" t="str">
        <f>IFERROR(__xludf.DUMMYFUNCTION("""COMPUTED_VALUE"""),"22811")</f>
        <v>22811</v>
      </c>
      <c r="B2276" s="3" t="str">
        <f>IFERROR(__xludf.DUMMYFUNCTION("""COMPUTED_VALUE"""),"น.ส.นาดา ดอเลาะ")</f>
        <v>น.ส.นาดา ดอเลาะ</v>
      </c>
      <c r="C2276" s="3" t="str">
        <f>IFERROR(__xludf.DUMMYFUNCTION("""COMPUTED_VALUE"""),"ม.6/5")</f>
        <v>ม.6/5</v>
      </c>
      <c r="D2276" s="3" t="str">
        <f>IFERROR(__xludf.DUMMYFUNCTION("""COMPUTED_VALUE"""),"อป.3/5")</f>
        <v>อป.3/5</v>
      </c>
      <c r="E2276" s="2" t="str">
        <f>IFERROR(__xludf.DUMMYFUNCTION("""COMPUTED_VALUE"""),"หญิง")</f>
        <v>หญิง</v>
      </c>
      <c r="F2276" s="5" t="str">
        <f>IFERROR(__xludf.DUMMYFUNCTION("""COMPUTED_VALUE"""),"https://azizstan.net/student_image/22811.jpg")</f>
        <v>https://azizstan.net/student_image/22811.jpg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>
      <c r="A2277" s="3" t="str">
        <f>IFERROR(__xludf.DUMMYFUNCTION("""COMPUTED_VALUE"""),"22889")</f>
        <v>22889</v>
      </c>
      <c r="B2277" s="3" t="str">
        <f>IFERROR(__xludf.DUMMYFUNCTION("""COMPUTED_VALUE"""),"นายนัทวุฒิ หวังผล")</f>
        <v>นายนัทวุฒิ หวังผล</v>
      </c>
      <c r="C2277" s="3" t="str">
        <f>IFERROR(__xludf.DUMMYFUNCTION("""COMPUTED_VALUE"""),"ม.6/5")</f>
        <v>ม.6/5</v>
      </c>
      <c r="D2277" s="3" t="str">
        <f>IFERROR(__xludf.DUMMYFUNCTION("""COMPUTED_VALUE"""),"อป.3/5")</f>
        <v>อป.3/5</v>
      </c>
      <c r="E2277" s="2" t="str">
        <f>IFERROR(__xludf.DUMMYFUNCTION("""COMPUTED_VALUE"""),"ชาย")</f>
        <v>ชาย</v>
      </c>
      <c r="F2277" s="5" t="str">
        <f>IFERROR(__xludf.DUMMYFUNCTION("""COMPUTED_VALUE"""),"https://azizstan.net/student_image/22889.jpg")</f>
        <v>https://azizstan.net/student_image/22889.jpg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>
      <c r="A2278" s="3" t="str">
        <f>IFERROR(__xludf.DUMMYFUNCTION("""COMPUTED_VALUE"""),"22898")</f>
        <v>22898</v>
      </c>
      <c r="B2278" s="3" t="str">
        <f>IFERROR(__xludf.DUMMYFUNCTION("""COMPUTED_VALUE"""),"น.ส.โรสสุรีย์ เวชกะ")</f>
        <v>น.ส.โรสสุรีย์ เวชกะ</v>
      </c>
      <c r="C2278" s="3" t="str">
        <f>IFERROR(__xludf.DUMMYFUNCTION("""COMPUTED_VALUE"""),"ม.6/5")</f>
        <v>ม.6/5</v>
      </c>
      <c r="D2278" s="3" t="str">
        <f>IFERROR(__xludf.DUMMYFUNCTION("""COMPUTED_VALUE"""),"อป.3/5")</f>
        <v>อป.3/5</v>
      </c>
      <c r="E2278" s="2" t="str">
        <f>IFERROR(__xludf.DUMMYFUNCTION("""COMPUTED_VALUE"""),"หญิง")</f>
        <v>หญิง</v>
      </c>
      <c r="F2278" s="5" t="str">
        <f>IFERROR(__xludf.DUMMYFUNCTION("""COMPUTED_VALUE"""),"https://azizstan.net/student_image/22898.jpg")</f>
        <v>https://azizstan.net/student_image/22898.jpg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>
      <c r="A2279" s="3" t="str">
        <f>IFERROR(__xludf.DUMMYFUNCTION("""COMPUTED_VALUE"""),"22901")</f>
        <v>22901</v>
      </c>
      <c r="B2279" s="3" t="str">
        <f>IFERROR(__xludf.DUMMYFUNCTION("""COMPUTED_VALUE"""),"น.ส.มัสนีย์ ลือแมะ")</f>
        <v>น.ส.มัสนีย์ ลือแมะ</v>
      </c>
      <c r="C2279" s="3" t="str">
        <f>IFERROR(__xludf.DUMMYFUNCTION("""COMPUTED_VALUE"""),"ม.6/5")</f>
        <v>ม.6/5</v>
      </c>
      <c r="D2279" s="3" t="str">
        <f>IFERROR(__xludf.DUMMYFUNCTION("""COMPUTED_VALUE"""),"อป.3/5")</f>
        <v>อป.3/5</v>
      </c>
      <c r="E2279" s="2" t="str">
        <f>IFERROR(__xludf.DUMMYFUNCTION("""COMPUTED_VALUE"""),"หญิง")</f>
        <v>หญิง</v>
      </c>
      <c r="F2279" s="5" t="str">
        <f>IFERROR(__xludf.DUMMYFUNCTION("""COMPUTED_VALUE"""),"https://azizstan.net/student_image/22901.jpg")</f>
        <v>https://azizstan.net/student_image/22901.jpg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>
      <c r="A2280" s="3" t="str">
        <f>IFERROR(__xludf.DUMMYFUNCTION("""COMPUTED_VALUE"""),"22902")</f>
        <v>22902</v>
      </c>
      <c r="B2280" s="3" t="str">
        <f>IFERROR(__xludf.DUMMYFUNCTION("""COMPUTED_VALUE"""),"น.ส.อาฟีเกาะฮ เทพวารินทร์")</f>
        <v>น.ส.อาฟีเกาะฮ เทพวารินทร์</v>
      </c>
      <c r="C2280" s="3" t="str">
        <f>IFERROR(__xludf.DUMMYFUNCTION("""COMPUTED_VALUE"""),"ม.6/5")</f>
        <v>ม.6/5</v>
      </c>
      <c r="D2280" s="3" t="str">
        <f>IFERROR(__xludf.DUMMYFUNCTION("""COMPUTED_VALUE"""),"อป.3/5")</f>
        <v>อป.3/5</v>
      </c>
      <c r="E2280" s="2" t="str">
        <f>IFERROR(__xludf.DUMMYFUNCTION("""COMPUTED_VALUE"""),"หญิง")</f>
        <v>หญิง</v>
      </c>
      <c r="F2280" s="5" t="str">
        <f>IFERROR(__xludf.DUMMYFUNCTION("""COMPUTED_VALUE"""),"https://azizstan.net/student_image/22902.jpg")</f>
        <v>https://azizstan.net/student_image/22902.jpg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>
      <c r="A2281" s="3" t="str">
        <f>IFERROR(__xludf.DUMMYFUNCTION("""COMPUTED_VALUE"""),"22917")</f>
        <v>22917</v>
      </c>
      <c r="B2281" s="3" t="str">
        <f>IFERROR(__xludf.DUMMYFUNCTION("""COMPUTED_VALUE"""),"นายพงศ์ตะวัน มายาสัน")</f>
        <v>นายพงศ์ตะวัน มายาสัน</v>
      </c>
      <c r="C2281" s="3" t="str">
        <f>IFERROR(__xludf.DUMMYFUNCTION("""COMPUTED_VALUE"""),"ม.6/5")</f>
        <v>ม.6/5</v>
      </c>
      <c r="D2281" s="3" t="str">
        <f>IFERROR(__xludf.DUMMYFUNCTION("""COMPUTED_VALUE"""),"อป.3/5")</f>
        <v>อป.3/5</v>
      </c>
      <c r="E2281" s="2" t="str">
        <f>IFERROR(__xludf.DUMMYFUNCTION("""COMPUTED_VALUE"""),"ชาย")</f>
        <v>ชาย</v>
      </c>
      <c r="F2281" s="5" t="str">
        <f>IFERROR(__xludf.DUMMYFUNCTION("""COMPUTED_VALUE"""),"https://azizstan.net/student_image/22917.jpg")</f>
        <v>https://azizstan.net/student_image/22917.jpg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>
      <c r="A2282" s="3" t="str">
        <f>IFERROR(__xludf.DUMMYFUNCTION("""COMPUTED_VALUE"""),"22919")</f>
        <v>22919</v>
      </c>
      <c r="B2282" s="3" t="str">
        <f>IFERROR(__xludf.DUMMYFUNCTION("""COMPUTED_VALUE"""),"น.ส.อาดีละห์ สาเตาะ")</f>
        <v>น.ส.อาดีละห์ สาเตาะ</v>
      </c>
      <c r="C2282" s="3" t="str">
        <f>IFERROR(__xludf.DUMMYFUNCTION("""COMPUTED_VALUE"""),"ม.6/5")</f>
        <v>ม.6/5</v>
      </c>
      <c r="D2282" s="3" t="str">
        <f>IFERROR(__xludf.DUMMYFUNCTION("""COMPUTED_VALUE"""),"อป.3/5")</f>
        <v>อป.3/5</v>
      </c>
      <c r="E2282" s="2" t="str">
        <f>IFERROR(__xludf.DUMMYFUNCTION("""COMPUTED_VALUE"""),"หญิง")</f>
        <v>หญิง</v>
      </c>
      <c r="F2282" s="5" t="str">
        <f>IFERROR(__xludf.DUMMYFUNCTION("""COMPUTED_VALUE"""),"https://azizstan.net/student_image/22919.jpg")</f>
        <v>https://azizstan.net/student_image/22919.jpg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>
      <c r="A2283" s="3" t="str">
        <f>IFERROR(__xludf.DUMMYFUNCTION("""COMPUTED_VALUE"""),"22996")</f>
        <v>22996</v>
      </c>
      <c r="B2283" s="3" t="str">
        <f>IFERROR(__xludf.DUMMYFUNCTION("""COMPUTED_VALUE"""),"น.ส.นูรีซัน หะยีดอเลาะ")</f>
        <v>น.ส.นูรีซัน หะยีดอเลาะ</v>
      </c>
      <c r="C2283" s="3" t="str">
        <f>IFERROR(__xludf.DUMMYFUNCTION("""COMPUTED_VALUE"""),"ม.6/5")</f>
        <v>ม.6/5</v>
      </c>
      <c r="D2283" s="3" t="str">
        <f>IFERROR(__xludf.DUMMYFUNCTION("""COMPUTED_VALUE"""),"อป.3/5")</f>
        <v>อป.3/5</v>
      </c>
      <c r="E2283" s="2" t="str">
        <f>IFERROR(__xludf.DUMMYFUNCTION("""COMPUTED_VALUE"""),"หญิง")</f>
        <v>หญิง</v>
      </c>
      <c r="F2283" s="5" t="str">
        <f>IFERROR(__xludf.DUMMYFUNCTION("""COMPUTED_VALUE"""),"https://azizstan.net/student_image/22996.jpg")</f>
        <v>https://azizstan.net/student_image/22996.jpg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>
      <c r="A2284" s="3" t="str">
        <f>IFERROR(__xludf.DUMMYFUNCTION("""COMPUTED_VALUE"""),"22998")</f>
        <v>22998</v>
      </c>
      <c r="B2284" s="3" t="str">
        <f>IFERROR(__xludf.DUMMYFUNCTION("""COMPUTED_VALUE"""),"นายซัรฮัน สามาลูกา")</f>
        <v>นายซัรฮัน สามาลูกา</v>
      </c>
      <c r="C2284" s="3" t="str">
        <f>IFERROR(__xludf.DUMMYFUNCTION("""COMPUTED_VALUE"""),"ม.6/5")</f>
        <v>ม.6/5</v>
      </c>
      <c r="D2284" s="3" t="str">
        <f>IFERROR(__xludf.DUMMYFUNCTION("""COMPUTED_VALUE"""),"อป.3/5")</f>
        <v>อป.3/5</v>
      </c>
      <c r="E2284" s="2" t="str">
        <f>IFERROR(__xludf.DUMMYFUNCTION("""COMPUTED_VALUE"""),"ชาย")</f>
        <v>ชาย</v>
      </c>
      <c r="F2284" s="5" t="str">
        <f>IFERROR(__xludf.DUMMYFUNCTION("""COMPUTED_VALUE"""),"https://azizstan.net/student_image/22998.jpg")</f>
        <v>https://azizstan.net/student_image/22998.jpg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>
      <c r="A2285" s="3" t="str">
        <f>IFERROR(__xludf.DUMMYFUNCTION("""COMPUTED_VALUE"""),"23013")</f>
        <v>23013</v>
      </c>
      <c r="B2285" s="3" t="str">
        <f>IFERROR(__xludf.DUMMYFUNCTION("""COMPUTED_VALUE"""),"นายมูฮัมหมัดรอมฎอน กาหลง")</f>
        <v>นายมูฮัมหมัดรอมฎอน กาหลง</v>
      </c>
      <c r="C2285" s="3" t="str">
        <f>IFERROR(__xludf.DUMMYFUNCTION("""COMPUTED_VALUE"""),"ม.6/5")</f>
        <v>ม.6/5</v>
      </c>
      <c r="D2285" s="3" t="str">
        <f>IFERROR(__xludf.DUMMYFUNCTION("""COMPUTED_VALUE"""),"อป.3/5")</f>
        <v>อป.3/5</v>
      </c>
      <c r="E2285" s="2" t="str">
        <f>IFERROR(__xludf.DUMMYFUNCTION("""COMPUTED_VALUE"""),"ชาย")</f>
        <v>ชาย</v>
      </c>
      <c r="F2285" s="5" t="str">
        <f>IFERROR(__xludf.DUMMYFUNCTION("""COMPUTED_VALUE"""),"https://azizstan.net/student_image/23013.jpg")</f>
        <v>https://azizstan.net/student_image/23013.jpg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>
      <c r="A2286" s="3" t="str">
        <f>IFERROR(__xludf.DUMMYFUNCTION("""COMPUTED_VALUE"""),"23015")</f>
        <v>23015</v>
      </c>
      <c r="B2286" s="3" t="str">
        <f>IFERROR(__xludf.DUMMYFUNCTION("""COMPUTED_VALUE"""),"นายรอมฎอน เส็นเจริญ")</f>
        <v>นายรอมฎอน เส็นเจริญ</v>
      </c>
      <c r="C2286" s="3" t="str">
        <f>IFERROR(__xludf.DUMMYFUNCTION("""COMPUTED_VALUE"""),"ม.6/5")</f>
        <v>ม.6/5</v>
      </c>
      <c r="D2286" s="3" t="str">
        <f>IFERROR(__xludf.DUMMYFUNCTION("""COMPUTED_VALUE"""),"อป.3/5")</f>
        <v>อป.3/5</v>
      </c>
      <c r="E2286" s="2" t="str">
        <f>IFERROR(__xludf.DUMMYFUNCTION("""COMPUTED_VALUE"""),"ชาย")</f>
        <v>ชาย</v>
      </c>
      <c r="F2286" s="5" t="str">
        <f>IFERROR(__xludf.DUMMYFUNCTION("""COMPUTED_VALUE"""),"https://azizstan.net/student_image/23015.jpg")</f>
        <v>https://azizstan.net/student_image/23015.jpg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>
      <c r="A2287" s="3" t="str">
        <f>IFERROR(__xludf.DUMMYFUNCTION("""COMPUTED_VALUE"""),"23034")</f>
        <v>23034</v>
      </c>
      <c r="B2287" s="3" t="str">
        <f>IFERROR(__xludf.DUMMYFUNCTION("""COMPUTED_VALUE"""),"นายมูฮำหมัดมะห์ยูดีน เพชรรุ่ง")</f>
        <v>นายมูฮำหมัดมะห์ยูดีน เพชรรุ่ง</v>
      </c>
      <c r="C2287" s="3" t="str">
        <f>IFERROR(__xludf.DUMMYFUNCTION("""COMPUTED_VALUE"""),"ม.6/5")</f>
        <v>ม.6/5</v>
      </c>
      <c r="D2287" s="3" t="str">
        <f>IFERROR(__xludf.DUMMYFUNCTION("""COMPUTED_VALUE"""),"อป.3/5")</f>
        <v>อป.3/5</v>
      </c>
      <c r="E2287" s="2" t="str">
        <f>IFERROR(__xludf.DUMMYFUNCTION("""COMPUTED_VALUE"""),"ชาย")</f>
        <v>ชาย</v>
      </c>
      <c r="F2287" s="5" t="str">
        <f>IFERROR(__xludf.DUMMYFUNCTION("""COMPUTED_VALUE"""),"https://azizstan.net/student_image/23034.jpg")</f>
        <v>https://azizstan.net/student_image/23034.jpg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>
      <c r="A2288" s="3" t="str">
        <f>IFERROR(__xludf.DUMMYFUNCTION("""COMPUTED_VALUE"""),"23040")</f>
        <v>23040</v>
      </c>
      <c r="B2288" s="3" t="str">
        <f>IFERROR(__xludf.DUMMYFUNCTION("""COMPUTED_VALUE"""),"น.ส.นิอรณี นิโอะ")</f>
        <v>น.ส.นิอรณี นิโอะ</v>
      </c>
      <c r="C2288" s="3" t="str">
        <f>IFERROR(__xludf.DUMMYFUNCTION("""COMPUTED_VALUE"""),"ม.6/5")</f>
        <v>ม.6/5</v>
      </c>
      <c r="D2288" s="3" t="str">
        <f>IFERROR(__xludf.DUMMYFUNCTION("""COMPUTED_VALUE"""),"อป.3/5")</f>
        <v>อป.3/5</v>
      </c>
      <c r="E2288" s="2" t="str">
        <f>IFERROR(__xludf.DUMMYFUNCTION("""COMPUTED_VALUE"""),"หญิง")</f>
        <v>หญิง</v>
      </c>
      <c r="F2288" s="5" t="str">
        <f>IFERROR(__xludf.DUMMYFUNCTION("""COMPUTED_VALUE"""),"https://azizstan.net/student_image/23040.jpg")</f>
        <v>https://azizstan.net/student_image/23040.jpg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>
      <c r="A2289" s="3" t="str">
        <f>IFERROR(__xludf.DUMMYFUNCTION("""COMPUTED_VALUE"""),"23127")</f>
        <v>23127</v>
      </c>
      <c r="B2289" s="3" t="str">
        <f>IFERROR(__xludf.DUMMYFUNCTION("""COMPUTED_VALUE"""),"นายมูฮัมหมัดฮาฟีส สะมะแอ")</f>
        <v>นายมูฮัมหมัดฮาฟีส สะมะแอ</v>
      </c>
      <c r="C2289" s="3" t="str">
        <f>IFERROR(__xludf.DUMMYFUNCTION("""COMPUTED_VALUE"""),"ม.6/5")</f>
        <v>ม.6/5</v>
      </c>
      <c r="D2289" s="3" t="str">
        <f>IFERROR(__xludf.DUMMYFUNCTION("""COMPUTED_VALUE"""),"อป.3/5")</f>
        <v>อป.3/5</v>
      </c>
      <c r="E2289" s="2" t="str">
        <f>IFERROR(__xludf.DUMMYFUNCTION("""COMPUTED_VALUE"""),"ชาย")</f>
        <v>ชาย</v>
      </c>
      <c r="F2289" s="5" t="str">
        <f>IFERROR(__xludf.DUMMYFUNCTION("""COMPUTED_VALUE"""),"https://azizstan.net/student_image/23127.jpg")</f>
        <v>https://azizstan.net/student_image/23127.jpg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>
      <c r="A2290" s="3" t="str">
        <f>IFERROR(__xludf.DUMMYFUNCTION("""COMPUTED_VALUE"""),"23146")</f>
        <v>23146</v>
      </c>
      <c r="B2290" s="3" t="str">
        <f>IFERROR(__xludf.DUMMYFUNCTION("""COMPUTED_VALUE"""),"น.ส.นูรอายนุง ดอคอ")</f>
        <v>น.ส.นูรอายนุง ดอคอ</v>
      </c>
      <c r="C2290" s="3" t="str">
        <f>IFERROR(__xludf.DUMMYFUNCTION("""COMPUTED_VALUE"""),"ม.6/5")</f>
        <v>ม.6/5</v>
      </c>
      <c r="D2290" s="3" t="str">
        <f>IFERROR(__xludf.DUMMYFUNCTION("""COMPUTED_VALUE"""),"อป.3/5")</f>
        <v>อป.3/5</v>
      </c>
      <c r="E2290" s="2" t="str">
        <f>IFERROR(__xludf.DUMMYFUNCTION("""COMPUTED_VALUE"""),"หญิง")</f>
        <v>หญิง</v>
      </c>
      <c r="F2290" s="5" t="str">
        <f>IFERROR(__xludf.DUMMYFUNCTION("""COMPUTED_VALUE"""),"https://azizstan.net/student_image/23146.jpg")</f>
        <v>https://azizstan.net/student_image/23146.jpg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>
      <c r="A2291" s="3" t="str">
        <f>IFERROR(__xludf.DUMMYFUNCTION("""COMPUTED_VALUE"""),"23171")</f>
        <v>23171</v>
      </c>
      <c r="B2291" s="3" t="str">
        <f>IFERROR(__xludf.DUMMYFUNCTION("""COMPUTED_VALUE"""),"นายมูซัยมี ลูกเล็ก")</f>
        <v>นายมูซัยมี ลูกเล็ก</v>
      </c>
      <c r="C2291" s="3" t="str">
        <f>IFERROR(__xludf.DUMMYFUNCTION("""COMPUTED_VALUE"""),"ม.6/5")</f>
        <v>ม.6/5</v>
      </c>
      <c r="D2291" s="3" t="str">
        <f>IFERROR(__xludf.DUMMYFUNCTION("""COMPUTED_VALUE"""),"อป.3/5")</f>
        <v>อป.3/5</v>
      </c>
      <c r="E2291" s="2" t="str">
        <f>IFERROR(__xludf.DUMMYFUNCTION("""COMPUTED_VALUE"""),"ชาย")</f>
        <v>ชาย</v>
      </c>
      <c r="F2291" s="5" t="str">
        <f>IFERROR(__xludf.DUMMYFUNCTION("""COMPUTED_VALUE"""),"https://azizstan.net/student_image/23171.jpg")</f>
        <v>https://azizstan.net/student_image/23171.jpg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>
      <c r="A2292" s="3" t="str">
        <f>IFERROR(__xludf.DUMMYFUNCTION("""COMPUTED_VALUE"""),"23177")</f>
        <v>23177</v>
      </c>
      <c r="B2292" s="3" t="str">
        <f>IFERROR(__xludf.DUMMYFUNCTION("""COMPUTED_VALUE"""),"น.ส.ซีรีน มะลี")</f>
        <v>น.ส.ซีรีน มะลี</v>
      </c>
      <c r="C2292" s="3" t="str">
        <f>IFERROR(__xludf.DUMMYFUNCTION("""COMPUTED_VALUE"""),"ม.6/5")</f>
        <v>ม.6/5</v>
      </c>
      <c r="D2292" s="3" t="str">
        <f>IFERROR(__xludf.DUMMYFUNCTION("""COMPUTED_VALUE"""),"อป.3/5")</f>
        <v>อป.3/5</v>
      </c>
      <c r="E2292" s="2" t="str">
        <f>IFERROR(__xludf.DUMMYFUNCTION("""COMPUTED_VALUE"""),"หญิง")</f>
        <v>หญิง</v>
      </c>
      <c r="F2292" s="5" t="str">
        <f>IFERROR(__xludf.DUMMYFUNCTION("""COMPUTED_VALUE"""),"https://azizstan.net/student_image/23177.jpg")</f>
        <v>https://azizstan.net/student_image/23177.jpg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>
      <c r="A2293" s="3" t="str">
        <f>IFERROR(__xludf.DUMMYFUNCTION("""COMPUTED_VALUE"""),"23181")</f>
        <v>23181</v>
      </c>
      <c r="B2293" s="3" t="str">
        <f>IFERROR(__xludf.DUMMYFUNCTION("""COMPUTED_VALUE"""),"น.ส.อัซซูฮัยฟา เตะหนิ")</f>
        <v>น.ส.อัซซูฮัยฟา เตะหนิ</v>
      </c>
      <c r="C2293" s="3" t="str">
        <f>IFERROR(__xludf.DUMMYFUNCTION("""COMPUTED_VALUE"""),"ม.6/5")</f>
        <v>ม.6/5</v>
      </c>
      <c r="D2293" s="3" t="str">
        <f>IFERROR(__xludf.DUMMYFUNCTION("""COMPUTED_VALUE"""),"อป.3/5")</f>
        <v>อป.3/5</v>
      </c>
      <c r="E2293" s="2" t="str">
        <f>IFERROR(__xludf.DUMMYFUNCTION("""COMPUTED_VALUE"""),"หญิง")</f>
        <v>หญิง</v>
      </c>
      <c r="F2293" s="5" t="str">
        <f>IFERROR(__xludf.DUMMYFUNCTION("""COMPUTED_VALUE"""),"https://azizstan.net/student_image/23181.jpg")</f>
        <v>https://azizstan.net/student_image/23181.jpg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>
      <c r="A2294" s="3" t="str">
        <f>IFERROR(__xludf.DUMMYFUNCTION("""COMPUTED_VALUE"""),"23205")</f>
        <v>23205</v>
      </c>
      <c r="B2294" s="3" t="str">
        <f>IFERROR(__xludf.DUMMYFUNCTION("""COMPUTED_VALUE"""),"นายอารีฟีน สะเล่")</f>
        <v>นายอารีฟีน สะเล่</v>
      </c>
      <c r="C2294" s="3" t="str">
        <f>IFERROR(__xludf.DUMMYFUNCTION("""COMPUTED_VALUE"""),"ม.6/5")</f>
        <v>ม.6/5</v>
      </c>
      <c r="D2294" s="3" t="str">
        <f>IFERROR(__xludf.DUMMYFUNCTION("""COMPUTED_VALUE"""),"อป.3/5")</f>
        <v>อป.3/5</v>
      </c>
      <c r="E2294" s="2" t="str">
        <f>IFERROR(__xludf.DUMMYFUNCTION("""COMPUTED_VALUE"""),"ชาย")</f>
        <v>ชาย</v>
      </c>
      <c r="F2294" s="5" t="str">
        <f>IFERROR(__xludf.DUMMYFUNCTION("""COMPUTED_VALUE"""),"https://azizstan.net/student_image/23205.jpg")</f>
        <v>https://azizstan.net/student_image/23205.jpg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>
      <c r="A2295" s="3" t="str">
        <f>IFERROR(__xludf.DUMMYFUNCTION("""COMPUTED_VALUE"""),"23218")</f>
        <v>23218</v>
      </c>
      <c r="B2295" s="3" t="str">
        <f>IFERROR(__xludf.DUMMYFUNCTION("""COMPUTED_VALUE"""),"น.ส.ฟิรฮานาน ดรอแม")</f>
        <v>น.ส.ฟิรฮานาน ดรอแม</v>
      </c>
      <c r="C2295" s="3" t="str">
        <f>IFERROR(__xludf.DUMMYFUNCTION("""COMPUTED_VALUE"""),"ม.6/5")</f>
        <v>ม.6/5</v>
      </c>
      <c r="D2295" s="3" t="str">
        <f>IFERROR(__xludf.DUMMYFUNCTION("""COMPUTED_VALUE"""),"อป.3/5")</f>
        <v>อป.3/5</v>
      </c>
      <c r="E2295" s="2" t="str">
        <f>IFERROR(__xludf.DUMMYFUNCTION("""COMPUTED_VALUE"""),"หญิง")</f>
        <v>หญิง</v>
      </c>
      <c r="F2295" s="5" t="str">
        <f>IFERROR(__xludf.DUMMYFUNCTION("""COMPUTED_VALUE"""),"https://azizstan.net/student_image/23218.jpg")</f>
        <v>https://azizstan.net/student_image/23218.jpg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>
      <c r="A2296" s="3" t="str">
        <f>IFERROR(__xludf.DUMMYFUNCTION("""COMPUTED_VALUE"""),"24921")</f>
        <v>24921</v>
      </c>
      <c r="B2296" s="3" t="str">
        <f>IFERROR(__xludf.DUMMYFUNCTION("""COMPUTED_VALUE"""),"น.ส.อิฮซาน แวดีซา")</f>
        <v>น.ส.อิฮซาน แวดีซา</v>
      </c>
      <c r="C2296" s="3" t="str">
        <f>IFERROR(__xludf.DUMMYFUNCTION("""COMPUTED_VALUE"""),"ม.6/5")</f>
        <v>ม.6/5</v>
      </c>
      <c r="D2296" s="3" t="str">
        <f>IFERROR(__xludf.DUMMYFUNCTION("""COMPUTED_VALUE"""),"อป.3/5")</f>
        <v>อป.3/5</v>
      </c>
      <c r="E2296" s="2" t="str">
        <f>IFERROR(__xludf.DUMMYFUNCTION("""COMPUTED_VALUE"""),"หญิง")</f>
        <v>หญิง</v>
      </c>
      <c r="F2296" s="5" t="str">
        <f>IFERROR(__xludf.DUMMYFUNCTION("""COMPUTED_VALUE"""),"https://azizstan.net/student_image/24921.jpg")</f>
        <v>https://azizstan.net/student_image/24921.jpg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>
      <c r="A2297" s="3" t="str">
        <f>IFERROR(__xludf.DUMMYFUNCTION("""COMPUTED_VALUE"""),"24945")</f>
        <v>24945</v>
      </c>
      <c r="B2297" s="3" t="str">
        <f>IFERROR(__xludf.DUMMYFUNCTION("""COMPUTED_VALUE"""),"น.ส.กูฮัซวานี บิสนุม")</f>
        <v>น.ส.กูฮัซวานี บิสนุม</v>
      </c>
      <c r="C2297" s="3" t="str">
        <f>IFERROR(__xludf.DUMMYFUNCTION("""COMPUTED_VALUE"""),"ม.6/5")</f>
        <v>ม.6/5</v>
      </c>
      <c r="D2297" s="3" t="str">
        <f>IFERROR(__xludf.DUMMYFUNCTION("""COMPUTED_VALUE"""),"อป.3/5")</f>
        <v>อป.3/5</v>
      </c>
      <c r="E2297" s="2" t="str">
        <f>IFERROR(__xludf.DUMMYFUNCTION("""COMPUTED_VALUE"""),"หญิง")</f>
        <v>หญิง</v>
      </c>
      <c r="F2297" s="5" t="str">
        <f>IFERROR(__xludf.DUMMYFUNCTION("""COMPUTED_VALUE"""),"https://azizstan.net/student_image/24945.jpg")</f>
        <v>https://azizstan.net/student_image/24945.jpg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>
      <c r="A2298" s="3" t="str">
        <f>IFERROR(__xludf.DUMMYFUNCTION("""COMPUTED_VALUE"""),"25003")</f>
        <v>25003</v>
      </c>
      <c r="B2298" s="3" t="str">
        <f>IFERROR(__xludf.DUMMYFUNCTION("""COMPUTED_VALUE"""),"น.ส.นิสซารีน วิวัชพงษ์")</f>
        <v>น.ส.นิสซารีน วิวัชพงษ์</v>
      </c>
      <c r="C2298" s="3" t="str">
        <f>IFERROR(__xludf.DUMMYFUNCTION("""COMPUTED_VALUE"""),"ม.6/5")</f>
        <v>ม.6/5</v>
      </c>
      <c r="D2298" s="3" t="str">
        <f>IFERROR(__xludf.DUMMYFUNCTION("""COMPUTED_VALUE"""),"อป.3/5")</f>
        <v>อป.3/5</v>
      </c>
      <c r="E2298" s="2" t="str">
        <f>IFERROR(__xludf.DUMMYFUNCTION("""COMPUTED_VALUE"""),"หญิง")</f>
        <v>หญิง</v>
      </c>
      <c r="F2298" s="5" t="str">
        <f>IFERROR(__xludf.DUMMYFUNCTION("""COMPUTED_VALUE"""),"https://azizstan.net/student_image/25003.jpg")</f>
        <v>https://azizstan.net/student_image/25003.jpg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>
      <c r="A2299" s="3" t="str">
        <f>IFERROR(__xludf.DUMMYFUNCTION("""COMPUTED_VALUE"""),"25260")</f>
        <v>25260</v>
      </c>
      <c r="B2299" s="3" t="str">
        <f>IFERROR(__xludf.DUMMYFUNCTION("""COMPUTED_VALUE"""),"นายรุทธวีร์ หลำเบ็นหมุด")</f>
        <v>นายรุทธวีร์ หลำเบ็นหมุด</v>
      </c>
      <c r="C2299" s="3" t="str">
        <f>IFERROR(__xludf.DUMMYFUNCTION("""COMPUTED_VALUE"""),"ม.6/5")</f>
        <v>ม.6/5</v>
      </c>
      <c r="D2299" s="3" t="str">
        <f>IFERROR(__xludf.DUMMYFUNCTION("""COMPUTED_VALUE"""),"อป.3/5")</f>
        <v>อป.3/5</v>
      </c>
      <c r="E2299" s="2" t="str">
        <f>IFERROR(__xludf.DUMMYFUNCTION("""COMPUTED_VALUE"""),"ชาย")</f>
        <v>ชาย</v>
      </c>
      <c r="F2299" s="5" t="str">
        <f>IFERROR(__xludf.DUMMYFUNCTION("""COMPUTED_VALUE"""),"https://azizstan.net/student_image/25260.jpg")</f>
        <v>https://azizstan.net/student_image/25260.jpg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>
      <c r="A2300" s="3" t="str">
        <f>IFERROR(__xludf.DUMMYFUNCTION("""COMPUTED_VALUE"""),"22696")</f>
        <v>22696</v>
      </c>
      <c r="B2300" s="3" t="str">
        <f>IFERROR(__xludf.DUMMYFUNCTION("""COMPUTED_VALUE"""),"น.ส.สุพัตรา กูนิง")</f>
        <v>น.ส.สุพัตรา กูนิง</v>
      </c>
      <c r="C2300" s="3" t="str">
        <f>IFERROR(__xludf.DUMMYFUNCTION("""COMPUTED_VALUE"""),"ม.6/6")</f>
        <v>ม.6/6</v>
      </c>
      <c r="D2300" s="3" t="str">
        <f>IFERROR(__xludf.DUMMYFUNCTION("""COMPUTED_VALUE"""),"อป.3/6")</f>
        <v>อป.3/6</v>
      </c>
      <c r="E2300" s="2" t="str">
        <f>IFERROR(__xludf.DUMMYFUNCTION("""COMPUTED_VALUE"""),"หญิง")</f>
        <v>หญิง</v>
      </c>
      <c r="F2300" s="5" t="str">
        <f>IFERROR(__xludf.DUMMYFUNCTION("""COMPUTED_VALUE"""),"https://azizstan.net/student_image/22696.jpg")</f>
        <v>https://azizstan.net/student_image/22696.jpg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>
      <c r="A2301" s="3" t="str">
        <f>IFERROR(__xludf.DUMMYFUNCTION("""COMPUTED_VALUE"""),"22740")</f>
        <v>22740</v>
      </c>
      <c r="B2301" s="3" t="str">
        <f>IFERROR(__xludf.DUMMYFUNCTION("""COMPUTED_VALUE"""),"น.ส.สูมัยยะห์ อาลีมามะ")</f>
        <v>น.ส.สูมัยยะห์ อาลีมามะ</v>
      </c>
      <c r="C2301" s="3" t="str">
        <f>IFERROR(__xludf.DUMMYFUNCTION("""COMPUTED_VALUE"""),"ม.6/6")</f>
        <v>ม.6/6</v>
      </c>
      <c r="D2301" s="3" t="str">
        <f>IFERROR(__xludf.DUMMYFUNCTION("""COMPUTED_VALUE"""),"อป.3/6")</f>
        <v>อป.3/6</v>
      </c>
      <c r="E2301" s="2" t="str">
        <f>IFERROR(__xludf.DUMMYFUNCTION("""COMPUTED_VALUE"""),"หญิง")</f>
        <v>หญิง</v>
      </c>
      <c r="F2301" s="5" t="str">
        <f>IFERROR(__xludf.DUMMYFUNCTION("""COMPUTED_VALUE"""),"https://azizstan.net/student_image/22740.jpg")</f>
        <v>https://azizstan.net/student_image/22740.jpg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>
      <c r="A2302" s="3" t="str">
        <f>IFERROR(__xludf.DUMMYFUNCTION("""COMPUTED_VALUE"""),"22742")</f>
        <v>22742</v>
      </c>
      <c r="B2302" s="3" t="str">
        <f>IFERROR(__xludf.DUMMYFUNCTION("""COMPUTED_VALUE"""),"น.ส.นิสรีน มอลอ")</f>
        <v>น.ส.นิสรีน มอลอ</v>
      </c>
      <c r="C2302" s="3" t="str">
        <f>IFERROR(__xludf.DUMMYFUNCTION("""COMPUTED_VALUE"""),"ม.6/6")</f>
        <v>ม.6/6</v>
      </c>
      <c r="D2302" s="3" t="str">
        <f>IFERROR(__xludf.DUMMYFUNCTION("""COMPUTED_VALUE"""),"อป.3/6")</f>
        <v>อป.3/6</v>
      </c>
      <c r="E2302" s="2" t="str">
        <f>IFERROR(__xludf.DUMMYFUNCTION("""COMPUTED_VALUE"""),"หญิง")</f>
        <v>หญิง</v>
      </c>
      <c r="F2302" s="5" t="str">
        <f>IFERROR(__xludf.DUMMYFUNCTION("""COMPUTED_VALUE"""),"https://azizstan.net/student_image/22742.jpg")</f>
        <v>https://azizstan.net/student_image/22742.jpg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>
      <c r="A2303" s="3" t="str">
        <f>IFERROR(__xludf.DUMMYFUNCTION("""COMPUTED_VALUE"""),"22765")</f>
        <v>22765</v>
      </c>
      <c r="B2303" s="3" t="str">
        <f>IFERROR(__xludf.DUMMYFUNCTION("""COMPUTED_VALUE"""),"น.ส.อามีเนาะ ดอเลาะ")</f>
        <v>น.ส.อามีเนาะ ดอเลาะ</v>
      </c>
      <c r="C2303" s="3" t="str">
        <f>IFERROR(__xludf.DUMMYFUNCTION("""COMPUTED_VALUE"""),"ม.6/6")</f>
        <v>ม.6/6</v>
      </c>
      <c r="D2303" s="3" t="str">
        <f>IFERROR(__xludf.DUMMYFUNCTION("""COMPUTED_VALUE"""),"อป.3/6")</f>
        <v>อป.3/6</v>
      </c>
      <c r="E2303" s="2" t="str">
        <f>IFERROR(__xludf.DUMMYFUNCTION("""COMPUTED_VALUE"""),"หญิง")</f>
        <v>หญิง</v>
      </c>
      <c r="F2303" s="5" t="str">
        <f>IFERROR(__xludf.DUMMYFUNCTION("""COMPUTED_VALUE"""),"https://azizstan.net/student_image/22765.jpg")</f>
        <v>https://azizstan.net/student_image/22765.jpg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>
      <c r="A2304" s="3" t="str">
        <f>IFERROR(__xludf.DUMMYFUNCTION("""COMPUTED_VALUE"""),"22801")</f>
        <v>22801</v>
      </c>
      <c r="B2304" s="3" t="str">
        <f>IFERROR(__xludf.DUMMYFUNCTION("""COMPUTED_VALUE"""),"นายมัรวัน ขามิ")</f>
        <v>นายมัรวัน ขามิ</v>
      </c>
      <c r="C2304" s="3" t="str">
        <f>IFERROR(__xludf.DUMMYFUNCTION("""COMPUTED_VALUE"""),"ม.6/6")</f>
        <v>ม.6/6</v>
      </c>
      <c r="D2304" s="3" t="str">
        <f>IFERROR(__xludf.DUMMYFUNCTION("""COMPUTED_VALUE"""),"อป.3/6")</f>
        <v>อป.3/6</v>
      </c>
      <c r="E2304" s="2" t="str">
        <f>IFERROR(__xludf.DUMMYFUNCTION("""COMPUTED_VALUE"""),"ชาย")</f>
        <v>ชาย</v>
      </c>
      <c r="F2304" s="5" t="str">
        <f>IFERROR(__xludf.DUMMYFUNCTION("""COMPUTED_VALUE"""),"https://azizstan.net/student_image/22801.jpg")</f>
        <v>https://azizstan.net/student_image/22801.jpg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>
      <c r="A2305" s="3" t="str">
        <f>IFERROR(__xludf.DUMMYFUNCTION("""COMPUTED_VALUE"""),"22868")</f>
        <v>22868</v>
      </c>
      <c r="B2305" s="3" t="str">
        <f>IFERROR(__xludf.DUMMYFUNCTION("""COMPUTED_VALUE"""),"น.ส.ซัยฟริต้า กุตงกือเด็ง")</f>
        <v>น.ส.ซัยฟริต้า กุตงกือเด็ง</v>
      </c>
      <c r="C2305" s="3" t="str">
        <f>IFERROR(__xludf.DUMMYFUNCTION("""COMPUTED_VALUE"""),"ม.6/6")</f>
        <v>ม.6/6</v>
      </c>
      <c r="D2305" s="3" t="str">
        <f>IFERROR(__xludf.DUMMYFUNCTION("""COMPUTED_VALUE"""),"อป.3/6")</f>
        <v>อป.3/6</v>
      </c>
      <c r="E2305" s="2" t="str">
        <f>IFERROR(__xludf.DUMMYFUNCTION("""COMPUTED_VALUE"""),"หญิง")</f>
        <v>หญิง</v>
      </c>
      <c r="F2305" s="5" t="str">
        <f>IFERROR(__xludf.DUMMYFUNCTION("""COMPUTED_VALUE"""),"https://azizstan.net/student_image/22868.jpg")</f>
        <v>https://azizstan.net/student_image/22868.jpg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>
      <c r="A2306" s="3" t="str">
        <f>IFERROR(__xludf.DUMMYFUNCTION("""COMPUTED_VALUE"""),"22891")</f>
        <v>22891</v>
      </c>
      <c r="B2306" s="3" t="str">
        <f>IFERROR(__xludf.DUMMYFUNCTION("""COMPUTED_VALUE"""),"น.ส.นัสรียา เบ็ญยุโสะ")</f>
        <v>น.ส.นัสรียา เบ็ญยุโสะ</v>
      </c>
      <c r="C2306" s="3" t="str">
        <f>IFERROR(__xludf.DUMMYFUNCTION("""COMPUTED_VALUE"""),"ม.6/6")</f>
        <v>ม.6/6</v>
      </c>
      <c r="D2306" s="3" t="str">
        <f>IFERROR(__xludf.DUMMYFUNCTION("""COMPUTED_VALUE"""),"อป.3/6")</f>
        <v>อป.3/6</v>
      </c>
      <c r="E2306" s="2" t="str">
        <f>IFERROR(__xludf.DUMMYFUNCTION("""COMPUTED_VALUE"""),"หญิง")</f>
        <v>หญิง</v>
      </c>
      <c r="F2306" s="5" t="str">
        <f>IFERROR(__xludf.DUMMYFUNCTION("""COMPUTED_VALUE"""),"https://azizstan.net/student_image/22891.jpg")</f>
        <v>https://azizstan.net/student_image/22891.jpg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>
      <c r="A2307" s="3" t="str">
        <f>IFERROR(__xludf.DUMMYFUNCTION("""COMPUTED_VALUE"""),"22945")</f>
        <v>22945</v>
      </c>
      <c r="B2307" s="3" t="str">
        <f>IFERROR(__xludf.DUMMYFUNCTION("""COMPUTED_VALUE"""),"นายกัซฟี หะยีบากา")</f>
        <v>นายกัซฟี หะยีบากา</v>
      </c>
      <c r="C2307" s="3" t="str">
        <f>IFERROR(__xludf.DUMMYFUNCTION("""COMPUTED_VALUE"""),"ม.6/6")</f>
        <v>ม.6/6</v>
      </c>
      <c r="D2307" s="3" t="str">
        <f>IFERROR(__xludf.DUMMYFUNCTION("""COMPUTED_VALUE"""),"อป.3/6")</f>
        <v>อป.3/6</v>
      </c>
      <c r="E2307" s="2" t="str">
        <f>IFERROR(__xludf.DUMMYFUNCTION("""COMPUTED_VALUE"""),"ชาย")</f>
        <v>ชาย</v>
      </c>
      <c r="F2307" s="5" t="str">
        <f>IFERROR(__xludf.DUMMYFUNCTION("""COMPUTED_VALUE"""),"https://azizstan.net/student_image/22945.jpg")</f>
        <v>https://azizstan.net/student_image/22945.jpg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>
      <c r="A2308" s="3" t="str">
        <f>IFERROR(__xludf.DUMMYFUNCTION("""COMPUTED_VALUE"""),"22965")</f>
        <v>22965</v>
      </c>
      <c r="B2308" s="3" t="str">
        <f>IFERROR(__xludf.DUMMYFUNCTION("""COMPUTED_VALUE"""),"น.ส.อัสมะ เจะสนิ")</f>
        <v>น.ส.อัสมะ เจะสนิ</v>
      </c>
      <c r="C2308" s="3" t="str">
        <f>IFERROR(__xludf.DUMMYFUNCTION("""COMPUTED_VALUE"""),"ม.6/6")</f>
        <v>ม.6/6</v>
      </c>
      <c r="D2308" s="3" t="str">
        <f>IFERROR(__xludf.DUMMYFUNCTION("""COMPUTED_VALUE"""),"อป.3/6")</f>
        <v>อป.3/6</v>
      </c>
      <c r="E2308" s="2" t="str">
        <f>IFERROR(__xludf.DUMMYFUNCTION("""COMPUTED_VALUE"""),"หญิง")</f>
        <v>หญิง</v>
      </c>
      <c r="F2308" s="5" t="str">
        <f>IFERROR(__xludf.DUMMYFUNCTION("""COMPUTED_VALUE"""),"https://azizstan.net/student_image/22965.jpg")</f>
        <v>https://azizstan.net/student_image/22965.jpg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>
      <c r="A2309" s="3" t="str">
        <f>IFERROR(__xludf.DUMMYFUNCTION("""COMPUTED_VALUE"""),"23000")</f>
        <v>23000</v>
      </c>
      <c r="B2309" s="3" t="str">
        <f>IFERROR(__xludf.DUMMYFUNCTION("""COMPUTED_VALUE"""),"น.ส.ฟาตีเมาะ สาและ")</f>
        <v>น.ส.ฟาตีเมาะ สาและ</v>
      </c>
      <c r="C2309" s="3" t="str">
        <f>IFERROR(__xludf.DUMMYFUNCTION("""COMPUTED_VALUE"""),"ม.6/6")</f>
        <v>ม.6/6</v>
      </c>
      <c r="D2309" s="3" t="str">
        <f>IFERROR(__xludf.DUMMYFUNCTION("""COMPUTED_VALUE"""),"อป.3/6")</f>
        <v>อป.3/6</v>
      </c>
      <c r="E2309" s="2" t="str">
        <f>IFERROR(__xludf.DUMMYFUNCTION("""COMPUTED_VALUE"""),"หญิง")</f>
        <v>หญิง</v>
      </c>
      <c r="F2309" s="5" t="str">
        <f>IFERROR(__xludf.DUMMYFUNCTION("""COMPUTED_VALUE"""),"https://azizstan.net/student_image/23000.jpg")</f>
        <v>https://azizstan.net/student_image/23000.jpg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>
      <c r="A2310" s="3" t="str">
        <f>IFERROR(__xludf.DUMMYFUNCTION("""COMPUTED_VALUE"""),"23003")</f>
        <v>23003</v>
      </c>
      <c r="B2310" s="3" t="str">
        <f>IFERROR(__xludf.DUMMYFUNCTION("""COMPUTED_VALUE"""),"นายนูรูลดีน สะอะ")</f>
        <v>นายนูรูลดีน สะอะ</v>
      </c>
      <c r="C2310" s="3" t="str">
        <f>IFERROR(__xludf.DUMMYFUNCTION("""COMPUTED_VALUE"""),"ม.6/6")</f>
        <v>ม.6/6</v>
      </c>
      <c r="D2310" s="3" t="str">
        <f>IFERROR(__xludf.DUMMYFUNCTION("""COMPUTED_VALUE"""),"อป.3/6")</f>
        <v>อป.3/6</v>
      </c>
      <c r="E2310" s="2" t="str">
        <f>IFERROR(__xludf.DUMMYFUNCTION("""COMPUTED_VALUE"""),"ชาย")</f>
        <v>ชาย</v>
      </c>
      <c r="F2310" s="5" t="str">
        <f>IFERROR(__xludf.DUMMYFUNCTION("""COMPUTED_VALUE"""),"https://azizstan.net/student_image/23003.jpg")</f>
        <v>https://azizstan.net/student_image/23003.jpg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>
      <c r="A2311" s="3" t="str">
        <f>IFERROR(__xludf.DUMMYFUNCTION("""COMPUTED_VALUE"""),"23004")</f>
        <v>23004</v>
      </c>
      <c r="B2311" s="3" t="str">
        <f>IFERROR(__xludf.DUMMYFUNCTION("""COMPUTED_VALUE"""),"น.ส.ซูฮาดา สาเร๊าะ")</f>
        <v>น.ส.ซูฮาดา สาเร๊าะ</v>
      </c>
      <c r="C2311" s="3" t="str">
        <f>IFERROR(__xludf.DUMMYFUNCTION("""COMPUTED_VALUE"""),"ม.6/6")</f>
        <v>ม.6/6</v>
      </c>
      <c r="D2311" s="3" t="str">
        <f>IFERROR(__xludf.DUMMYFUNCTION("""COMPUTED_VALUE"""),"อป.3/6")</f>
        <v>อป.3/6</v>
      </c>
      <c r="E2311" s="2" t="str">
        <f>IFERROR(__xludf.DUMMYFUNCTION("""COMPUTED_VALUE"""),"หญิง")</f>
        <v>หญิง</v>
      </c>
      <c r="F2311" s="5" t="str">
        <f>IFERROR(__xludf.DUMMYFUNCTION("""COMPUTED_VALUE"""),"https://azizstan.net/student_image/23004.jpg")</f>
        <v>https://azizstan.net/student_image/23004.jpg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>
      <c r="A2312" s="3" t="str">
        <f>IFERROR(__xludf.DUMMYFUNCTION("""COMPUTED_VALUE"""),"23019")</f>
        <v>23019</v>
      </c>
      <c r="B2312" s="3" t="str">
        <f>IFERROR(__xludf.DUMMYFUNCTION("""COMPUTED_VALUE"""),"น.ส.นาฟัล ปาโห๊ะ")</f>
        <v>น.ส.นาฟัล ปาโห๊ะ</v>
      </c>
      <c r="C2312" s="3" t="str">
        <f>IFERROR(__xludf.DUMMYFUNCTION("""COMPUTED_VALUE"""),"ม.6/6")</f>
        <v>ม.6/6</v>
      </c>
      <c r="D2312" s="3" t="str">
        <f>IFERROR(__xludf.DUMMYFUNCTION("""COMPUTED_VALUE"""),"อป.3/6")</f>
        <v>อป.3/6</v>
      </c>
      <c r="E2312" s="2" t="str">
        <f>IFERROR(__xludf.DUMMYFUNCTION("""COMPUTED_VALUE"""),"หญิง")</f>
        <v>หญิง</v>
      </c>
      <c r="F2312" s="5" t="str">
        <f>IFERROR(__xludf.DUMMYFUNCTION("""COMPUTED_VALUE"""),"https://azizstan.net/student_image/23019.jpg")</f>
        <v>https://azizstan.net/student_image/23019.jpg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>
      <c r="A2313" s="3" t="str">
        <f>IFERROR(__xludf.DUMMYFUNCTION("""COMPUTED_VALUE"""),"23041")</f>
        <v>23041</v>
      </c>
      <c r="B2313" s="3" t="str">
        <f>IFERROR(__xludf.DUMMYFUNCTION("""COMPUTED_VALUE"""),"น.ส.นินูรีฮัน มะลี")</f>
        <v>น.ส.นินูรีฮัน มะลี</v>
      </c>
      <c r="C2313" s="3" t="str">
        <f>IFERROR(__xludf.DUMMYFUNCTION("""COMPUTED_VALUE"""),"ม.6/6")</f>
        <v>ม.6/6</v>
      </c>
      <c r="D2313" s="3" t="str">
        <f>IFERROR(__xludf.DUMMYFUNCTION("""COMPUTED_VALUE"""),"อป.3/6")</f>
        <v>อป.3/6</v>
      </c>
      <c r="E2313" s="2" t="str">
        <f>IFERROR(__xludf.DUMMYFUNCTION("""COMPUTED_VALUE"""),"หญิง")</f>
        <v>หญิง</v>
      </c>
      <c r="F2313" s="5" t="str">
        <f>IFERROR(__xludf.DUMMYFUNCTION("""COMPUTED_VALUE"""),"https://azizstan.net/student_image/23041.jpg")</f>
        <v>https://azizstan.net/student_image/23041.jpg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>
      <c r="A2314" s="3" t="str">
        <f>IFERROR(__xludf.DUMMYFUNCTION("""COMPUTED_VALUE"""),"23100")</f>
        <v>23100</v>
      </c>
      <c r="B2314" s="3" t="str">
        <f>IFERROR(__xludf.DUMMYFUNCTION("""COMPUTED_VALUE"""),"นายอามีรูน สะอะ")</f>
        <v>นายอามีรูน สะอะ</v>
      </c>
      <c r="C2314" s="3" t="str">
        <f>IFERROR(__xludf.DUMMYFUNCTION("""COMPUTED_VALUE"""),"ม.6/6")</f>
        <v>ม.6/6</v>
      </c>
      <c r="D2314" s="3" t="str">
        <f>IFERROR(__xludf.DUMMYFUNCTION("""COMPUTED_VALUE"""),"อป.3/6")</f>
        <v>อป.3/6</v>
      </c>
      <c r="E2314" s="2" t="str">
        <f>IFERROR(__xludf.DUMMYFUNCTION("""COMPUTED_VALUE"""),"ชาย")</f>
        <v>ชาย</v>
      </c>
      <c r="F2314" s="5" t="str">
        <f>IFERROR(__xludf.DUMMYFUNCTION("""COMPUTED_VALUE"""),"https://azizstan.net/student_image/23100.jpg")</f>
        <v>https://azizstan.net/student_image/23100.jpg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>
      <c r="A2315" s="3" t="str">
        <f>IFERROR(__xludf.DUMMYFUNCTION("""COMPUTED_VALUE"""),"23102")</f>
        <v>23102</v>
      </c>
      <c r="B2315" s="3" t="str">
        <f>IFERROR(__xludf.DUMMYFUNCTION("""COMPUTED_VALUE"""),"น.ส.มาดีฮะห์ สาแมป่าอ้อ")</f>
        <v>น.ส.มาดีฮะห์ สาแมป่าอ้อ</v>
      </c>
      <c r="C2315" s="3" t="str">
        <f>IFERROR(__xludf.DUMMYFUNCTION("""COMPUTED_VALUE"""),"ม.6/6")</f>
        <v>ม.6/6</v>
      </c>
      <c r="D2315" s="3" t="str">
        <f>IFERROR(__xludf.DUMMYFUNCTION("""COMPUTED_VALUE"""),"อป.3/6")</f>
        <v>อป.3/6</v>
      </c>
      <c r="E2315" s="2" t="str">
        <f>IFERROR(__xludf.DUMMYFUNCTION("""COMPUTED_VALUE"""),"หญิง")</f>
        <v>หญิง</v>
      </c>
      <c r="F2315" s="5" t="str">
        <f>IFERROR(__xludf.DUMMYFUNCTION("""COMPUTED_VALUE"""),"https://azizstan.net/student_image/23102.jpg")</f>
        <v>https://azizstan.net/student_image/23102.jpg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>
      <c r="A2316" s="3" t="str">
        <f>IFERROR(__xludf.DUMMYFUNCTION("""COMPUTED_VALUE"""),"23159")</f>
        <v>23159</v>
      </c>
      <c r="B2316" s="3" t="str">
        <f>IFERROR(__xludf.DUMMYFUNCTION("""COMPUTED_VALUE"""),"น.ส.อาดีลา อับดุลวาฮับ")</f>
        <v>น.ส.อาดีลา อับดุลวาฮับ</v>
      </c>
      <c r="C2316" s="3" t="str">
        <f>IFERROR(__xludf.DUMMYFUNCTION("""COMPUTED_VALUE"""),"ม.6/6")</f>
        <v>ม.6/6</v>
      </c>
      <c r="D2316" s="3" t="str">
        <f>IFERROR(__xludf.DUMMYFUNCTION("""COMPUTED_VALUE"""),"อป.3/6")</f>
        <v>อป.3/6</v>
      </c>
      <c r="E2316" s="2" t="str">
        <f>IFERROR(__xludf.DUMMYFUNCTION("""COMPUTED_VALUE"""),"หญิง")</f>
        <v>หญิง</v>
      </c>
      <c r="F2316" s="5" t="str">
        <f>IFERROR(__xludf.DUMMYFUNCTION("""COMPUTED_VALUE"""),"https://azizstan.net/student_image/23159.jpg")</f>
        <v>https://azizstan.net/student_image/23159.jpg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>
      <c r="A2317" s="3" t="str">
        <f>IFERROR(__xludf.DUMMYFUNCTION("""COMPUTED_VALUE"""),"23210")</f>
        <v>23210</v>
      </c>
      <c r="B2317" s="3" t="str">
        <f>IFERROR(__xludf.DUMMYFUNCTION("""COMPUTED_VALUE"""),"นายมูฮำหมัดยุฟรี ดือราแม")</f>
        <v>นายมูฮำหมัดยุฟรี ดือราแม</v>
      </c>
      <c r="C2317" s="3" t="str">
        <f>IFERROR(__xludf.DUMMYFUNCTION("""COMPUTED_VALUE"""),"ม.6/6")</f>
        <v>ม.6/6</v>
      </c>
      <c r="D2317" s="3" t="str">
        <f>IFERROR(__xludf.DUMMYFUNCTION("""COMPUTED_VALUE"""),"อป.3/6")</f>
        <v>อป.3/6</v>
      </c>
      <c r="E2317" s="2" t="str">
        <f>IFERROR(__xludf.DUMMYFUNCTION("""COMPUTED_VALUE"""),"ชาย")</f>
        <v>ชาย</v>
      </c>
      <c r="F2317" s="5" t="str">
        <f>IFERROR(__xludf.DUMMYFUNCTION("""COMPUTED_VALUE"""),"https://azizstan.net/student_image/23210.jpg")</f>
        <v>https://azizstan.net/student_image/23210.jpg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>
      <c r="A2318" s="3" t="str">
        <f>IFERROR(__xludf.DUMMYFUNCTION("""COMPUTED_VALUE"""),"24693")</f>
        <v>24693</v>
      </c>
      <c r="B2318" s="3" t="str">
        <f>IFERROR(__xludf.DUMMYFUNCTION("""COMPUTED_VALUE"""),"น.ส.นูรนาฟาติน หะมะ")</f>
        <v>น.ส.นูรนาฟาติน หะมะ</v>
      </c>
      <c r="C2318" s="3" t="str">
        <f>IFERROR(__xludf.DUMMYFUNCTION("""COMPUTED_VALUE"""),"ม.6/6")</f>
        <v>ม.6/6</v>
      </c>
      <c r="D2318" s="3" t="str">
        <f>IFERROR(__xludf.DUMMYFUNCTION("""COMPUTED_VALUE"""),"อป.3/6")</f>
        <v>อป.3/6</v>
      </c>
      <c r="E2318" s="2" t="str">
        <f>IFERROR(__xludf.DUMMYFUNCTION("""COMPUTED_VALUE"""),"หญิง")</f>
        <v>หญิง</v>
      </c>
      <c r="F2318" s="5" t="str">
        <f>IFERROR(__xludf.DUMMYFUNCTION("""COMPUTED_VALUE"""),"https://azizstan.net/student_image/24693.jpg")</f>
        <v>https://azizstan.net/student_image/24693.jpg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>
      <c r="A2319" s="3" t="str">
        <f>IFERROR(__xludf.DUMMYFUNCTION("""COMPUTED_VALUE"""),"24728")</f>
        <v>24728</v>
      </c>
      <c r="B2319" s="3" t="str">
        <f>IFERROR(__xludf.DUMMYFUNCTION("""COMPUTED_VALUE"""),"นายมูฮัมมัดฮิลมี ดือราซอ")</f>
        <v>นายมูฮัมมัดฮิลมี ดือราซอ</v>
      </c>
      <c r="C2319" s="3" t="str">
        <f>IFERROR(__xludf.DUMMYFUNCTION("""COMPUTED_VALUE"""),"ม.6/6")</f>
        <v>ม.6/6</v>
      </c>
      <c r="D2319" s="3" t="str">
        <f>IFERROR(__xludf.DUMMYFUNCTION("""COMPUTED_VALUE"""),"อป.3/6")</f>
        <v>อป.3/6</v>
      </c>
      <c r="E2319" s="2" t="str">
        <f>IFERROR(__xludf.DUMMYFUNCTION("""COMPUTED_VALUE"""),"ชาย")</f>
        <v>ชาย</v>
      </c>
      <c r="F2319" s="5" t="str">
        <f>IFERROR(__xludf.DUMMYFUNCTION("""COMPUTED_VALUE"""),"https://azizstan.net/student_image/24728.jpg")</f>
        <v>https://azizstan.net/student_image/24728.jpg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>
      <c r="A2320" s="3" t="str">
        <f>IFERROR(__xludf.DUMMYFUNCTION("""COMPUTED_VALUE"""),"24771")</f>
        <v>24771</v>
      </c>
      <c r="B2320" s="3" t="str">
        <f>IFERROR(__xludf.DUMMYFUNCTION("""COMPUTED_VALUE"""),"น.ส.สิมิลัน ยาประจัน")</f>
        <v>น.ส.สิมิลัน ยาประจัน</v>
      </c>
      <c r="C2320" s="3" t="str">
        <f>IFERROR(__xludf.DUMMYFUNCTION("""COMPUTED_VALUE"""),"ม.6/6")</f>
        <v>ม.6/6</v>
      </c>
      <c r="D2320" s="3" t="str">
        <f>IFERROR(__xludf.DUMMYFUNCTION("""COMPUTED_VALUE"""),"อป.3/6")</f>
        <v>อป.3/6</v>
      </c>
      <c r="E2320" s="2" t="str">
        <f>IFERROR(__xludf.DUMMYFUNCTION("""COMPUTED_VALUE"""),"หญิง")</f>
        <v>หญิง</v>
      </c>
      <c r="F2320" s="5" t="str">
        <f>IFERROR(__xludf.DUMMYFUNCTION("""COMPUTED_VALUE"""),"https://azizstan.net/student_image/24771.jpg")</f>
        <v>https://azizstan.net/student_image/24771.jpg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>
      <c r="A2321" s="3" t="str">
        <f>IFERROR(__xludf.DUMMYFUNCTION("""COMPUTED_VALUE"""),"24875")</f>
        <v>24875</v>
      </c>
      <c r="B2321" s="3" t="str">
        <f>IFERROR(__xludf.DUMMYFUNCTION("""COMPUTED_VALUE"""),"นายนัสรี หมัดเลียด")</f>
        <v>นายนัสรี หมัดเลียด</v>
      </c>
      <c r="C2321" s="3" t="str">
        <f>IFERROR(__xludf.DUMMYFUNCTION("""COMPUTED_VALUE"""),"ม.6/6")</f>
        <v>ม.6/6</v>
      </c>
      <c r="D2321" s="3" t="str">
        <f>IFERROR(__xludf.DUMMYFUNCTION("""COMPUTED_VALUE"""),"อป.3/6")</f>
        <v>อป.3/6</v>
      </c>
      <c r="E2321" s="2" t="str">
        <f>IFERROR(__xludf.DUMMYFUNCTION("""COMPUTED_VALUE"""),"ชาย")</f>
        <v>ชาย</v>
      </c>
      <c r="F2321" s="5" t="str">
        <f>IFERROR(__xludf.DUMMYFUNCTION("""COMPUTED_VALUE"""),"https://azizstan.net/student_image/24875.jpg")</f>
        <v>https://azizstan.net/student_image/24875.jpg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>
      <c r="A2322" s="3" t="str">
        <f>IFERROR(__xludf.DUMMYFUNCTION("""COMPUTED_VALUE"""),"24890")</f>
        <v>24890</v>
      </c>
      <c r="B2322" s="3" t="str">
        <f>IFERROR(__xludf.DUMMYFUNCTION("""COMPUTED_VALUE"""),"นายมูฮัมหมัดฟิตรี บิน โมฮะหมัด เคอร์")</f>
        <v>นายมูฮัมหมัดฟิตรี บิน โมฮะหมัด เคอร์</v>
      </c>
      <c r="C2322" s="3" t="str">
        <f>IFERROR(__xludf.DUMMYFUNCTION("""COMPUTED_VALUE"""),"ม.6/6")</f>
        <v>ม.6/6</v>
      </c>
      <c r="D2322" s="3" t="str">
        <f>IFERROR(__xludf.DUMMYFUNCTION("""COMPUTED_VALUE"""),"อป.3/6")</f>
        <v>อป.3/6</v>
      </c>
      <c r="E2322" s="2" t="str">
        <f>IFERROR(__xludf.DUMMYFUNCTION("""COMPUTED_VALUE"""),"ชาย")</f>
        <v>ชาย</v>
      </c>
      <c r="F2322" s="5" t="str">
        <f>IFERROR(__xludf.DUMMYFUNCTION("""COMPUTED_VALUE"""),"https://azizstan.net/student_image/24890.jpg")</f>
        <v>https://azizstan.net/student_image/24890.jpg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>
      <c r="A2323" s="3" t="str">
        <f>IFERROR(__xludf.DUMMYFUNCTION("""COMPUTED_VALUE"""),"25030")</f>
        <v>25030</v>
      </c>
      <c r="B2323" s="3" t="str">
        <f>IFERROR(__xludf.DUMMYFUNCTION("""COMPUTED_VALUE"""),"น.ส.นูรอัยนา หะยีสามะ")</f>
        <v>น.ส.นูรอัยนา หะยีสามะ</v>
      </c>
      <c r="C2323" s="3" t="str">
        <f>IFERROR(__xludf.DUMMYFUNCTION("""COMPUTED_VALUE"""),"ม.6/6")</f>
        <v>ม.6/6</v>
      </c>
      <c r="D2323" s="3" t="str">
        <f>IFERROR(__xludf.DUMMYFUNCTION("""COMPUTED_VALUE"""),"อป.3/6")</f>
        <v>อป.3/6</v>
      </c>
      <c r="E2323" s="2" t="str">
        <f>IFERROR(__xludf.DUMMYFUNCTION("""COMPUTED_VALUE"""),"หญิง")</f>
        <v>หญิง</v>
      </c>
      <c r="F2323" s="5" t="str">
        <f>IFERROR(__xludf.DUMMYFUNCTION("""COMPUTED_VALUE"""),"https://azizstan.net/student_image/25030.jpg")</f>
        <v>https://azizstan.net/student_image/25030.jpg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>
      <c r="A2324" s="3" t="str">
        <f>IFERROR(__xludf.DUMMYFUNCTION("""COMPUTED_VALUE"""),"25102")</f>
        <v>25102</v>
      </c>
      <c r="B2324" s="3" t="str">
        <f>IFERROR(__xludf.DUMMYFUNCTION("""COMPUTED_VALUE"""),"นายฮากีม หะยียูโซะ")</f>
        <v>นายฮากีม หะยียูโซะ</v>
      </c>
      <c r="C2324" s="3" t="str">
        <f>IFERROR(__xludf.DUMMYFUNCTION("""COMPUTED_VALUE"""),"ม.6/6")</f>
        <v>ม.6/6</v>
      </c>
      <c r="D2324" s="3" t="str">
        <f>IFERROR(__xludf.DUMMYFUNCTION("""COMPUTED_VALUE"""),"อป.3/6")</f>
        <v>อป.3/6</v>
      </c>
      <c r="E2324" s="2" t="str">
        <f>IFERROR(__xludf.DUMMYFUNCTION("""COMPUTED_VALUE"""),"ชาย")</f>
        <v>ชาย</v>
      </c>
      <c r="F2324" s="5" t="str">
        <f>IFERROR(__xludf.DUMMYFUNCTION("""COMPUTED_VALUE"""),"https://azizstan.net/student_image/25102.jpg")</f>
        <v>https://azizstan.net/student_image/25102.jpg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>
      <c r="A2325" s="3" t="str">
        <f>IFERROR(__xludf.DUMMYFUNCTION("""COMPUTED_VALUE"""),"25127")</f>
        <v>25127</v>
      </c>
      <c r="B2325" s="3" t="str">
        <f>IFERROR(__xludf.DUMMYFUNCTION("""COMPUTED_VALUE"""),"นายมูฮำหมัดอาลีฟ อุมา")</f>
        <v>นายมูฮำหมัดอาลีฟ อุมา</v>
      </c>
      <c r="C2325" s="3" t="str">
        <f>IFERROR(__xludf.DUMMYFUNCTION("""COMPUTED_VALUE"""),"ม.6/6")</f>
        <v>ม.6/6</v>
      </c>
      <c r="D2325" s="3" t="str">
        <f>IFERROR(__xludf.DUMMYFUNCTION("""COMPUTED_VALUE"""),"อป.3/6")</f>
        <v>อป.3/6</v>
      </c>
      <c r="E2325" s="2" t="str">
        <f>IFERROR(__xludf.DUMMYFUNCTION("""COMPUTED_VALUE"""),"ชาย")</f>
        <v>ชาย</v>
      </c>
      <c r="F2325" s="5" t="str">
        <f>IFERROR(__xludf.DUMMYFUNCTION("""COMPUTED_VALUE"""),"https://azizstan.net/student_image/25127.jpg")</f>
        <v>https://azizstan.net/student_image/25127.jpg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>
      <c r="A2326" s="3" t="str">
        <f>IFERROR(__xludf.DUMMYFUNCTION("""COMPUTED_VALUE"""),"22661")</f>
        <v>22661</v>
      </c>
      <c r="B2326" s="3" t="str">
        <f>IFERROR(__xludf.DUMMYFUNCTION("""COMPUTED_VALUE"""),"น.ส.นูร์ชาอีดา สิบู")</f>
        <v>น.ส.นูร์ชาอีดา สิบู</v>
      </c>
      <c r="C2326" s="3" t="str">
        <f>IFERROR(__xludf.DUMMYFUNCTION("""COMPUTED_VALUE"""),"ม.6/7")</f>
        <v>ม.6/7</v>
      </c>
      <c r="D2326" s="3" t="str">
        <f>IFERROR(__xludf.DUMMYFUNCTION("""COMPUTED_VALUE"""),"อป.2/1")</f>
        <v>อป.2/1</v>
      </c>
      <c r="E2326" s="2" t="str">
        <f>IFERROR(__xludf.DUMMYFUNCTION("""COMPUTED_VALUE"""),"หญิง")</f>
        <v>หญิง</v>
      </c>
      <c r="F2326" s="5" t="str">
        <f>IFERROR(__xludf.DUMMYFUNCTION("""COMPUTED_VALUE"""),"https://azizstan.net/student_image/22661.jpg")</f>
        <v>https://azizstan.net/student_image/22661.jpg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>
      <c r="A2327" s="3" t="str">
        <f>IFERROR(__xludf.DUMMYFUNCTION("""COMPUTED_VALUE"""),"22662")</f>
        <v>22662</v>
      </c>
      <c r="B2327" s="3" t="str">
        <f>IFERROR(__xludf.DUMMYFUNCTION("""COMPUTED_VALUE"""),"น.ส.นุรฟาณี มะโร๊ะ")</f>
        <v>น.ส.นุรฟาณี มะโร๊ะ</v>
      </c>
      <c r="C2327" s="3" t="str">
        <f>IFERROR(__xludf.DUMMYFUNCTION("""COMPUTED_VALUE"""),"ม.6/7")</f>
        <v>ม.6/7</v>
      </c>
      <c r="D2327" s="3" t="str">
        <f>IFERROR(__xludf.DUMMYFUNCTION("""COMPUTED_VALUE"""),"อก.3/13")</f>
        <v>อก.3/13</v>
      </c>
      <c r="E2327" s="2" t="str">
        <f>IFERROR(__xludf.DUMMYFUNCTION("""COMPUTED_VALUE"""),"หญิง")</f>
        <v>หญิง</v>
      </c>
      <c r="F2327" s="5" t="str">
        <f>IFERROR(__xludf.DUMMYFUNCTION("""COMPUTED_VALUE"""),"https://azizstan.net/student_image/22662.jpg")</f>
        <v>https://azizstan.net/student_image/22662.jpg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>
      <c r="A2328" s="3" t="str">
        <f>IFERROR(__xludf.DUMMYFUNCTION("""COMPUTED_VALUE"""),"22724")</f>
        <v>22724</v>
      </c>
      <c r="B2328" s="3" t="str">
        <f>IFERROR(__xludf.DUMMYFUNCTION("""COMPUTED_VALUE"""),"น.ส.อาณีฟะห์ มานิ")</f>
        <v>น.ส.อาณีฟะห์ มานิ</v>
      </c>
      <c r="C2328" s="3" t="str">
        <f>IFERROR(__xludf.DUMMYFUNCTION("""COMPUTED_VALUE"""),"ม.6/7")</f>
        <v>ม.6/7</v>
      </c>
      <c r="D2328" s="3" t="str">
        <f>IFERROR(__xludf.DUMMYFUNCTION("""COMPUTED_VALUE"""),"อป.2/1")</f>
        <v>อป.2/1</v>
      </c>
      <c r="E2328" s="2" t="str">
        <f>IFERROR(__xludf.DUMMYFUNCTION("""COMPUTED_VALUE"""),"หญิง")</f>
        <v>หญิง</v>
      </c>
      <c r="F2328" s="5" t="str">
        <f>IFERROR(__xludf.DUMMYFUNCTION("""COMPUTED_VALUE"""),"https://azizstan.net/student_image/22724.jpg")</f>
        <v>https://azizstan.net/student_image/22724.jpg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>
      <c r="A2329" s="3" t="str">
        <f>IFERROR(__xludf.DUMMYFUNCTION("""COMPUTED_VALUE"""),"22727")</f>
        <v>22727</v>
      </c>
      <c r="B2329" s="3" t="str">
        <f>IFERROR(__xludf.DUMMYFUNCTION("""COMPUTED_VALUE"""),"น.ส.อัฟฟะห์ สาและ")</f>
        <v>น.ส.อัฟฟะห์ สาและ</v>
      </c>
      <c r="C2329" s="3" t="str">
        <f>IFERROR(__xludf.DUMMYFUNCTION("""COMPUTED_VALUE"""),"ม.6/7")</f>
        <v>ม.6/7</v>
      </c>
      <c r="D2329" s="3" t="str">
        <f>IFERROR(__xludf.DUMMYFUNCTION("""COMPUTED_VALUE"""),"อก.3/13")</f>
        <v>อก.3/13</v>
      </c>
      <c r="E2329" s="2" t="str">
        <f>IFERROR(__xludf.DUMMYFUNCTION("""COMPUTED_VALUE"""),"หญิง")</f>
        <v>หญิง</v>
      </c>
      <c r="F2329" s="5" t="str">
        <f>IFERROR(__xludf.DUMMYFUNCTION("""COMPUTED_VALUE"""),"https://azizstan.net/student_image/22727.jpg")</f>
        <v>https://azizstan.net/student_image/22727.jpg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>
      <c r="A2330" s="3" t="str">
        <f>IFERROR(__xludf.DUMMYFUNCTION("""COMPUTED_VALUE"""),"22775")</f>
        <v>22775</v>
      </c>
      <c r="B2330" s="3" t="str">
        <f>IFERROR(__xludf.DUMMYFUNCTION("""COMPUTED_VALUE"""),"น.ส.อัญญาณี อาหมะ")</f>
        <v>น.ส.อัญญาณี อาหมะ</v>
      </c>
      <c r="C2330" s="3" t="str">
        <f>IFERROR(__xludf.DUMMYFUNCTION("""COMPUTED_VALUE"""),"ม.6/7")</f>
        <v>ม.6/7</v>
      </c>
      <c r="D2330" s="3" t="str">
        <f>IFERROR(__xludf.DUMMYFUNCTION("""COMPUTED_VALUE"""),"อป.1/3")</f>
        <v>อป.1/3</v>
      </c>
      <c r="E2330" s="2" t="str">
        <f>IFERROR(__xludf.DUMMYFUNCTION("""COMPUTED_VALUE"""),"หญิง")</f>
        <v>หญิง</v>
      </c>
      <c r="F2330" s="5" t="str">
        <f>IFERROR(__xludf.DUMMYFUNCTION("""COMPUTED_VALUE"""),"https://azizstan.net/student_image/22775.jpg")</f>
        <v>https://azizstan.net/student_image/22775.jpg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>
      <c r="A2331" s="3" t="str">
        <f>IFERROR(__xludf.DUMMYFUNCTION("""COMPUTED_VALUE"""),"22777")</f>
        <v>22777</v>
      </c>
      <c r="B2331" s="3" t="str">
        <f>IFERROR(__xludf.DUMMYFUNCTION("""COMPUTED_VALUE"""),"น.ส.โรสนาซีกีน มะเย็ง")</f>
        <v>น.ส.โรสนาซีกีน มะเย็ง</v>
      </c>
      <c r="C2331" s="3" t="str">
        <f>IFERROR(__xludf.DUMMYFUNCTION("""COMPUTED_VALUE"""),"ม.6/7")</f>
        <v>ม.6/7</v>
      </c>
      <c r="D2331" s="3" t="str">
        <f>IFERROR(__xludf.DUMMYFUNCTION("""COMPUTED_VALUE"""),"อก.3/13")</f>
        <v>อก.3/13</v>
      </c>
      <c r="E2331" s="2" t="str">
        <f>IFERROR(__xludf.DUMMYFUNCTION("""COMPUTED_VALUE"""),"หญิง")</f>
        <v>หญิง</v>
      </c>
      <c r="F2331" s="5" t="str">
        <f>IFERROR(__xludf.DUMMYFUNCTION("""COMPUTED_VALUE"""),"https://azizstan.net/student_image/22777.jpg")</f>
        <v>https://azizstan.net/student_image/22777.jpg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>
      <c r="A2332" s="3" t="str">
        <f>IFERROR(__xludf.DUMMYFUNCTION("""COMPUTED_VALUE"""),"22785")</f>
        <v>22785</v>
      </c>
      <c r="B2332" s="3" t="str">
        <f>IFERROR(__xludf.DUMMYFUNCTION("""COMPUTED_VALUE"""),"น.ส.ซีตียูไลกอ เจ๊ะมะ")</f>
        <v>น.ส.ซีตียูไลกอ เจ๊ะมะ</v>
      </c>
      <c r="C2332" s="3" t="str">
        <f>IFERROR(__xludf.DUMMYFUNCTION("""COMPUTED_VALUE"""),"ม.6/7")</f>
        <v>ม.6/7</v>
      </c>
      <c r="D2332" s="3" t="str">
        <f>IFERROR(__xludf.DUMMYFUNCTION("""COMPUTED_VALUE"""),"อก.3/13")</f>
        <v>อก.3/13</v>
      </c>
      <c r="E2332" s="2" t="str">
        <f>IFERROR(__xludf.DUMMYFUNCTION("""COMPUTED_VALUE"""),"หญิง")</f>
        <v>หญิง</v>
      </c>
      <c r="F2332" s="5" t="str">
        <f>IFERROR(__xludf.DUMMYFUNCTION("""COMPUTED_VALUE"""),"https://azizstan.net/student_image/22785.jpg")</f>
        <v>https://azizstan.net/student_image/22785.jpg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>
      <c r="A2333" s="3" t="str">
        <f>IFERROR(__xludf.DUMMYFUNCTION("""COMPUTED_VALUE"""),"22786")</f>
        <v>22786</v>
      </c>
      <c r="B2333" s="3" t="str">
        <f>IFERROR(__xludf.DUMMYFUNCTION("""COMPUTED_VALUE"""),"น.ส.นูรฟาตอนะห์ ลาเตะ")</f>
        <v>น.ส.นูรฟาตอนะห์ ลาเตะ</v>
      </c>
      <c r="C2333" s="3" t="str">
        <f>IFERROR(__xludf.DUMMYFUNCTION("""COMPUTED_VALUE"""),"ม.6/7")</f>
        <v>ม.6/7</v>
      </c>
      <c r="D2333" s="3" t="str">
        <f>IFERROR(__xludf.DUMMYFUNCTION("""COMPUTED_VALUE"""),"อก.3/13")</f>
        <v>อก.3/13</v>
      </c>
      <c r="E2333" s="2" t="str">
        <f>IFERROR(__xludf.DUMMYFUNCTION("""COMPUTED_VALUE"""),"หญิง")</f>
        <v>หญิง</v>
      </c>
      <c r="F2333" s="5" t="str">
        <f>IFERROR(__xludf.DUMMYFUNCTION("""COMPUTED_VALUE"""),"https://azizstan.net/student_image/22786.jpg")</f>
        <v>https://azizstan.net/student_image/22786.jpg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>
      <c r="A2334" s="3" t="str">
        <f>IFERROR(__xludf.DUMMYFUNCTION("""COMPUTED_VALUE"""),"22791")</f>
        <v>22791</v>
      </c>
      <c r="B2334" s="3" t="str">
        <f>IFERROR(__xludf.DUMMYFUNCTION("""COMPUTED_VALUE"""),"น.ส.แวมุสลีมะห์ หะยีดอเล๊าะ")</f>
        <v>น.ส.แวมุสลีมะห์ หะยีดอเล๊าะ</v>
      </c>
      <c r="C2334" s="3" t="str">
        <f>IFERROR(__xludf.DUMMYFUNCTION("""COMPUTED_VALUE"""),"ม.6/7")</f>
        <v>ม.6/7</v>
      </c>
      <c r="D2334" s="3" t="str">
        <f>IFERROR(__xludf.DUMMYFUNCTION("""COMPUTED_VALUE"""),"อป.2/1")</f>
        <v>อป.2/1</v>
      </c>
      <c r="E2334" s="2" t="str">
        <f>IFERROR(__xludf.DUMMYFUNCTION("""COMPUTED_VALUE"""),"หญิง")</f>
        <v>หญิง</v>
      </c>
      <c r="F2334" s="5" t="str">
        <f>IFERROR(__xludf.DUMMYFUNCTION("""COMPUTED_VALUE"""),"https://azizstan.net/student_image/22791.jpg")</f>
        <v>https://azizstan.net/student_image/22791.jpg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>
      <c r="A2335" s="3" t="str">
        <f>IFERROR(__xludf.DUMMYFUNCTION("""COMPUTED_VALUE"""),"22802")</f>
        <v>22802</v>
      </c>
      <c r="B2335" s="3" t="str">
        <f>IFERROR(__xludf.DUMMYFUNCTION("""COMPUTED_VALUE"""),"น.ส.วาสินีย์ สาและ")</f>
        <v>น.ส.วาสินีย์ สาและ</v>
      </c>
      <c r="C2335" s="3" t="str">
        <f>IFERROR(__xludf.DUMMYFUNCTION("""COMPUTED_VALUE"""),"ม.6/7")</f>
        <v>ม.6/7</v>
      </c>
      <c r="D2335" s="3" t="str">
        <f>IFERROR(__xludf.DUMMYFUNCTION("""COMPUTED_VALUE"""),"อก.3/13")</f>
        <v>อก.3/13</v>
      </c>
      <c r="E2335" s="2" t="str">
        <f>IFERROR(__xludf.DUMMYFUNCTION("""COMPUTED_VALUE"""),"หญิง")</f>
        <v>หญิง</v>
      </c>
      <c r="F2335" s="5" t="str">
        <f>IFERROR(__xludf.DUMMYFUNCTION("""COMPUTED_VALUE"""),"https://azizstan.net/student_image/22802.jpg")</f>
        <v>https://azizstan.net/student_image/22802.jpg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  <row r="2336">
      <c r="A2336" s="3" t="str">
        <f>IFERROR(__xludf.DUMMYFUNCTION("""COMPUTED_VALUE"""),"22897")</f>
        <v>22897</v>
      </c>
      <c r="B2336" s="3" t="str">
        <f>IFERROR(__xludf.DUMMYFUNCTION("""COMPUTED_VALUE"""),"น.ส.อานิสา ยาลอ")</f>
        <v>น.ส.อานิสา ยาลอ</v>
      </c>
      <c r="C2336" s="3" t="str">
        <f>IFERROR(__xludf.DUMMYFUNCTION("""COMPUTED_VALUE"""),"ม.6/7")</f>
        <v>ม.6/7</v>
      </c>
      <c r="D2336" s="3" t="str">
        <f>IFERROR(__xludf.DUMMYFUNCTION("""COMPUTED_VALUE"""),"อป.1/3")</f>
        <v>อป.1/3</v>
      </c>
      <c r="E2336" s="2" t="str">
        <f>IFERROR(__xludf.DUMMYFUNCTION("""COMPUTED_VALUE"""),"หญิง")</f>
        <v>หญิง</v>
      </c>
      <c r="F2336" s="5" t="str">
        <f>IFERROR(__xludf.DUMMYFUNCTION("""COMPUTED_VALUE"""),"https://azizstan.net/student_image/22897.jpg")</f>
        <v>https://azizstan.net/student_image/22897.jpg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>
      <c r="A2337" s="3" t="str">
        <f>IFERROR(__xludf.DUMMYFUNCTION("""COMPUTED_VALUE"""),"22923")</f>
        <v>22923</v>
      </c>
      <c r="B2337" s="3" t="str">
        <f>IFERROR(__xludf.DUMMYFUNCTION("""COMPUTED_VALUE"""),"น.ส.ฟารีฮีน หมะหลี")</f>
        <v>น.ส.ฟารีฮีน หมะหลี</v>
      </c>
      <c r="C2337" s="3" t="str">
        <f>IFERROR(__xludf.DUMMYFUNCTION("""COMPUTED_VALUE"""),"ม.6/7")</f>
        <v>ม.6/7</v>
      </c>
      <c r="D2337" s="3" t="str">
        <f>IFERROR(__xludf.DUMMYFUNCTION("""COMPUTED_VALUE"""),"อป.1/3")</f>
        <v>อป.1/3</v>
      </c>
      <c r="E2337" s="2" t="str">
        <f>IFERROR(__xludf.DUMMYFUNCTION("""COMPUTED_VALUE"""),"หญิง")</f>
        <v>หญิง</v>
      </c>
      <c r="F2337" s="5" t="str">
        <f>IFERROR(__xludf.DUMMYFUNCTION("""COMPUTED_VALUE"""),"https://azizstan.net/student_image/22923.jpg")</f>
        <v>https://azizstan.net/student_image/22923.jpg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>
      <c r="A2338" s="3" t="str">
        <f>IFERROR(__xludf.DUMMYFUNCTION("""COMPUTED_VALUE"""),"22924")</f>
        <v>22924</v>
      </c>
      <c r="B2338" s="3" t="str">
        <f>IFERROR(__xludf.DUMMYFUNCTION("""COMPUTED_VALUE"""),"น.ส.อามีนะห์ สาเมาะ")</f>
        <v>น.ส.อามีนะห์ สาเมาะ</v>
      </c>
      <c r="C2338" s="3" t="str">
        <f>IFERROR(__xludf.DUMMYFUNCTION("""COMPUTED_VALUE"""),"ม.6/7")</f>
        <v>ม.6/7</v>
      </c>
      <c r="D2338" s="3" t="str">
        <f>IFERROR(__xludf.DUMMYFUNCTION("""COMPUTED_VALUE"""),"อก.3/13")</f>
        <v>อก.3/13</v>
      </c>
      <c r="E2338" s="2" t="str">
        <f>IFERROR(__xludf.DUMMYFUNCTION("""COMPUTED_VALUE"""),"หญิง")</f>
        <v>หญิง</v>
      </c>
      <c r="F2338" s="5" t="str">
        <f>IFERROR(__xludf.DUMMYFUNCTION("""COMPUTED_VALUE"""),"https://azizstan.net/student_image/22924.jpg")</f>
        <v>https://azizstan.net/student_image/22924.jpg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>
      <c r="A2339" s="3" t="str">
        <f>IFERROR(__xludf.DUMMYFUNCTION("""COMPUTED_VALUE"""),"22959")</f>
        <v>22959</v>
      </c>
      <c r="B2339" s="3" t="str">
        <f>IFERROR(__xludf.DUMMYFUNCTION("""COMPUTED_VALUE"""),"น.ส.นูรีฮัน ยามา")</f>
        <v>น.ส.นูรีฮัน ยามา</v>
      </c>
      <c r="C2339" s="3" t="str">
        <f>IFERROR(__xludf.DUMMYFUNCTION("""COMPUTED_VALUE"""),"ม.6/7")</f>
        <v>ม.6/7</v>
      </c>
      <c r="D2339" s="3" t="str">
        <f>IFERROR(__xludf.DUMMYFUNCTION("""COMPUTED_VALUE"""),"อป.2/1")</f>
        <v>อป.2/1</v>
      </c>
      <c r="E2339" s="2" t="str">
        <f>IFERROR(__xludf.DUMMYFUNCTION("""COMPUTED_VALUE"""),"หญิง")</f>
        <v>หญิง</v>
      </c>
      <c r="F2339" s="5" t="str">
        <f>IFERROR(__xludf.DUMMYFUNCTION("""COMPUTED_VALUE"""),"https://azizstan.net/student_image/22959.jpg")</f>
        <v>https://azizstan.net/student_image/22959.jpg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>
      <c r="A2340" s="3" t="str">
        <f>IFERROR(__xludf.DUMMYFUNCTION("""COMPUTED_VALUE"""),"22966")</f>
        <v>22966</v>
      </c>
      <c r="B2340" s="3" t="str">
        <f>IFERROR(__xludf.DUMMYFUNCTION("""COMPUTED_VALUE"""),"น.ส.ซัรวาน เจ๊ะมะ")</f>
        <v>น.ส.ซัรวาน เจ๊ะมะ</v>
      </c>
      <c r="C2340" s="3" t="str">
        <f>IFERROR(__xludf.DUMMYFUNCTION("""COMPUTED_VALUE"""),"ม.6/7")</f>
        <v>ม.6/7</v>
      </c>
      <c r="D2340" s="3" t="str">
        <f>IFERROR(__xludf.DUMMYFUNCTION("""COMPUTED_VALUE"""),"อป.2/1")</f>
        <v>อป.2/1</v>
      </c>
      <c r="E2340" s="2" t="str">
        <f>IFERROR(__xludf.DUMMYFUNCTION("""COMPUTED_VALUE"""),"หญิง")</f>
        <v>หญิง</v>
      </c>
      <c r="F2340" s="5" t="str">
        <f>IFERROR(__xludf.DUMMYFUNCTION("""COMPUTED_VALUE"""),"https://azizstan.net/student_image/22966.jpg")</f>
        <v>https://azizstan.net/student_image/22966.jpg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>
      <c r="A2341" s="3" t="str">
        <f>IFERROR(__xludf.DUMMYFUNCTION("""COMPUTED_VALUE"""),"22967")</f>
        <v>22967</v>
      </c>
      <c r="B2341" s="3" t="str">
        <f>IFERROR(__xludf.DUMMYFUNCTION("""COMPUTED_VALUE"""),"น.ส.นูรูลฮูดา อาบู")</f>
        <v>น.ส.นูรูลฮูดา อาบู</v>
      </c>
      <c r="C2341" s="3" t="str">
        <f>IFERROR(__xludf.DUMMYFUNCTION("""COMPUTED_VALUE"""),"ม.6/7")</f>
        <v>ม.6/7</v>
      </c>
      <c r="D2341" s="3" t="str">
        <f>IFERROR(__xludf.DUMMYFUNCTION("""COMPUTED_VALUE"""),"อป.1/3")</f>
        <v>อป.1/3</v>
      </c>
      <c r="E2341" s="2" t="str">
        <f>IFERROR(__xludf.DUMMYFUNCTION("""COMPUTED_VALUE"""),"หญิง")</f>
        <v>หญิง</v>
      </c>
      <c r="F2341" s="5" t="str">
        <f>IFERROR(__xludf.DUMMYFUNCTION("""COMPUTED_VALUE"""),"https://azizstan.net/student_image/22967.jpg")</f>
        <v>https://azizstan.net/student_image/22967.jpg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>
      <c r="A2342" s="3" t="str">
        <f>IFERROR(__xludf.DUMMYFUNCTION("""COMPUTED_VALUE"""),"22979")</f>
        <v>22979</v>
      </c>
      <c r="B2342" s="3" t="str">
        <f>IFERROR(__xludf.DUMMYFUNCTION("""COMPUTED_VALUE"""),"น.ส.นูรีฮัน บีมา")</f>
        <v>น.ส.นูรีฮัน บีมา</v>
      </c>
      <c r="C2342" s="3" t="str">
        <f>IFERROR(__xludf.DUMMYFUNCTION("""COMPUTED_VALUE"""),"ม.6/7")</f>
        <v>ม.6/7</v>
      </c>
      <c r="D2342" s="3" t="str">
        <f>IFERROR(__xludf.DUMMYFUNCTION("""COMPUTED_VALUE"""),"อป.1/3")</f>
        <v>อป.1/3</v>
      </c>
      <c r="E2342" s="2" t="str">
        <f>IFERROR(__xludf.DUMMYFUNCTION("""COMPUTED_VALUE"""),"หญิง")</f>
        <v>หญิง</v>
      </c>
      <c r="F2342" s="5" t="str">
        <f>IFERROR(__xludf.DUMMYFUNCTION("""COMPUTED_VALUE"""),"https://azizstan.net/student_image/22979.jpg")</f>
        <v>https://azizstan.net/student_image/22979.jpg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>
      <c r="A2343" s="3" t="str">
        <f>IFERROR(__xludf.DUMMYFUNCTION("""COMPUTED_VALUE"""),"22980")</f>
        <v>22980</v>
      </c>
      <c r="B2343" s="3" t="str">
        <f>IFERROR(__xludf.DUMMYFUNCTION("""COMPUTED_VALUE"""),"น.ส.อมานีนา อาแว")</f>
        <v>น.ส.อมานีนา อาแว</v>
      </c>
      <c r="C2343" s="3" t="str">
        <f>IFERROR(__xludf.DUMMYFUNCTION("""COMPUTED_VALUE"""),"ม.6/7")</f>
        <v>ม.6/7</v>
      </c>
      <c r="D2343" s="3" t="str">
        <f>IFERROR(__xludf.DUMMYFUNCTION("""COMPUTED_VALUE"""),"อป.2/1")</f>
        <v>อป.2/1</v>
      </c>
      <c r="E2343" s="2" t="str">
        <f>IFERROR(__xludf.DUMMYFUNCTION("""COMPUTED_VALUE"""),"หญิง")</f>
        <v>หญิง</v>
      </c>
      <c r="F2343" s="5" t="str">
        <f>IFERROR(__xludf.DUMMYFUNCTION("""COMPUTED_VALUE"""),"https://azizstan.net/student_image/22980.jpg")</f>
        <v>https://azizstan.net/student_image/22980.jpg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>
      <c r="A2344" s="3" t="str">
        <f>IFERROR(__xludf.DUMMYFUNCTION("""COMPUTED_VALUE"""),"22992")</f>
        <v>22992</v>
      </c>
      <c r="B2344" s="3" t="str">
        <f>IFERROR(__xludf.DUMMYFUNCTION("""COMPUTED_VALUE"""),"น.ส.นูรไอนี ยาโกะ")</f>
        <v>น.ส.นูรไอนี ยาโกะ</v>
      </c>
      <c r="C2344" s="3" t="str">
        <f>IFERROR(__xludf.DUMMYFUNCTION("""COMPUTED_VALUE"""),"ม.6/7")</f>
        <v>ม.6/7</v>
      </c>
      <c r="D2344" s="3" t="str">
        <f>IFERROR(__xludf.DUMMYFUNCTION("""COMPUTED_VALUE"""),"อป.1/3")</f>
        <v>อป.1/3</v>
      </c>
      <c r="E2344" s="2" t="str">
        <f>IFERROR(__xludf.DUMMYFUNCTION("""COMPUTED_VALUE"""),"หญิง")</f>
        <v>หญิง</v>
      </c>
      <c r="F2344" s="5" t="str">
        <f>IFERROR(__xludf.DUMMYFUNCTION("""COMPUTED_VALUE"""),"https://azizstan.net/student_image/22992.jpg")</f>
        <v>https://azizstan.net/student_image/22992.jpg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>
      <c r="A2345" s="3" t="str">
        <f>IFERROR(__xludf.DUMMYFUNCTION("""COMPUTED_VALUE"""),"22995")</f>
        <v>22995</v>
      </c>
      <c r="B2345" s="3" t="str">
        <f>IFERROR(__xludf.DUMMYFUNCTION("""COMPUTED_VALUE"""),"น.ส.ฟาตีฮะห์ ขาเดร์")</f>
        <v>น.ส.ฟาตีฮะห์ ขาเดร์</v>
      </c>
      <c r="C2345" s="3" t="str">
        <f>IFERROR(__xludf.DUMMYFUNCTION("""COMPUTED_VALUE"""),"ม.6/7")</f>
        <v>ม.6/7</v>
      </c>
      <c r="D2345" s="3" t="str">
        <f>IFERROR(__xludf.DUMMYFUNCTION("""COMPUTED_VALUE"""),"อป.1/3")</f>
        <v>อป.1/3</v>
      </c>
      <c r="E2345" s="2" t="str">
        <f>IFERROR(__xludf.DUMMYFUNCTION("""COMPUTED_VALUE"""),"หญิง")</f>
        <v>หญิง</v>
      </c>
      <c r="F2345" s="5" t="str">
        <f>IFERROR(__xludf.DUMMYFUNCTION("""COMPUTED_VALUE"""),"https://azizstan.net/student_image/22995.jpg")</f>
        <v>https://azizstan.net/student_image/22995.jpg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>
      <c r="A2346" s="3" t="str">
        <f>IFERROR(__xludf.DUMMYFUNCTION("""COMPUTED_VALUE"""),"23029")</f>
        <v>23029</v>
      </c>
      <c r="B2346" s="3" t="str">
        <f>IFERROR(__xludf.DUMMYFUNCTION("""COMPUTED_VALUE"""),"น.ส.อามาลีนา แวดอเลาะ")</f>
        <v>น.ส.อามาลีนา แวดอเลาะ</v>
      </c>
      <c r="C2346" s="3" t="str">
        <f>IFERROR(__xludf.DUMMYFUNCTION("""COMPUTED_VALUE"""),"ม.6/7")</f>
        <v>ม.6/7</v>
      </c>
      <c r="D2346" s="3" t="str">
        <f>IFERROR(__xludf.DUMMYFUNCTION("""COMPUTED_VALUE"""),"อป.1/3")</f>
        <v>อป.1/3</v>
      </c>
      <c r="E2346" s="2" t="str">
        <f>IFERROR(__xludf.DUMMYFUNCTION("""COMPUTED_VALUE"""),"หญิง")</f>
        <v>หญิง</v>
      </c>
      <c r="F2346" s="5" t="str">
        <f>IFERROR(__xludf.DUMMYFUNCTION("""COMPUTED_VALUE"""),"https://azizstan.net/student_image/23029.jpg")</f>
        <v>https://azizstan.net/student_image/23029.jpg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>
      <c r="A2347" s="3" t="str">
        <f>IFERROR(__xludf.DUMMYFUNCTION("""COMPUTED_VALUE"""),"23051")</f>
        <v>23051</v>
      </c>
      <c r="B2347" s="3" t="str">
        <f>IFERROR(__xludf.DUMMYFUNCTION("""COMPUTED_VALUE"""),"น.ส.นูรฟาตีน บือราเฮง")</f>
        <v>น.ส.นูรฟาตีน บือราเฮง</v>
      </c>
      <c r="C2347" s="3" t="str">
        <f>IFERROR(__xludf.DUMMYFUNCTION("""COMPUTED_VALUE"""),"ม.6/7")</f>
        <v>ม.6/7</v>
      </c>
      <c r="D2347" s="3" t="str">
        <f>IFERROR(__xludf.DUMMYFUNCTION("""COMPUTED_VALUE"""),"อป.2/1")</f>
        <v>อป.2/1</v>
      </c>
      <c r="E2347" s="2" t="str">
        <f>IFERROR(__xludf.DUMMYFUNCTION("""COMPUTED_VALUE"""),"หญิง")</f>
        <v>หญิง</v>
      </c>
      <c r="F2347" s="5" t="str">
        <f>IFERROR(__xludf.DUMMYFUNCTION("""COMPUTED_VALUE"""),"https://azizstan.net/student_image/23051.jpg")</f>
        <v>https://azizstan.net/student_image/23051.jpg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>
      <c r="A2348" s="3" t="str">
        <f>IFERROR(__xludf.DUMMYFUNCTION("""COMPUTED_VALUE"""),"23052")</f>
        <v>23052</v>
      </c>
      <c r="B2348" s="3" t="str">
        <f>IFERROR(__xludf.DUMMYFUNCTION("""COMPUTED_VALUE"""),"น.ส.นูรฟาตีฮะห์ บือราเฮง")</f>
        <v>น.ส.นูรฟาตีฮะห์ บือราเฮง</v>
      </c>
      <c r="C2348" s="3" t="str">
        <f>IFERROR(__xludf.DUMMYFUNCTION("""COMPUTED_VALUE"""),"ม.6/7")</f>
        <v>ม.6/7</v>
      </c>
      <c r="D2348" s="3" t="str">
        <f>IFERROR(__xludf.DUMMYFUNCTION("""COMPUTED_VALUE"""),"อป.1/3")</f>
        <v>อป.1/3</v>
      </c>
      <c r="E2348" s="2" t="str">
        <f>IFERROR(__xludf.DUMMYFUNCTION("""COMPUTED_VALUE"""),"หญิง")</f>
        <v>หญิง</v>
      </c>
      <c r="F2348" s="5" t="str">
        <f>IFERROR(__xludf.DUMMYFUNCTION("""COMPUTED_VALUE"""),"https://azizstan.net/student_image/23052.jpg")</f>
        <v>https://azizstan.net/student_image/23052.jpg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>
      <c r="A2349" s="3" t="str">
        <f>IFERROR(__xludf.DUMMYFUNCTION("""COMPUTED_VALUE"""),"23137")</f>
        <v>23137</v>
      </c>
      <c r="B2349" s="3" t="str">
        <f>IFERROR(__xludf.DUMMYFUNCTION("""COMPUTED_VALUE"""),"น.ส.วาวีนัส สะหะ")</f>
        <v>น.ส.วาวีนัส สะหะ</v>
      </c>
      <c r="C2349" s="3" t="str">
        <f>IFERROR(__xludf.DUMMYFUNCTION("""COMPUTED_VALUE"""),"ม.6/7")</f>
        <v>ม.6/7</v>
      </c>
      <c r="D2349" s="3" t="str">
        <f>IFERROR(__xludf.DUMMYFUNCTION("""COMPUTED_VALUE"""),"อก.3/13")</f>
        <v>อก.3/13</v>
      </c>
      <c r="E2349" s="2" t="str">
        <f>IFERROR(__xludf.DUMMYFUNCTION("""COMPUTED_VALUE"""),"หญิง")</f>
        <v>หญิง</v>
      </c>
      <c r="F2349" s="5" t="str">
        <f>IFERROR(__xludf.DUMMYFUNCTION("""COMPUTED_VALUE"""),"https://azizstan.net/student_image/23137.jpg")</f>
        <v>https://azizstan.net/student_image/23137.jpg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>
      <c r="A2350" s="3" t="str">
        <f>IFERROR(__xludf.DUMMYFUNCTION("""COMPUTED_VALUE"""),"23169")</f>
        <v>23169</v>
      </c>
      <c r="B2350" s="3" t="str">
        <f>IFERROR(__xludf.DUMMYFUNCTION("""COMPUTED_VALUE"""),"น.ส.ฟิรฮานา อุปมา")</f>
        <v>น.ส.ฟิรฮานา อุปมา</v>
      </c>
      <c r="C2350" s="3" t="str">
        <f>IFERROR(__xludf.DUMMYFUNCTION("""COMPUTED_VALUE"""),"ม.6/7")</f>
        <v>ม.6/7</v>
      </c>
      <c r="D2350" s="3" t="str">
        <f>IFERROR(__xludf.DUMMYFUNCTION("""COMPUTED_VALUE"""),"อก.3/13")</f>
        <v>อก.3/13</v>
      </c>
      <c r="E2350" s="2" t="str">
        <f>IFERROR(__xludf.DUMMYFUNCTION("""COMPUTED_VALUE"""),"หญิง")</f>
        <v>หญิง</v>
      </c>
      <c r="F2350" s="5" t="str">
        <f>IFERROR(__xludf.DUMMYFUNCTION("""COMPUTED_VALUE"""),"https://azizstan.net/student_image/23169.jpg")</f>
        <v>https://azizstan.net/student_image/23169.jpg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>
      <c r="A2351" s="3" t="str">
        <f>IFERROR(__xludf.DUMMYFUNCTION("""COMPUTED_VALUE"""),"23183")</f>
        <v>23183</v>
      </c>
      <c r="B2351" s="3" t="str">
        <f>IFERROR(__xludf.DUMMYFUNCTION("""COMPUTED_VALUE"""),"น.ส.นาอีฟา สาแม")</f>
        <v>น.ส.นาอีฟา สาแม</v>
      </c>
      <c r="C2351" s="3" t="str">
        <f>IFERROR(__xludf.DUMMYFUNCTION("""COMPUTED_VALUE"""),"ม.6/7")</f>
        <v>ม.6/7</v>
      </c>
      <c r="D2351" s="3" t="str">
        <f>IFERROR(__xludf.DUMMYFUNCTION("""COMPUTED_VALUE"""),"อป.3/1")</f>
        <v>อป.3/1</v>
      </c>
      <c r="E2351" s="2" t="str">
        <f>IFERROR(__xludf.DUMMYFUNCTION("""COMPUTED_VALUE"""),"หญิง")</f>
        <v>หญิง</v>
      </c>
      <c r="F2351" s="5" t="str">
        <f>IFERROR(__xludf.DUMMYFUNCTION("""COMPUTED_VALUE"""),"https://azizstan.net/student_image/23183.jpg")</f>
        <v>https://azizstan.net/student_image/23183.jpg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>
      <c r="A2352" s="3" t="str">
        <f>IFERROR(__xludf.DUMMYFUNCTION("""COMPUTED_VALUE"""),"23318")</f>
        <v>23318</v>
      </c>
      <c r="B2352" s="3" t="str">
        <f>IFERROR(__xludf.DUMMYFUNCTION("""COMPUTED_VALUE"""),"น.ส.ฟาเดีย สาแม")</f>
        <v>น.ส.ฟาเดีย สาแม</v>
      </c>
      <c r="C2352" s="3" t="str">
        <f>IFERROR(__xludf.DUMMYFUNCTION("""COMPUTED_VALUE"""),"ม.6/7")</f>
        <v>ม.6/7</v>
      </c>
      <c r="D2352" s="3" t="str">
        <f>IFERROR(__xludf.DUMMYFUNCTION("""COMPUTED_VALUE"""),"อก.3/13")</f>
        <v>อก.3/13</v>
      </c>
      <c r="E2352" s="2" t="str">
        <f>IFERROR(__xludf.DUMMYFUNCTION("""COMPUTED_VALUE"""),"หญิง")</f>
        <v>หญิง</v>
      </c>
      <c r="F2352" s="5" t="str">
        <f>IFERROR(__xludf.DUMMYFUNCTION("""COMPUTED_VALUE"""),"https://azizstan.net/student_image/23318.jpg")</f>
        <v>https://azizstan.net/student_image/23318.jpg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</row>
    <row r="2353">
      <c r="A2353" s="3" t="str">
        <f>IFERROR(__xludf.DUMMYFUNCTION("""COMPUTED_VALUE"""),"24596")</f>
        <v>24596</v>
      </c>
      <c r="B2353" s="3" t="str">
        <f>IFERROR(__xludf.DUMMYFUNCTION("""COMPUTED_VALUE"""),"น.ส.ตูแวฮุสนา ตูแวสิงนิง")</f>
        <v>น.ส.ตูแวฮุสนา ตูแวสิงนิง</v>
      </c>
      <c r="C2353" s="3" t="str">
        <f>IFERROR(__xludf.DUMMYFUNCTION("""COMPUTED_VALUE"""),"ม.6/7")</f>
        <v>ม.6/7</v>
      </c>
      <c r="D2353" s="3" t="str">
        <f>IFERROR(__xludf.DUMMYFUNCTION("""COMPUTED_VALUE"""),"อป.3/1")</f>
        <v>อป.3/1</v>
      </c>
      <c r="E2353" s="2" t="str">
        <f>IFERROR(__xludf.DUMMYFUNCTION("""COMPUTED_VALUE"""),"หญิง")</f>
        <v>หญิง</v>
      </c>
      <c r="F2353" s="5" t="str">
        <f>IFERROR(__xludf.DUMMYFUNCTION("""COMPUTED_VALUE"""),"https://azizstan.net/student_image/24596.jpg")</f>
        <v>https://azizstan.net/student_image/24596.jpg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>
      <c r="A2354" s="3" t="str">
        <f>IFERROR(__xludf.DUMMYFUNCTION("""COMPUTED_VALUE"""),"24684")</f>
        <v>24684</v>
      </c>
      <c r="B2354" s="3" t="str">
        <f>IFERROR(__xludf.DUMMYFUNCTION("""COMPUTED_VALUE"""),"น.ส.มารีนา ดือราแม")</f>
        <v>น.ส.มารีนา ดือราแม</v>
      </c>
      <c r="C2354" s="3" t="str">
        <f>IFERROR(__xludf.DUMMYFUNCTION("""COMPUTED_VALUE"""),"ม.6/7")</f>
        <v>ม.6/7</v>
      </c>
      <c r="D2354" s="3" t="str">
        <f>IFERROR(__xludf.DUMMYFUNCTION("""COMPUTED_VALUE"""),"อก.3/13")</f>
        <v>อก.3/13</v>
      </c>
      <c r="E2354" s="2" t="str">
        <f>IFERROR(__xludf.DUMMYFUNCTION("""COMPUTED_VALUE"""),"หญิง")</f>
        <v>หญิง</v>
      </c>
      <c r="F2354" s="5" t="str">
        <f>IFERROR(__xludf.DUMMYFUNCTION("""COMPUTED_VALUE"""),"https://azizstan.net/student_image/24684.jpg")</f>
        <v>https://azizstan.net/student_image/24684.jpg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</row>
    <row r="2355">
      <c r="A2355" s="3" t="str">
        <f>IFERROR(__xludf.DUMMYFUNCTION("""COMPUTED_VALUE"""),"24710")</f>
        <v>24710</v>
      </c>
      <c r="B2355" s="3" t="str">
        <f>IFERROR(__xludf.DUMMYFUNCTION("""COMPUTED_VALUE"""),"น.ส.นิมุขมีนะห์ มูยา")</f>
        <v>น.ส.นิมุขมีนะห์ มูยา</v>
      </c>
      <c r="C2355" s="3" t="str">
        <f>IFERROR(__xludf.DUMMYFUNCTION("""COMPUTED_VALUE"""),"ม.6/7")</f>
        <v>ม.6/7</v>
      </c>
      <c r="D2355" s="3" t="str">
        <f>IFERROR(__xludf.DUMMYFUNCTION("""COMPUTED_VALUE"""),"อป.3/1")</f>
        <v>อป.3/1</v>
      </c>
      <c r="E2355" s="2" t="str">
        <f>IFERROR(__xludf.DUMMYFUNCTION("""COMPUTED_VALUE"""),"หญิง")</f>
        <v>หญิง</v>
      </c>
      <c r="F2355" s="5" t="str">
        <f>IFERROR(__xludf.DUMMYFUNCTION("""COMPUTED_VALUE"""),"https://azizstan.net/student_image/24710.jpg")</f>
        <v>https://azizstan.net/student_image/24710.jpg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>
      <c r="A2356" s="3" t="str">
        <f>IFERROR(__xludf.DUMMYFUNCTION("""COMPUTED_VALUE"""),"24826")</f>
        <v>24826</v>
      </c>
      <c r="B2356" s="3" t="str">
        <f>IFERROR(__xludf.DUMMYFUNCTION("""COMPUTED_VALUE"""),"น.ส.นิตยา มาแน")</f>
        <v>น.ส.นิตยา มาแน</v>
      </c>
      <c r="C2356" s="3" t="str">
        <f>IFERROR(__xludf.DUMMYFUNCTION("""COMPUTED_VALUE"""),"ม.6/7")</f>
        <v>ม.6/7</v>
      </c>
      <c r="D2356" s="3" t="str">
        <f>IFERROR(__xludf.DUMMYFUNCTION("""COMPUTED_VALUE"""),"อป.3/1")</f>
        <v>อป.3/1</v>
      </c>
      <c r="E2356" s="2" t="str">
        <f>IFERROR(__xludf.DUMMYFUNCTION("""COMPUTED_VALUE"""),"หญิง")</f>
        <v>หญิง</v>
      </c>
      <c r="F2356" s="5" t="str">
        <f>IFERROR(__xludf.DUMMYFUNCTION("""COMPUTED_VALUE"""),"https://azizstan.net/student_image/24826.jpg")</f>
        <v>https://azizstan.net/student_image/24826.jpg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>
      <c r="A2357" s="3" t="str">
        <f>IFERROR(__xludf.DUMMYFUNCTION("""COMPUTED_VALUE"""),"24915")</f>
        <v>24915</v>
      </c>
      <c r="B2357" s="3" t="str">
        <f>IFERROR(__xludf.DUMMYFUNCTION("""COMPUTED_VALUE"""),"น.ส.นูรัยฟา เพชรแลหมัน")</f>
        <v>น.ส.นูรัยฟา เพชรแลหมัน</v>
      </c>
      <c r="C2357" s="3" t="str">
        <f>IFERROR(__xludf.DUMMYFUNCTION("""COMPUTED_VALUE"""),"ม.6/7")</f>
        <v>ม.6/7</v>
      </c>
      <c r="D2357" s="3" t="str">
        <f>IFERROR(__xludf.DUMMYFUNCTION("""COMPUTED_VALUE"""),"อป.3/1")</f>
        <v>อป.3/1</v>
      </c>
      <c r="E2357" s="2" t="str">
        <f>IFERROR(__xludf.DUMMYFUNCTION("""COMPUTED_VALUE"""),"หญิง")</f>
        <v>หญิง</v>
      </c>
      <c r="F2357" s="5" t="str">
        <f>IFERROR(__xludf.DUMMYFUNCTION("""COMPUTED_VALUE"""),"https://azizstan.net/student_image/24915.jpg")</f>
        <v>https://azizstan.net/student_image/24915.jpg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>
      <c r="A2358" s="3" t="str">
        <f>IFERROR(__xludf.DUMMYFUNCTION("""COMPUTED_VALUE"""),"24918")</f>
        <v>24918</v>
      </c>
      <c r="B2358" s="3" t="str">
        <f>IFERROR(__xludf.DUMMYFUNCTION("""COMPUTED_VALUE"""),"น.ส.นิอังคณา สุหลงกุ")</f>
        <v>น.ส.นิอังคณา สุหลงกุ</v>
      </c>
      <c r="C2358" s="3" t="str">
        <f>IFERROR(__xludf.DUMMYFUNCTION("""COMPUTED_VALUE"""),"ม.6/7")</f>
        <v>ม.6/7</v>
      </c>
      <c r="D2358" s="3" t="str">
        <f>IFERROR(__xludf.DUMMYFUNCTION("""COMPUTED_VALUE"""),"อป.3/1")</f>
        <v>อป.3/1</v>
      </c>
      <c r="E2358" s="2" t="str">
        <f>IFERROR(__xludf.DUMMYFUNCTION("""COMPUTED_VALUE"""),"หญิง")</f>
        <v>หญิง</v>
      </c>
      <c r="F2358" s="5" t="str">
        <f>IFERROR(__xludf.DUMMYFUNCTION("""COMPUTED_VALUE"""),"https://azizstan.net/student_image/24918.jpg")</f>
        <v>https://azizstan.net/student_image/24918.jpg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</row>
    <row r="2359">
      <c r="A2359" s="3" t="str">
        <f>IFERROR(__xludf.DUMMYFUNCTION("""COMPUTED_VALUE"""),"24969")</f>
        <v>24969</v>
      </c>
      <c r="B2359" s="3" t="str">
        <f>IFERROR(__xludf.DUMMYFUNCTION("""COMPUTED_VALUE"""),"น.ส.นูรีฮา ยีเร็ง")</f>
        <v>น.ส.นูรีฮา ยีเร็ง</v>
      </c>
      <c r="C2359" s="3" t="str">
        <f>IFERROR(__xludf.DUMMYFUNCTION("""COMPUTED_VALUE"""),"ม.6/7")</f>
        <v>ม.6/7</v>
      </c>
      <c r="D2359" s="3" t="str">
        <f>IFERROR(__xludf.DUMMYFUNCTION("""COMPUTED_VALUE"""),"อป.3/1")</f>
        <v>อป.3/1</v>
      </c>
      <c r="E2359" s="2" t="str">
        <f>IFERROR(__xludf.DUMMYFUNCTION("""COMPUTED_VALUE"""),"หญิง")</f>
        <v>หญิง</v>
      </c>
      <c r="F2359" s="5" t="str">
        <f>IFERROR(__xludf.DUMMYFUNCTION("""COMPUTED_VALUE"""),"https://azizstan.net/student_image/24969.jpg")</f>
        <v>https://azizstan.net/student_image/24969.jpg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>
      <c r="A2360" s="3" t="str">
        <f>IFERROR(__xludf.DUMMYFUNCTION("""COMPUTED_VALUE"""),"24973")</f>
        <v>24973</v>
      </c>
      <c r="B2360" s="3" t="str">
        <f>IFERROR(__xludf.DUMMYFUNCTION("""COMPUTED_VALUE"""),"น.ส.นูรรอยฮาน สาหมัด")</f>
        <v>น.ส.นูรรอยฮาน สาหมัด</v>
      </c>
      <c r="C2360" s="3" t="str">
        <f>IFERROR(__xludf.DUMMYFUNCTION("""COMPUTED_VALUE"""),"ม.6/7")</f>
        <v>ม.6/7</v>
      </c>
      <c r="D2360" s="3" t="str">
        <f>IFERROR(__xludf.DUMMYFUNCTION("""COMPUTED_VALUE"""),"อป.3/1")</f>
        <v>อป.3/1</v>
      </c>
      <c r="E2360" s="2" t="str">
        <f>IFERROR(__xludf.DUMMYFUNCTION("""COMPUTED_VALUE"""),"หญิง")</f>
        <v>หญิง</v>
      </c>
      <c r="F2360" s="5" t="str">
        <f>IFERROR(__xludf.DUMMYFUNCTION("""COMPUTED_VALUE"""),"https://azizstan.net/student_image/24973.jpg")</f>
        <v>https://azizstan.net/student_image/24973.jpg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>
      <c r="A2361" s="3" t="str">
        <f>IFERROR(__xludf.DUMMYFUNCTION("""COMPUTED_VALUE"""),"25121")</f>
        <v>25121</v>
      </c>
      <c r="B2361" s="3" t="str">
        <f>IFERROR(__xludf.DUMMYFUNCTION("""COMPUTED_VALUE"""),"น.ส.อณีรา มะแซ")</f>
        <v>น.ส.อณีรา มะแซ</v>
      </c>
      <c r="C2361" s="3" t="str">
        <f>IFERROR(__xludf.DUMMYFUNCTION("""COMPUTED_VALUE"""),"ม.6/7")</f>
        <v>ม.6/7</v>
      </c>
      <c r="D2361" s="3" t="str">
        <f>IFERROR(__xludf.DUMMYFUNCTION("""COMPUTED_VALUE"""),"อก.3/13")</f>
        <v>อก.3/13</v>
      </c>
      <c r="E2361" s="2" t="str">
        <f>IFERROR(__xludf.DUMMYFUNCTION("""COMPUTED_VALUE"""),"หญิง")</f>
        <v>หญิง</v>
      </c>
      <c r="F2361" s="5" t="str">
        <f>IFERROR(__xludf.DUMMYFUNCTION("""COMPUTED_VALUE"""),"https://azizstan.net/student_image/25121.jpg")</f>
        <v>https://azizstan.net/student_image/25121.jpg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</row>
    <row r="2362">
      <c r="A2362" s="3" t="str">
        <f>IFERROR(__xludf.DUMMYFUNCTION("""COMPUTED_VALUE"""),"25126")</f>
        <v>25126</v>
      </c>
      <c r="B2362" s="3" t="str">
        <f>IFERROR(__xludf.DUMMYFUNCTION("""COMPUTED_VALUE"""),"น.ส.คณัสนันท์ นุกูล")</f>
        <v>น.ส.คณัสนันท์ นุกูล</v>
      </c>
      <c r="C2362" s="3" t="str">
        <f>IFERROR(__xludf.DUMMYFUNCTION("""COMPUTED_VALUE"""),"ม.6/7")</f>
        <v>ม.6/7</v>
      </c>
      <c r="D2362" s="3" t="str">
        <f>IFERROR(__xludf.DUMMYFUNCTION("""COMPUTED_VALUE"""),"อก.3/13")</f>
        <v>อก.3/13</v>
      </c>
      <c r="E2362" s="2" t="str">
        <f>IFERROR(__xludf.DUMMYFUNCTION("""COMPUTED_VALUE"""),"หญิง")</f>
        <v>หญิง</v>
      </c>
      <c r="F2362" s="5" t="str">
        <f>IFERROR(__xludf.DUMMYFUNCTION("""COMPUTED_VALUE"""),"https://azizstan.net/student_image/25126.jpg")</f>
        <v>https://azizstan.net/student_image/25126.jpg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>
      <c r="A2363" s="3" t="str">
        <f>IFERROR(__xludf.DUMMYFUNCTION("""COMPUTED_VALUE"""),"25175")</f>
        <v>25175</v>
      </c>
      <c r="B2363" s="3" t="str">
        <f>IFERROR(__xludf.DUMMYFUNCTION("""COMPUTED_VALUE"""),"น.ส.นูรอักมัล กากะ")</f>
        <v>น.ส.นูรอักมัล กากะ</v>
      </c>
      <c r="C2363" s="3" t="str">
        <f>IFERROR(__xludf.DUMMYFUNCTION("""COMPUTED_VALUE"""),"ม.6/7")</f>
        <v>ม.6/7</v>
      </c>
      <c r="D2363" s="3" t="str">
        <f>IFERROR(__xludf.DUMMYFUNCTION("""COMPUTED_VALUE"""),"อป.3/1")</f>
        <v>อป.3/1</v>
      </c>
      <c r="E2363" s="2" t="str">
        <f>IFERROR(__xludf.DUMMYFUNCTION("""COMPUTED_VALUE"""),"หญิง")</f>
        <v>หญิง</v>
      </c>
      <c r="F2363" s="5" t="str">
        <f>IFERROR(__xludf.DUMMYFUNCTION("""COMPUTED_VALUE"""),"https://azizstan.net/student_image/25175.jpg")</f>
        <v>https://azizstan.net/student_image/25175.jpg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>
      <c r="A2364" s="3" t="str">
        <f>IFERROR(__xludf.DUMMYFUNCTION("""COMPUTED_VALUE"""),"25202")</f>
        <v>25202</v>
      </c>
      <c r="B2364" s="3" t="str">
        <f>IFERROR(__xludf.DUMMYFUNCTION("""COMPUTED_VALUE"""),"น.ส.ฟัฏนีน อาแว")</f>
        <v>น.ส.ฟัฏนีน อาแว</v>
      </c>
      <c r="C2364" s="3" t="str">
        <f>IFERROR(__xludf.DUMMYFUNCTION("""COMPUTED_VALUE"""),"ม.6/7")</f>
        <v>ม.6/7</v>
      </c>
      <c r="D2364" s="3" t="str">
        <f>IFERROR(__xludf.DUMMYFUNCTION("""COMPUTED_VALUE"""),"อป.3/1")</f>
        <v>อป.3/1</v>
      </c>
      <c r="E2364" s="2" t="str">
        <f>IFERROR(__xludf.DUMMYFUNCTION("""COMPUTED_VALUE"""),"หญิง")</f>
        <v>หญิง</v>
      </c>
      <c r="F2364" s="5" t="str">
        <f>IFERROR(__xludf.DUMMYFUNCTION("""COMPUTED_VALUE"""),"https://azizstan.net/student_image/25202.jpg")</f>
        <v>https://azizstan.net/student_image/25202.jpg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</row>
    <row r="2365">
      <c r="A2365" s="3" t="str">
        <f>IFERROR(__xludf.DUMMYFUNCTION("""COMPUTED_VALUE"""),"25231")</f>
        <v>25231</v>
      </c>
      <c r="B2365" s="3" t="str">
        <f>IFERROR(__xludf.DUMMYFUNCTION("""COMPUTED_VALUE"""),"น.ส.ฟิดาอียะห์ สามะ")</f>
        <v>น.ส.ฟิดาอียะห์ สามะ</v>
      </c>
      <c r="C2365" s="3" t="str">
        <f>IFERROR(__xludf.DUMMYFUNCTION("""COMPUTED_VALUE"""),"ม.6/7")</f>
        <v>ม.6/7</v>
      </c>
      <c r="D2365" s="3" t="str">
        <f>IFERROR(__xludf.DUMMYFUNCTION("""COMPUTED_VALUE"""),"อป.3/1")</f>
        <v>อป.3/1</v>
      </c>
      <c r="E2365" s="2" t="str">
        <f>IFERROR(__xludf.DUMMYFUNCTION("""COMPUTED_VALUE"""),"หญิง")</f>
        <v>หญิง</v>
      </c>
      <c r="F2365" s="5" t="str">
        <f>IFERROR(__xludf.DUMMYFUNCTION("""COMPUTED_VALUE"""),"https://azizstan.net/student_image/25231.jpg")</f>
        <v>https://azizstan.net/student_image/25231.jpg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>
      <c r="A2366" s="3" t="str">
        <f>IFERROR(__xludf.DUMMYFUNCTION("""COMPUTED_VALUE"""),"25246")</f>
        <v>25246</v>
      </c>
      <c r="B2366" s="3" t="str">
        <f>IFERROR(__xludf.DUMMYFUNCTION("""COMPUTED_VALUE"""),"น.ส.อาอีชะ เนียมนำ")</f>
        <v>น.ส.อาอีชะ เนียมนำ</v>
      </c>
      <c r="C2366" s="3" t="str">
        <f>IFERROR(__xludf.DUMMYFUNCTION("""COMPUTED_VALUE"""),"ม.6/7")</f>
        <v>ม.6/7</v>
      </c>
      <c r="D2366" s="3" t="str">
        <f>IFERROR(__xludf.DUMMYFUNCTION("""COMPUTED_VALUE"""),"อก.3/13")</f>
        <v>อก.3/13</v>
      </c>
      <c r="E2366" s="2" t="str">
        <f>IFERROR(__xludf.DUMMYFUNCTION("""COMPUTED_VALUE"""),"หญิง")</f>
        <v>หญิง</v>
      </c>
      <c r="F2366" s="5" t="str">
        <f>IFERROR(__xludf.DUMMYFUNCTION("""COMPUTED_VALUE"""),"https://azizstan.net/student_image/25246.jpg")</f>
        <v>https://azizstan.net/student_image/25246.jpg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>
      <c r="A2367" s="3" t="str">
        <f>IFERROR(__xludf.DUMMYFUNCTION("""COMPUTED_VALUE"""),"25326")</f>
        <v>25326</v>
      </c>
      <c r="B2367" s="3" t="str">
        <f>IFERROR(__xludf.DUMMYFUNCTION("""COMPUTED_VALUE"""),"น.ส.มิสละห์ คาเร็ง")</f>
        <v>น.ส.มิสละห์ คาเร็ง</v>
      </c>
      <c r="C2367" s="3" t="str">
        <f>IFERROR(__xludf.DUMMYFUNCTION("""COMPUTED_VALUE"""),"ม.6/7")</f>
        <v>ม.6/7</v>
      </c>
      <c r="D2367" s="3" t="str">
        <f>IFERROR(__xludf.DUMMYFUNCTION("""COMPUTED_VALUE"""),"อก.3/13")</f>
        <v>อก.3/13</v>
      </c>
      <c r="E2367" s="2" t="str">
        <f>IFERROR(__xludf.DUMMYFUNCTION("""COMPUTED_VALUE"""),"หญิง")</f>
        <v>หญิง</v>
      </c>
      <c r="F2367" s="5" t="str">
        <f>IFERROR(__xludf.DUMMYFUNCTION("""COMPUTED_VALUE"""),"https://azizstan.net/student_image/25326.jpg")</f>
        <v>https://azizstan.net/student_image/25326.jpg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>
      <c r="A2368" s="3" t="str">
        <f>IFERROR(__xludf.DUMMYFUNCTION("""COMPUTED_VALUE"""),"25332")</f>
        <v>25332</v>
      </c>
      <c r="B2368" s="3" t="str">
        <f>IFERROR(__xludf.DUMMYFUNCTION("""COMPUTED_VALUE"""),"น.ส.ทิพย์เกษร สันตตินบีวงศ์")</f>
        <v>น.ส.ทิพย์เกษร สันตตินบีวงศ์</v>
      </c>
      <c r="C2368" s="3" t="str">
        <f>IFERROR(__xludf.DUMMYFUNCTION("""COMPUTED_VALUE"""),"ม.6/7")</f>
        <v>ม.6/7</v>
      </c>
      <c r="D2368" s="3" t="str">
        <f>IFERROR(__xludf.DUMMYFUNCTION("""COMPUTED_VALUE"""),"อก.3/13")</f>
        <v>อก.3/13</v>
      </c>
      <c r="E2368" s="2" t="str">
        <f>IFERROR(__xludf.DUMMYFUNCTION("""COMPUTED_VALUE"""),"หญิง")</f>
        <v>หญิง</v>
      </c>
      <c r="F2368" s="5" t="str">
        <f>IFERROR(__xludf.DUMMYFUNCTION("""COMPUTED_VALUE"""),"https://azizstan.net/student_image/25332.jpg")</f>
        <v>https://azizstan.net/student_image/25332.jpg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</row>
    <row r="2369">
      <c r="A2369" s="3" t="str">
        <f>IFERROR(__xludf.DUMMYFUNCTION("""COMPUTED_VALUE"""),"25354")</f>
        <v>25354</v>
      </c>
      <c r="B2369" s="3" t="str">
        <f>IFERROR(__xludf.DUMMYFUNCTION("""COMPUTED_VALUE"""),"น.ส.โซเฟีย ยูโซ๊ะ")</f>
        <v>น.ส.โซเฟีย ยูโซ๊ะ</v>
      </c>
      <c r="C2369" s="3" t="str">
        <f>IFERROR(__xludf.DUMMYFUNCTION("""COMPUTED_VALUE"""),"ม.6/7")</f>
        <v>ม.6/7</v>
      </c>
      <c r="D2369" s="3" t="str">
        <f>IFERROR(__xludf.DUMMYFUNCTION("""COMPUTED_VALUE"""),"อก.3/13")</f>
        <v>อก.3/13</v>
      </c>
      <c r="E2369" s="2" t="str">
        <f>IFERROR(__xludf.DUMMYFUNCTION("""COMPUTED_VALUE"""),"หญิง")</f>
        <v>หญิง</v>
      </c>
      <c r="F2369" s="5" t="str">
        <f>IFERROR(__xludf.DUMMYFUNCTION("""COMPUTED_VALUE"""),"https://azizstan.net/student_image/25354.jpg")</f>
        <v>https://azizstan.net/student_image/25354.jpg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>
      <c r="A2370" s="3" t="str">
        <f>IFERROR(__xludf.DUMMYFUNCTION("""COMPUTED_VALUE"""),"25763")</f>
        <v>25763</v>
      </c>
      <c r="B2370" s="3" t="str">
        <f>IFERROR(__xludf.DUMMYFUNCTION("""COMPUTED_VALUE"""),"น.ส.นูรอามานี เจ๊ะแห")</f>
        <v>น.ส.นูรอามานี เจ๊ะแห</v>
      </c>
      <c r="C2370" s="3" t="str">
        <f>IFERROR(__xludf.DUMMYFUNCTION("""COMPUTED_VALUE"""),"ม.6/7")</f>
        <v>ม.6/7</v>
      </c>
      <c r="D2370" s="3" t="str">
        <f>IFERROR(__xludf.DUMMYFUNCTION("""COMPUTED_VALUE"""),"อก.3/13")</f>
        <v>อก.3/13</v>
      </c>
      <c r="E2370" s="2" t="str">
        <f>IFERROR(__xludf.DUMMYFUNCTION("""COMPUTED_VALUE"""),"หญิง")</f>
        <v>หญิง</v>
      </c>
      <c r="F2370" s="5" t="str">
        <f>IFERROR(__xludf.DUMMYFUNCTION("""COMPUTED_VALUE"""),"https://azizstan.net/student_image/25763.jpg")</f>
        <v>https://azizstan.net/student_image/25763.jpg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</row>
    <row r="2371">
      <c r="A2371" s="3" t="str">
        <f>IFERROR(__xludf.DUMMYFUNCTION("""COMPUTED_VALUE"""),"22652")</f>
        <v>22652</v>
      </c>
      <c r="B2371" s="3" t="str">
        <f>IFERROR(__xludf.DUMMYFUNCTION("""COMPUTED_VALUE"""),"น.ส.แวกามารียะห์ อุมา")</f>
        <v>น.ส.แวกามารียะห์ อุมา</v>
      </c>
      <c r="C2371" s="3" t="str">
        <f>IFERROR(__xludf.DUMMYFUNCTION("""COMPUTED_VALUE"""),"ม.6/8")</f>
        <v>ม.6/8</v>
      </c>
      <c r="D2371" s="3" t="str">
        <f>IFERROR(__xludf.DUMMYFUNCTION("""COMPUTED_VALUE"""),"อก.3/16")</f>
        <v>อก.3/16</v>
      </c>
      <c r="E2371" s="2" t="str">
        <f>IFERROR(__xludf.DUMMYFUNCTION("""COMPUTED_VALUE"""),"หญิง")</f>
        <v>หญิง</v>
      </c>
      <c r="F2371" s="5" t="str">
        <f>IFERROR(__xludf.DUMMYFUNCTION("""COMPUTED_VALUE"""),"https://azizstan.net/student_image/22652.jpg")</f>
        <v>https://azizstan.net/student_image/22652.jpg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</row>
    <row r="2372">
      <c r="A2372" s="3" t="str">
        <f>IFERROR(__xludf.DUMMYFUNCTION("""COMPUTED_VALUE"""),"22769")</f>
        <v>22769</v>
      </c>
      <c r="B2372" s="3" t="str">
        <f>IFERROR(__xludf.DUMMYFUNCTION("""COMPUTED_VALUE"""),"น.ส.อารีสซา ยาลอ")</f>
        <v>น.ส.อารีสซา ยาลอ</v>
      </c>
      <c r="C2372" s="3" t="str">
        <f>IFERROR(__xludf.DUMMYFUNCTION("""COMPUTED_VALUE"""),"ม.6/8")</f>
        <v>ม.6/8</v>
      </c>
      <c r="D2372" s="3" t="str">
        <f>IFERROR(__xludf.DUMMYFUNCTION("""COMPUTED_VALUE"""),"อก.3/14")</f>
        <v>อก.3/14</v>
      </c>
      <c r="E2372" s="2" t="str">
        <f>IFERROR(__xludf.DUMMYFUNCTION("""COMPUTED_VALUE"""),"หญิง")</f>
        <v>หญิง</v>
      </c>
      <c r="F2372" s="5" t="str">
        <f>IFERROR(__xludf.DUMMYFUNCTION("""COMPUTED_VALUE"""),"https://azizstan.net/student_image/22769.jpg")</f>
        <v>https://azizstan.net/student_image/22769.jpg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</row>
    <row r="2373">
      <c r="A2373" s="3" t="str">
        <f>IFERROR(__xludf.DUMMYFUNCTION("""COMPUTED_VALUE"""),"22800")</f>
        <v>22800</v>
      </c>
      <c r="B2373" s="3" t="str">
        <f>IFERROR(__xludf.DUMMYFUNCTION("""COMPUTED_VALUE"""),"น.ส.นูรฮัลฟารี มะมิง")</f>
        <v>น.ส.นูรฮัลฟารี มะมิง</v>
      </c>
      <c r="C2373" s="3" t="str">
        <f>IFERROR(__xludf.DUMMYFUNCTION("""COMPUTED_VALUE"""),"ม.6/8")</f>
        <v>ม.6/8</v>
      </c>
      <c r="D2373" s="3" t="str">
        <f>IFERROR(__xludf.DUMMYFUNCTION("""COMPUTED_VALUE"""),"อก.3/16")</f>
        <v>อก.3/16</v>
      </c>
      <c r="E2373" s="2" t="str">
        <f>IFERROR(__xludf.DUMMYFUNCTION("""COMPUTED_VALUE"""),"หญิง")</f>
        <v>หญิง</v>
      </c>
      <c r="F2373" s="5" t="str">
        <f>IFERROR(__xludf.DUMMYFUNCTION("""COMPUTED_VALUE"""),"https://azizstan.net/student_image/22800.jpg")</f>
        <v>https://azizstan.net/student_image/22800.jpg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>
      <c r="A2374" s="3" t="str">
        <f>IFERROR(__xludf.DUMMYFUNCTION("""COMPUTED_VALUE"""),"22852")</f>
        <v>22852</v>
      </c>
      <c r="B2374" s="3" t="str">
        <f>IFERROR(__xludf.DUMMYFUNCTION("""COMPUTED_VALUE"""),"น.ส.สาริต้า เอียดหวัง")</f>
        <v>น.ส.สาริต้า เอียดหวัง</v>
      </c>
      <c r="C2374" s="3" t="str">
        <f>IFERROR(__xludf.DUMMYFUNCTION("""COMPUTED_VALUE"""),"ม.6/8")</f>
        <v>ม.6/8</v>
      </c>
      <c r="D2374" s="3" t="str">
        <f>IFERROR(__xludf.DUMMYFUNCTION("""COMPUTED_VALUE"""),"อก.3/16")</f>
        <v>อก.3/16</v>
      </c>
      <c r="E2374" s="2" t="str">
        <f>IFERROR(__xludf.DUMMYFUNCTION("""COMPUTED_VALUE"""),"หญิง")</f>
        <v>หญิง</v>
      </c>
      <c r="F2374" s="5" t="str">
        <f>IFERROR(__xludf.DUMMYFUNCTION("""COMPUTED_VALUE"""),"https://azizstan.net/student_image/22852.jpg")</f>
        <v>https://azizstan.net/student_image/22852.jpg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>
      <c r="A2375" s="3" t="str">
        <f>IFERROR(__xludf.DUMMYFUNCTION("""COMPUTED_VALUE"""),"22906")</f>
        <v>22906</v>
      </c>
      <c r="B2375" s="3" t="str">
        <f>IFERROR(__xludf.DUMMYFUNCTION("""COMPUTED_VALUE"""),"น.ส.รุสนีตา เจะเตะ")</f>
        <v>น.ส.รุสนีตา เจะเตะ</v>
      </c>
      <c r="C2375" s="3" t="str">
        <f>IFERROR(__xludf.DUMMYFUNCTION("""COMPUTED_VALUE"""),"ม.6/8")</f>
        <v>ม.6/8</v>
      </c>
      <c r="D2375" s="3" t="str">
        <f>IFERROR(__xludf.DUMMYFUNCTION("""COMPUTED_VALUE"""),"อก.3/16")</f>
        <v>อก.3/16</v>
      </c>
      <c r="E2375" s="2" t="str">
        <f>IFERROR(__xludf.DUMMYFUNCTION("""COMPUTED_VALUE"""),"หญิง")</f>
        <v>หญิง</v>
      </c>
      <c r="F2375" s="5" t="str">
        <f>IFERROR(__xludf.DUMMYFUNCTION("""COMPUTED_VALUE"""),"https://azizstan.net/student_image/22906.jpg")</f>
        <v>https://azizstan.net/student_image/22906.jpg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>
      <c r="A2376" s="3" t="str">
        <f>IFERROR(__xludf.DUMMYFUNCTION("""COMPUTED_VALUE"""),"22939")</f>
        <v>22939</v>
      </c>
      <c r="B2376" s="3" t="str">
        <f>IFERROR(__xludf.DUMMYFUNCTION("""COMPUTED_VALUE"""),"น.ส.นูรีฮัน ขาเดร์")</f>
        <v>น.ส.นูรีฮัน ขาเดร์</v>
      </c>
      <c r="C2376" s="3" t="str">
        <f>IFERROR(__xludf.DUMMYFUNCTION("""COMPUTED_VALUE"""),"ม.6/8")</f>
        <v>ม.6/8</v>
      </c>
      <c r="D2376" s="3" t="str">
        <f>IFERROR(__xludf.DUMMYFUNCTION("""COMPUTED_VALUE"""),"อป.1/2")</f>
        <v>อป.1/2</v>
      </c>
      <c r="E2376" s="2" t="str">
        <f>IFERROR(__xludf.DUMMYFUNCTION("""COMPUTED_VALUE"""),"หญิง")</f>
        <v>หญิง</v>
      </c>
      <c r="F2376" s="5" t="str">
        <f>IFERROR(__xludf.DUMMYFUNCTION("""COMPUTED_VALUE"""),"https://azizstan.net/student_image/22939.jpg")</f>
        <v>https://azizstan.net/student_image/22939.jpg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>
      <c r="A2377" s="3" t="str">
        <f>IFERROR(__xludf.DUMMYFUNCTION("""COMPUTED_VALUE"""),"22943")</f>
        <v>22943</v>
      </c>
      <c r="B2377" s="3" t="str">
        <f>IFERROR(__xludf.DUMMYFUNCTION("""COMPUTED_VALUE"""),"น.ส.ฟาตีมะห์ สะนิ")</f>
        <v>น.ส.ฟาตีมะห์ สะนิ</v>
      </c>
      <c r="C2377" s="3" t="str">
        <f>IFERROR(__xludf.DUMMYFUNCTION("""COMPUTED_VALUE"""),"ม.6/8")</f>
        <v>ม.6/8</v>
      </c>
      <c r="D2377" s="3" t="str">
        <f>IFERROR(__xludf.DUMMYFUNCTION("""COMPUTED_VALUE"""),"อป.2/2")</f>
        <v>อป.2/2</v>
      </c>
      <c r="E2377" s="2" t="str">
        <f>IFERROR(__xludf.DUMMYFUNCTION("""COMPUTED_VALUE"""),"หญิง")</f>
        <v>หญิง</v>
      </c>
      <c r="F2377" s="5" t="str">
        <f>IFERROR(__xludf.DUMMYFUNCTION("""COMPUTED_VALUE"""),"https://azizstan.net/student_image/22943.jpg")</f>
        <v>https://azizstan.net/student_image/22943.jpg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>
      <c r="A2378" s="3" t="str">
        <f>IFERROR(__xludf.DUMMYFUNCTION("""COMPUTED_VALUE"""),"22949")</f>
        <v>22949</v>
      </c>
      <c r="B2378" s="3" t="str">
        <f>IFERROR(__xludf.DUMMYFUNCTION("""COMPUTED_VALUE"""),"น.ส.นูรฮายาตี ยูโสะ")</f>
        <v>น.ส.นูรฮายาตี ยูโสะ</v>
      </c>
      <c r="C2378" s="3" t="str">
        <f>IFERROR(__xludf.DUMMYFUNCTION("""COMPUTED_VALUE"""),"ม.6/8")</f>
        <v>ม.6/8</v>
      </c>
      <c r="D2378" s="3" t="str">
        <f>IFERROR(__xludf.DUMMYFUNCTION("""COMPUTED_VALUE"""),"อก.3/16")</f>
        <v>อก.3/16</v>
      </c>
      <c r="E2378" s="2" t="str">
        <f>IFERROR(__xludf.DUMMYFUNCTION("""COMPUTED_VALUE"""),"หญิง")</f>
        <v>หญิง</v>
      </c>
      <c r="F2378" s="5" t="str">
        <f>IFERROR(__xludf.DUMMYFUNCTION("""COMPUTED_VALUE"""),"https://azizstan.net/student_image/22949.jpg")</f>
        <v>https://azizstan.net/student_image/22949.jpg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>
      <c r="A2379" s="3" t="str">
        <f>IFERROR(__xludf.DUMMYFUNCTION("""COMPUTED_VALUE"""),"22986")</f>
        <v>22986</v>
      </c>
      <c r="B2379" s="3" t="str">
        <f>IFERROR(__xludf.DUMMYFUNCTION("""COMPUTED_VALUE"""),"น.ส.นัสรี ดาราแม")</f>
        <v>น.ส.นัสรี ดาราแม</v>
      </c>
      <c r="C2379" s="3" t="str">
        <f>IFERROR(__xludf.DUMMYFUNCTION("""COMPUTED_VALUE"""),"ม.6/8")</f>
        <v>ม.6/8</v>
      </c>
      <c r="D2379" s="3" t="str">
        <f>IFERROR(__xludf.DUMMYFUNCTION("""COMPUTED_VALUE"""),"อป.1/2")</f>
        <v>อป.1/2</v>
      </c>
      <c r="E2379" s="2" t="str">
        <f>IFERROR(__xludf.DUMMYFUNCTION("""COMPUTED_VALUE"""),"หญิง")</f>
        <v>หญิง</v>
      </c>
      <c r="F2379" s="5" t="str">
        <f>IFERROR(__xludf.DUMMYFUNCTION("""COMPUTED_VALUE"""),"https://azizstan.net/student_image/22986.jpg")</f>
        <v>https://azizstan.net/student_image/22986.jpg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>
      <c r="A2380" s="3" t="str">
        <f>IFERROR(__xludf.DUMMYFUNCTION("""COMPUTED_VALUE"""),"22990")</f>
        <v>22990</v>
      </c>
      <c r="B2380" s="3" t="str">
        <f>IFERROR(__xludf.DUMMYFUNCTION("""COMPUTED_VALUE"""),"น.ส.สุกันยา ยุโสะ")</f>
        <v>น.ส.สุกันยา ยุโสะ</v>
      </c>
      <c r="C2380" s="3" t="str">
        <f>IFERROR(__xludf.DUMMYFUNCTION("""COMPUTED_VALUE"""),"ม.6/8")</f>
        <v>ม.6/8</v>
      </c>
      <c r="D2380" s="3" t="str">
        <f>IFERROR(__xludf.DUMMYFUNCTION("""COMPUTED_VALUE"""),"อป.2/2")</f>
        <v>อป.2/2</v>
      </c>
      <c r="E2380" s="2" t="str">
        <f>IFERROR(__xludf.DUMMYFUNCTION("""COMPUTED_VALUE"""),"หญิง")</f>
        <v>หญิง</v>
      </c>
      <c r="F2380" s="5" t="str">
        <f>IFERROR(__xludf.DUMMYFUNCTION("""COMPUTED_VALUE"""),"https://azizstan.net/student_image/22990.jpg")</f>
        <v>https://azizstan.net/student_image/22990.jpg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>
      <c r="A2381" s="3" t="str">
        <f>IFERROR(__xludf.DUMMYFUNCTION("""COMPUTED_VALUE"""),"23044")</f>
        <v>23044</v>
      </c>
      <c r="B2381" s="3" t="str">
        <f>IFERROR(__xludf.DUMMYFUNCTION("""COMPUTED_VALUE"""),"น.ส.รัศมี เวาะกอ")</f>
        <v>น.ส.รัศมี เวาะกอ</v>
      </c>
      <c r="C2381" s="3" t="str">
        <f>IFERROR(__xludf.DUMMYFUNCTION("""COMPUTED_VALUE"""),"ม.6/8")</f>
        <v>ม.6/8</v>
      </c>
      <c r="D2381" s="3" t="str">
        <f>IFERROR(__xludf.DUMMYFUNCTION("""COMPUTED_VALUE"""),"อก.3/14")</f>
        <v>อก.3/14</v>
      </c>
      <c r="E2381" s="2" t="str">
        <f>IFERROR(__xludf.DUMMYFUNCTION("""COMPUTED_VALUE"""),"หญิง")</f>
        <v>หญิง</v>
      </c>
      <c r="F2381" s="5" t="str">
        <f>IFERROR(__xludf.DUMMYFUNCTION("""COMPUTED_VALUE"""),"https://azizstan.net/student_image/23044.jpg")</f>
        <v>https://azizstan.net/student_image/23044.jpg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</row>
    <row r="2382">
      <c r="A2382" s="3" t="str">
        <f>IFERROR(__xludf.DUMMYFUNCTION("""COMPUTED_VALUE"""),"23058")</f>
        <v>23058</v>
      </c>
      <c r="B2382" s="3" t="str">
        <f>IFERROR(__xludf.DUMMYFUNCTION("""COMPUTED_VALUE"""),"น.ส.ซัลวา เจะเลาะ")</f>
        <v>น.ส.ซัลวา เจะเลาะ</v>
      </c>
      <c r="C2382" s="3" t="str">
        <f>IFERROR(__xludf.DUMMYFUNCTION("""COMPUTED_VALUE"""),"ม.6/8")</f>
        <v>ม.6/8</v>
      </c>
      <c r="D2382" s="3" t="str">
        <f>IFERROR(__xludf.DUMMYFUNCTION("""COMPUTED_VALUE"""),"อป.1/2")</f>
        <v>อป.1/2</v>
      </c>
      <c r="E2382" s="2" t="str">
        <f>IFERROR(__xludf.DUMMYFUNCTION("""COMPUTED_VALUE"""),"หญิง")</f>
        <v>หญิง</v>
      </c>
      <c r="F2382" s="5" t="str">
        <f>IFERROR(__xludf.DUMMYFUNCTION("""COMPUTED_VALUE"""),"https://azizstan.net/student_image/23058.jpg")</f>
        <v>https://azizstan.net/student_image/23058.jpg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>
      <c r="A2383" s="3" t="str">
        <f>IFERROR(__xludf.DUMMYFUNCTION("""COMPUTED_VALUE"""),"23125")</f>
        <v>23125</v>
      </c>
      <c r="B2383" s="3" t="str">
        <f>IFERROR(__xludf.DUMMYFUNCTION("""COMPUTED_VALUE"""),"น.ส.แวนาอีมะ หะยีสาอุ")</f>
        <v>น.ส.แวนาอีมะ หะยีสาอุ</v>
      </c>
      <c r="C2383" s="3" t="str">
        <f>IFERROR(__xludf.DUMMYFUNCTION("""COMPUTED_VALUE"""),"ม.6/8")</f>
        <v>ม.6/8</v>
      </c>
      <c r="D2383" s="3" t="str">
        <f>IFERROR(__xludf.DUMMYFUNCTION("""COMPUTED_VALUE"""),"อป.2/2")</f>
        <v>อป.2/2</v>
      </c>
      <c r="E2383" s="2" t="str">
        <f>IFERROR(__xludf.DUMMYFUNCTION("""COMPUTED_VALUE"""),"หญิง")</f>
        <v>หญิง</v>
      </c>
      <c r="F2383" s="5" t="str">
        <f>IFERROR(__xludf.DUMMYFUNCTION("""COMPUTED_VALUE"""),"https://azizstan.net/student_image/23125.jpg")</f>
        <v>https://azizstan.net/student_image/23125.jpg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>
      <c r="A2384" s="3" t="str">
        <f>IFERROR(__xludf.DUMMYFUNCTION("""COMPUTED_VALUE"""),"23158")</f>
        <v>23158</v>
      </c>
      <c r="B2384" s="3" t="str">
        <f>IFERROR(__xludf.DUMMYFUNCTION("""COMPUTED_VALUE"""),"น.ส.ยัสมี ยูโซะ")</f>
        <v>น.ส.ยัสมี ยูโซะ</v>
      </c>
      <c r="C2384" s="3" t="str">
        <f>IFERROR(__xludf.DUMMYFUNCTION("""COMPUTED_VALUE"""),"ม.6/8")</f>
        <v>ม.6/8</v>
      </c>
      <c r="D2384" s="3" t="str">
        <f>IFERROR(__xludf.DUMMYFUNCTION("""COMPUTED_VALUE"""),"อก.3/14")</f>
        <v>อก.3/14</v>
      </c>
      <c r="E2384" s="2" t="str">
        <f>IFERROR(__xludf.DUMMYFUNCTION("""COMPUTED_VALUE"""),"หญิง")</f>
        <v>หญิง</v>
      </c>
      <c r="F2384" s="5" t="str">
        <f>IFERROR(__xludf.DUMMYFUNCTION("""COMPUTED_VALUE"""),"https://azizstan.net/student_image/23158.jpg")</f>
        <v>https://azizstan.net/student_image/23158.jpg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>
      <c r="A2385" s="3" t="str">
        <f>IFERROR(__xludf.DUMMYFUNCTION("""COMPUTED_VALUE"""),"23175")</f>
        <v>23175</v>
      </c>
      <c r="B2385" s="3" t="str">
        <f>IFERROR(__xludf.DUMMYFUNCTION("""COMPUTED_VALUE"""),"น.ส.กูฟาราเดียร์ รงโซะ")</f>
        <v>น.ส.กูฟาราเดียร์ รงโซะ</v>
      </c>
      <c r="C2385" s="3" t="str">
        <f>IFERROR(__xludf.DUMMYFUNCTION("""COMPUTED_VALUE"""),"ม.6/8")</f>
        <v>ม.6/8</v>
      </c>
      <c r="D2385" s="3" t="str">
        <f>IFERROR(__xludf.DUMMYFUNCTION("""COMPUTED_VALUE"""),"อป.2/2")</f>
        <v>อป.2/2</v>
      </c>
      <c r="E2385" s="2" t="str">
        <f>IFERROR(__xludf.DUMMYFUNCTION("""COMPUTED_VALUE"""),"หญิง")</f>
        <v>หญิง</v>
      </c>
      <c r="F2385" s="5" t="str">
        <f>IFERROR(__xludf.DUMMYFUNCTION("""COMPUTED_VALUE"""),"https://azizstan.net/student_image/23175.jpg")</f>
        <v>https://azizstan.net/student_image/23175.jpg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>
      <c r="A2386" s="3" t="str">
        <f>IFERROR(__xludf.DUMMYFUNCTION("""COMPUTED_VALUE"""),"23199")</f>
        <v>23199</v>
      </c>
      <c r="B2386" s="3" t="str">
        <f>IFERROR(__xludf.DUMMYFUNCTION("""COMPUTED_VALUE"""),"น.ส.ซูซานี บากา")</f>
        <v>น.ส.ซูซานี บากา</v>
      </c>
      <c r="C2386" s="3" t="str">
        <f>IFERROR(__xludf.DUMMYFUNCTION("""COMPUTED_VALUE"""),"ม.6/8")</f>
        <v>ม.6/8</v>
      </c>
      <c r="D2386" s="3" t="str">
        <f>IFERROR(__xludf.DUMMYFUNCTION("""COMPUTED_VALUE"""),"อก.3/14")</f>
        <v>อก.3/14</v>
      </c>
      <c r="E2386" s="2" t="str">
        <f>IFERROR(__xludf.DUMMYFUNCTION("""COMPUTED_VALUE"""),"หญิง")</f>
        <v>หญิง</v>
      </c>
      <c r="F2386" s="5" t="str">
        <f>IFERROR(__xludf.DUMMYFUNCTION("""COMPUTED_VALUE"""),"https://azizstan.net/student_image/23199.jpg")</f>
        <v>https://azizstan.net/student_image/23199.jpg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>
      <c r="A2387" s="3" t="str">
        <f>IFERROR(__xludf.DUMMYFUNCTION("""COMPUTED_VALUE"""),"23252")</f>
        <v>23252</v>
      </c>
      <c r="B2387" s="3" t="str">
        <f>IFERROR(__xludf.DUMMYFUNCTION("""COMPUTED_VALUE"""),"น.ส.ซูไบยา ดีสะเอะ")</f>
        <v>น.ส.ซูไบยา ดีสะเอะ</v>
      </c>
      <c r="C2387" s="3" t="str">
        <f>IFERROR(__xludf.DUMMYFUNCTION("""COMPUTED_VALUE"""),"ม.6/8")</f>
        <v>ม.6/8</v>
      </c>
      <c r="D2387" s="3" t="str">
        <f>IFERROR(__xludf.DUMMYFUNCTION("""COMPUTED_VALUE"""),"อก.3/16")</f>
        <v>อก.3/16</v>
      </c>
      <c r="E2387" s="2" t="str">
        <f>IFERROR(__xludf.DUMMYFUNCTION("""COMPUTED_VALUE"""),"หญิง")</f>
        <v>หญิง</v>
      </c>
      <c r="F2387" s="5" t="str">
        <f>IFERROR(__xludf.DUMMYFUNCTION("""COMPUTED_VALUE"""),"https://azizstan.net/student_image/23252.jpg")</f>
        <v>https://azizstan.net/student_image/23252.jpg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>
      <c r="A2388" s="3" t="str">
        <f>IFERROR(__xludf.DUMMYFUNCTION("""COMPUTED_VALUE"""),"23257")</f>
        <v>23257</v>
      </c>
      <c r="B2388" s="3" t="str">
        <f>IFERROR(__xludf.DUMMYFUNCTION("""COMPUTED_VALUE"""),"น.ส.ฮามีด๊ะ เด็นมานิ")</f>
        <v>น.ส.ฮามีด๊ะ เด็นมานิ</v>
      </c>
      <c r="C2388" s="3" t="str">
        <f>IFERROR(__xludf.DUMMYFUNCTION("""COMPUTED_VALUE"""),"ม.6/8")</f>
        <v>ม.6/8</v>
      </c>
      <c r="D2388" s="3" t="str">
        <f>IFERROR(__xludf.DUMMYFUNCTION("""COMPUTED_VALUE"""),"อก.3/14")</f>
        <v>อก.3/14</v>
      </c>
      <c r="E2388" s="2" t="str">
        <f>IFERROR(__xludf.DUMMYFUNCTION("""COMPUTED_VALUE"""),"หญิง")</f>
        <v>หญิง</v>
      </c>
      <c r="F2388" s="5" t="str">
        <f>IFERROR(__xludf.DUMMYFUNCTION("""COMPUTED_VALUE"""),"https://azizstan.net/student_image/23257.jpg")</f>
        <v>https://azizstan.net/student_image/23257.jpg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>
      <c r="A2389" s="3" t="str">
        <f>IFERROR(__xludf.DUMMYFUNCTION("""COMPUTED_VALUE"""),"23270")</f>
        <v>23270</v>
      </c>
      <c r="B2389" s="3" t="str">
        <f>IFERROR(__xludf.DUMMYFUNCTION("""COMPUTED_VALUE"""),"น.ส.สุไวดา กาเซ็ง")</f>
        <v>น.ส.สุไวดา กาเซ็ง</v>
      </c>
      <c r="C2389" s="3" t="str">
        <f>IFERROR(__xludf.DUMMYFUNCTION("""COMPUTED_VALUE"""),"ม.6/8")</f>
        <v>ม.6/8</v>
      </c>
      <c r="D2389" s="3" t="str">
        <f>IFERROR(__xludf.DUMMYFUNCTION("""COMPUTED_VALUE"""),"อก.3/14")</f>
        <v>อก.3/14</v>
      </c>
      <c r="E2389" s="2" t="str">
        <f>IFERROR(__xludf.DUMMYFUNCTION("""COMPUTED_VALUE"""),"หญิง")</f>
        <v>หญิง</v>
      </c>
      <c r="F2389" s="5" t="str">
        <f>IFERROR(__xludf.DUMMYFUNCTION("""COMPUTED_VALUE"""),"https://azizstan.net/student_image/23270.jpg")</f>
        <v>https://azizstan.net/student_image/23270.jpg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</row>
    <row r="2390">
      <c r="A2390" s="3" t="str">
        <f>IFERROR(__xludf.DUMMYFUNCTION("""COMPUTED_VALUE"""),"23300")</f>
        <v>23300</v>
      </c>
      <c r="B2390" s="3" t="str">
        <f>IFERROR(__xludf.DUMMYFUNCTION("""COMPUTED_VALUE"""),"น.ส.ภัสลี สะมาแอ")</f>
        <v>น.ส.ภัสลี สะมาแอ</v>
      </c>
      <c r="C2390" s="3" t="str">
        <f>IFERROR(__xludf.DUMMYFUNCTION("""COMPUTED_VALUE"""),"ม.6/8")</f>
        <v>ม.6/8</v>
      </c>
      <c r="D2390" s="3" t="str">
        <f>IFERROR(__xludf.DUMMYFUNCTION("""COMPUTED_VALUE"""),"อก.3/14")</f>
        <v>อก.3/14</v>
      </c>
      <c r="E2390" s="2" t="str">
        <f>IFERROR(__xludf.DUMMYFUNCTION("""COMPUTED_VALUE"""),"หญิง")</f>
        <v>หญิง</v>
      </c>
      <c r="F2390" s="5" t="str">
        <f>IFERROR(__xludf.DUMMYFUNCTION("""COMPUTED_VALUE"""),"https://azizstan.net/student_image/23300.jpg")</f>
        <v>https://azizstan.net/student_image/23300.jpg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</row>
    <row r="2391">
      <c r="A2391" s="3" t="str">
        <f>IFERROR(__xludf.DUMMYFUNCTION("""COMPUTED_VALUE"""),"23627")</f>
        <v>23627</v>
      </c>
      <c r="B2391" s="3" t="str">
        <f>IFERROR(__xludf.DUMMYFUNCTION("""COMPUTED_VALUE"""),"น.ส.นาวาล ทาเน๊าะ")</f>
        <v>น.ส.นาวาล ทาเน๊าะ</v>
      </c>
      <c r="C2391" s="3" t="str">
        <f>IFERROR(__xludf.DUMMYFUNCTION("""COMPUTED_VALUE"""),"ม.6/8")</f>
        <v>ม.6/8</v>
      </c>
      <c r="D2391" s="3" t="str">
        <f>IFERROR(__xludf.DUMMYFUNCTION("""COMPUTED_VALUE"""),"อก.3/14")</f>
        <v>อก.3/14</v>
      </c>
      <c r="E2391" s="2" t="str">
        <f>IFERROR(__xludf.DUMMYFUNCTION("""COMPUTED_VALUE"""),"หญิง")</f>
        <v>หญิง</v>
      </c>
      <c r="F2391" s="5" t="str">
        <f>IFERROR(__xludf.DUMMYFUNCTION("""COMPUTED_VALUE"""),"https://azizstan.net/student_image/23627.jpg")</f>
        <v>https://azizstan.net/student_image/23627.jpg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>
      <c r="A2392" s="3" t="str">
        <f>IFERROR(__xludf.DUMMYFUNCTION("""COMPUTED_VALUE"""),"24603")</f>
        <v>24603</v>
      </c>
      <c r="B2392" s="3" t="str">
        <f>IFERROR(__xludf.DUMMYFUNCTION("""COMPUTED_VALUE"""),"น.ส.อามีเราะฮ์ หวันหวัง")</f>
        <v>น.ส.อามีเราะฮ์ หวันหวัง</v>
      </c>
      <c r="C2392" s="3" t="str">
        <f>IFERROR(__xludf.DUMMYFUNCTION("""COMPUTED_VALUE"""),"ม.6/8")</f>
        <v>ม.6/8</v>
      </c>
      <c r="D2392" s="3" t="str">
        <f>IFERROR(__xludf.DUMMYFUNCTION("""COMPUTED_VALUE"""),"อก.3/16")</f>
        <v>อก.3/16</v>
      </c>
      <c r="E2392" s="2" t="str">
        <f>IFERROR(__xludf.DUMMYFUNCTION("""COMPUTED_VALUE"""),"หญิง")</f>
        <v>หญิง</v>
      </c>
      <c r="F2392" s="5" t="str">
        <f>IFERROR(__xludf.DUMMYFUNCTION("""COMPUTED_VALUE"""),"https://azizstan.net/student_image/24603.jpg")</f>
        <v>https://azizstan.net/student_image/24603.jpg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>
      <c r="A2393" s="3" t="str">
        <f>IFERROR(__xludf.DUMMYFUNCTION("""COMPUTED_VALUE"""),"24642")</f>
        <v>24642</v>
      </c>
      <c r="B2393" s="3" t="str">
        <f>IFERROR(__xludf.DUMMYFUNCTION("""COMPUTED_VALUE"""),"น.ส.อิมตีนาน เกาะสาและ")</f>
        <v>น.ส.อิมตีนาน เกาะสาและ</v>
      </c>
      <c r="C2393" s="3" t="str">
        <f>IFERROR(__xludf.DUMMYFUNCTION("""COMPUTED_VALUE"""),"ม.6/8")</f>
        <v>ม.6/8</v>
      </c>
      <c r="D2393" s="3" t="str">
        <f>IFERROR(__xludf.DUMMYFUNCTION("""COMPUTED_VALUE"""),"อป.3/2")</f>
        <v>อป.3/2</v>
      </c>
      <c r="E2393" s="2" t="str">
        <f>IFERROR(__xludf.DUMMYFUNCTION("""COMPUTED_VALUE"""),"หญิง")</f>
        <v>หญิง</v>
      </c>
      <c r="F2393" s="5" t="str">
        <f>IFERROR(__xludf.DUMMYFUNCTION("""COMPUTED_VALUE"""),"https://azizstan.net/student_image/24642.jpg")</f>
        <v>https://azizstan.net/student_image/24642.jpg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>
      <c r="A2394" s="3" t="str">
        <f>IFERROR(__xludf.DUMMYFUNCTION("""COMPUTED_VALUE"""),"24716")</f>
        <v>24716</v>
      </c>
      <c r="B2394" s="3" t="str">
        <f>IFERROR(__xludf.DUMMYFUNCTION("""COMPUTED_VALUE"""),"น.ส.อามานี สาและ")</f>
        <v>น.ส.อามานี สาและ</v>
      </c>
      <c r="C2394" s="3" t="str">
        <f>IFERROR(__xludf.DUMMYFUNCTION("""COMPUTED_VALUE"""),"ม.6/8")</f>
        <v>ม.6/8</v>
      </c>
      <c r="D2394" s="3" t="str">
        <f>IFERROR(__xludf.DUMMYFUNCTION("""COMPUTED_VALUE"""),"อก.3/16")</f>
        <v>อก.3/16</v>
      </c>
      <c r="E2394" s="2" t="str">
        <f>IFERROR(__xludf.DUMMYFUNCTION("""COMPUTED_VALUE"""),"หญิง")</f>
        <v>หญิง</v>
      </c>
      <c r="F2394" s="5" t="str">
        <f>IFERROR(__xludf.DUMMYFUNCTION("""COMPUTED_VALUE"""),"https://azizstan.net/student_image/24716.jpg")</f>
        <v>https://azizstan.net/student_image/24716.jpg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</row>
    <row r="2395">
      <c r="A2395" s="3" t="str">
        <f>IFERROR(__xludf.DUMMYFUNCTION("""COMPUTED_VALUE"""),"24827")</f>
        <v>24827</v>
      </c>
      <c r="B2395" s="3" t="str">
        <f>IFERROR(__xludf.DUMMYFUNCTION("""COMPUTED_VALUE"""),"น.ส.ฟาตีมะห์ หรนหมาน")</f>
        <v>น.ส.ฟาตีมะห์ หรนหมาน</v>
      </c>
      <c r="C2395" s="3" t="str">
        <f>IFERROR(__xludf.DUMMYFUNCTION("""COMPUTED_VALUE"""),"ม.6/8")</f>
        <v>ม.6/8</v>
      </c>
      <c r="D2395" s="3" t="str">
        <f>IFERROR(__xludf.DUMMYFUNCTION("""COMPUTED_VALUE"""),"อก.3/16")</f>
        <v>อก.3/16</v>
      </c>
      <c r="E2395" s="2" t="str">
        <f>IFERROR(__xludf.DUMMYFUNCTION("""COMPUTED_VALUE"""),"หญิง")</f>
        <v>หญิง</v>
      </c>
      <c r="F2395" s="5" t="str">
        <f>IFERROR(__xludf.DUMMYFUNCTION("""COMPUTED_VALUE"""),"https://azizstan.net/student_image/24827.jpg")</f>
        <v>https://azizstan.net/student_image/24827.jpg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>
      <c r="A2396" s="3" t="str">
        <f>IFERROR(__xludf.DUMMYFUNCTION("""COMPUTED_VALUE"""),"24871")</f>
        <v>24871</v>
      </c>
      <c r="B2396" s="3" t="str">
        <f>IFERROR(__xludf.DUMMYFUNCTION("""COMPUTED_VALUE"""),"น.ส.ซอลีฮะฮ์ อามะ")</f>
        <v>น.ส.ซอลีฮะฮ์ อามะ</v>
      </c>
      <c r="C2396" s="3" t="str">
        <f>IFERROR(__xludf.DUMMYFUNCTION("""COMPUTED_VALUE"""),"ม.6/8")</f>
        <v>ม.6/8</v>
      </c>
      <c r="D2396" s="3" t="str">
        <f>IFERROR(__xludf.DUMMYFUNCTION("""COMPUTED_VALUE"""),"อป.3/2")</f>
        <v>อป.3/2</v>
      </c>
      <c r="E2396" s="2" t="str">
        <f>IFERROR(__xludf.DUMMYFUNCTION("""COMPUTED_VALUE"""),"หญิง")</f>
        <v>หญิง</v>
      </c>
      <c r="F2396" s="5" t="str">
        <f>IFERROR(__xludf.DUMMYFUNCTION("""COMPUTED_VALUE"""),"https://azizstan.net/student_image/24871.jpg")</f>
        <v>https://azizstan.net/student_image/24871.jpg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</row>
    <row r="2397">
      <c r="A2397" s="3" t="str">
        <f>IFERROR(__xludf.DUMMYFUNCTION("""COMPUTED_VALUE"""),"24876")</f>
        <v>24876</v>
      </c>
      <c r="B2397" s="3" t="str">
        <f>IFERROR(__xludf.DUMMYFUNCTION("""COMPUTED_VALUE"""),"น.ส.นัสริน เล๊าะมอง")</f>
        <v>น.ส.นัสริน เล๊าะมอง</v>
      </c>
      <c r="C2397" s="3" t="str">
        <f>IFERROR(__xludf.DUMMYFUNCTION("""COMPUTED_VALUE"""),"ม.6/8")</f>
        <v>ม.6/8</v>
      </c>
      <c r="D2397" s="3" t="str">
        <f>IFERROR(__xludf.DUMMYFUNCTION("""COMPUTED_VALUE"""),"อก.3/14")</f>
        <v>อก.3/14</v>
      </c>
      <c r="E2397" s="2" t="str">
        <f>IFERROR(__xludf.DUMMYFUNCTION("""COMPUTED_VALUE"""),"หญิง")</f>
        <v>หญิง</v>
      </c>
      <c r="F2397" s="5" t="str">
        <f>IFERROR(__xludf.DUMMYFUNCTION("""COMPUTED_VALUE"""),"https://azizstan.net/student_image/24876.jpg")</f>
        <v>https://azizstan.net/student_image/24876.jpg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>
      <c r="A2398" s="3" t="str">
        <f>IFERROR(__xludf.DUMMYFUNCTION("""COMPUTED_VALUE"""),"24955")</f>
        <v>24955</v>
      </c>
      <c r="B2398" s="3" t="str">
        <f>IFERROR(__xludf.DUMMYFUNCTION("""COMPUTED_VALUE"""),"น.ส.นูรฮายาตี แวโซะ")</f>
        <v>น.ส.นูรฮายาตี แวโซะ</v>
      </c>
      <c r="C2398" s="3" t="str">
        <f>IFERROR(__xludf.DUMMYFUNCTION("""COMPUTED_VALUE"""),"ม.6/8")</f>
        <v>ม.6/8</v>
      </c>
      <c r="D2398" s="3" t="str">
        <f>IFERROR(__xludf.DUMMYFUNCTION("""COMPUTED_VALUE"""),"อป.3/2")</f>
        <v>อป.3/2</v>
      </c>
      <c r="E2398" s="2" t="str">
        <f>IFERROR(__xludf.DUMMYFUNCTION("""COMPUTED_VALUE"""),"หญิง")</f>
        <v>หญิง</v>
      </c>
      <c r="F2398" s="5" t="str">
        <f>IFERROR(__xludf.DUMMYFUNCTION("""COMPUTED_VALUE"""),"https://azizstan.net/student_image/24955.jpg")</f>
        <v>https://azizstan.net/student_image/24955.jpg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>
      <c r="A2399" s="3" t="str">
        <f>IFERROR(__xludf.DUMMYFUNCTION("""COMPUTED_VALUE"""),"25107")</f>
        <v>25107</v>
      </c>
      <c r="B2399" s="3" t="str">
        <f>IFERROR(__xludf.DUMMYFUNCTION("""COMPUTED_VALUE"""),"น.ส.นาญีวา ตาหา")</f>
        <v>น.ส.นาญีวา ตาหา</v>
      </c>
      <c r="C2399" s="3" t="str">
        <f>IFERROR(__xludf.DUMMYFUNCTION("""COMPUTED_VALUE"""),"ม.6/8")</f>
        <v>ม.6/8</v>
      </c>
      <c r="D2399" s="3" t="str">
        <f>IFERROR(__xludf.DUMMYFUNCTION("""COMPUTED_VALUE"""),"อก.3/14")</f>
        <v>อก.3/14</v>
      </c>
      <c r="E2399" s="2" t="str">
        <f>IFERROR(__xludf.DUMMYFUNCTION("""COMPUTED_VALUE"""),"หญิง")</f>
        <v>หญิง</v>
      </c>
      <c r="F2399" s="5" t="str">
        <f>IFERROR(__xludf.DUMMYFUNCTION("""COMPUTED_VALUE"""),"https://azizstan.net/student_image/25107.jpg")</f>
        <v>https://azizstan.net/student_image/25107.jpg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>
      <c r="A2400" s="3" t="str">
        <f>IFERROR(__xludf.DUMMYFUNCTION("""COMPUTED_VALUE"""),"25113")</f>
        <v>25113</v>
      </c>
      <c r="B2400" s="3" t="str">
        <f>IFERROR(__xludf.DUMMYFUNCTION("""COMPUTED_VALUE"""),"น.ส.อาริษา สาแม")</f>
        <v>น.ส.อาริษา สาแม</v>
      </c>
      <c r="C2400" s="3" t="str">
        <f>IFERROR(__xludf.DUMMYFUNCTION("""COMPUTED_VALUE"""),"ม.6/8")</f>
        <v>ม.6/8</v>
      </c>
      <c r="D2400" s="3" t="str">
        <f>IFERROR(__xludf.DUMMYFUNCTION("""COMPUTED_VALUE"""),"อก.3/14")</f>
        <v>อก.3/14</v>
      </c>
      <c r="E2400" s="2" t="str">
        <f>IFERROR(__xludf.DUMMYFUNCTION("""COMPUTED_VALUE"""),"หญิง")</f>
        <v>หญิง</v>
      </c>
      <c r="F2400" s="5" t="str">
        <f>IFERROR(__xludf.DUMMYFUNCTION("""COMPUTED_VALUE"""),"https://azizstan.net/student_image/25113.jpg")</f>
        <v>https://azizstan.net/student_image/25113.jpg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>
      <c r="A2401" s="3" t="str">
        <f>IFERROR(__xludf.DUMMYFUNCTION("""COMPUTED_VALUE"""),"25115")</f>
        <v>25115</v>
      </c>
      <c r="B2401" s="3" t="str">
        <f>IFERROR(__xludf.DUMMYFUNCTION("""COMPUTED_VALUE"""),"น.ส.นาสรียา ลาเต๊ะ")</f>
        <v>น.ส.นาสรียา ลาเต๊ะ</v>
      </c>
      <c r="C2401" s="3" t="str">
        <f>IFERROR(__xludf.DUMMYFUNCTION("""COMPUTED_VALUE"""),"ม.6/8")</f>
        <v>ม.6/8</v>
      </c>
      <c r="D2401" s="3" t="str">
        <f>IFERROR(__xludf.DUMMYFUNCTION("""COMPUTED_VALUE"""),"อป.3/2")</f>
        <v>อป.3/2</v>
      </c>
      <c r="E2401" s="2" t="str">
        <f>IFERROR(__xludf.DUMMYFUNCTION("""COMPUTED_VALUE"""),"หญิง")</f>
        <v>หญิง</v>
      </c>
      <c r="F2401" s="5" t="str">
        <f>IFERROR(__xludf.DUMMYFUNCTION("""COMPUTED_VALUE"""),"https://azizstan.net/student_image/25115.jpg")</f>
        <v>https://azizstan.net/student_image/25115.jpg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>
      <c r="A2402" s="3" t="str">
        <f>IFERROR(__xludf.DUMMYFUNCTION("""COMPUTED_VALUE"""),"25180")</f>
        <v>25180</v>
      </c>
      <c r="B2402" s="3" t="str">
        <f>IFERROR(__xludf.DUMMYFUNCTION("""COMPUTED_VALUE"""),"น.ส.กัซมาริน กูนา")</f>
        <v>น.ส.กัซมาริน กูนา</v>
      </c>
      <c r="C2402" s="3" t="str">
        <f>IFERROR(__xludf.DUMMYFUNCTION("""COMPUTED_VALUE"""),"ม.6/8")</f>
        <v>ม.6/8</v>
      </c>
      <c r="D2402" s="3" t="str">
        <f>IFERROR(__xludf.DUMMYFUNCTION("""COMPUTED_VALUE"""),"อก.3/14")</f>
        <v>อก.3/14</v>
      </c>
      <c r="E2402" s="2" t="str">
        <f>IFERROR(__xludf.DUMMYFUNCTION("""COMPUTED_VALUE"""),"หญิง")</f>
        <v>หญิง</v>
      </c>
      <c r="F2402" s="5" t="str">
        <f>IFERROR(__xludf.DUMMYFUNCTION("""COMPUTED_VALUE"""),"https://azizstan.net/student_image/25180.jpg")</f>
        <v>https://azizstan.net/student_image/25180.jpg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>
      <c r="A2403" s="3" t="str">
        <f>IFERROR(__xludf.DUMMYFUNCTION("""COMPUTED_VALUE"""),"25212")</f>
        <v>25212</v>
      </c>
      <c r="B2403" s="3" t="str">
        <f>IFERROR(__xludf.DUMMYFUNCTION("""COMPUTED_VALUE"""),"น.ส.แวอาอีเสาะ แวยูโซะ")</f>
        <v>น.ส.แวอาอีเสาะ แวยูโซะ</v>
      </c>
      <c r="C2403" s="3" t="str">
        <f>IFERROR(__xludf.DUMMYFUNCTION("""COMPUTED_VALUE"""),"ม.6/8")</f>
        <v>ม.6/8</v>
      </c>
      <c r="D2403" s="3" t="str">
        <f>IFERROR(__xludf.DUMMYFUNCTION("""COMPUTED_VALUE"""),"อป.2/2")</f>
        <v>อป.2/2</v>
      </c>
      <c r="E2403" s="2" t="str">
        <f>IFERROR(__xludf.DUMMYFUNCTION("""COMPUTED_VALUE"""),"หญิง")</f>
        <v>หญิง</v>
      </c>
      <c r="F2403" s="5" t="str">
        <f>IFERROR(__xludf.DUMMYFUNCTION("""COMPUTED_VALUE"""),"https://azizstan.net/student_image/25212.jpg")</f>
        <v>https://azizstan.net/student_image/25212.jpg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>
      <c r="A2404" s="3" t="str">
        <f>IFERROR(__xludf.DUMMYFUNCTION("""COMPUTED_VALUE"""),"25216")</f>
        <v>25216</v>
      </c>
      <c r="B2404" s="3" t="str">
        <f>IFERROR(__xludf.DUMMYFUNCTION("""COMPUTED_VALUE"""),"น.ส.ฮุซนา ดาโห๊ะ")</f>
        <v>น.ส.ฮุซนา ดาโห๊ะ</v>
      </c>
      <c r="C2404" s="3" t="str">
        <f>IFERROR(__xludf.DUMMYFUNCTION("""COMPUTED_VALUE"""),"ม.6/8")</f>
        <v>ม.6/8</v>
      </c>
      <c r="D2404" s="3" t="str">
        <f>IFERROR(__xludf.DUMMYFUNCTION("""COMPUTED_VALUE"""),"อก.3/14")</f>
        <v>อก.3/14</v>
      </c>
      <c r="E2404" s="2" t="str">
        <f>IFERROR(__xludf.DUMMYFUNCTION("""COMPUTED_VALUE"""),"หญิง")</f>
        <v>หญิง</v>
      </c>
      <c r="F2404" s="5" t="str">
        <f>IFERROR(__xludf.DUMMYFUNCTION("""COMPUTED_VALUE"""),"https://azizstan.net/student_image/25216.jpg")</f>
        <v>https://azizstan.net/student_image/25216.jpg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>
      <c r="A2405" s="3" t="str">
        <f>IFERROR(__xludf.DUMMYFUNCTION("""COMPUTED_VALUE"""),"25217")</f>
        <v>25217</v>
      </c>
      <c r="B2405" s="3" t="str">
        <f>IFERROR(__xludf.DUMMYFUNCTION("""COMPUTED_VALUE"""),"น.ส.นุรนาตาชา เวาะหลง")</f>
        <v>น.ส.นุรนาตาชา เวาะหลง</v>
      </c>
      <c r="C2405" s="3" t="str">
        <f>IFERROR(__xludf.DUMMYFUNCTION("""COMPUTED_VALUE"""),"ม.6/8")</f>
        <v>ม.6/8</v>
      </c>
      <c r="D2405" s="3" t="str">
        <f>IFERROR(__xludf.DUMMYFUNCTION("""COMPUTED_VALUE"""),"อป.3/2")</f>
        <v>อป.3/2</v>
      </c>
      <c r="E2405" s="2" t="str">
        <f>IFERROR(__xludf.DUMMYFUNCTION("""COMPUTED_VALUE"""),"หญิง")</f>
        <v>หญิง</v>
      </c>
      <c r="F2405" s="5" t="str">
        <f>IFERROR(__xludf.DUMMYFUNCTION("""COMPUTED_VALUE"""),"https://azizstan.net/student_image/25217.jpg")</f>
        <v>https://azizstan.net/student_image/25217.jpg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>
      <c r="A2406" s="3" t="str">
        <f>IFERROR(__xludf.DUMMYFUNCTION("""COMPUTED_VALUE"""),"25241")</f>
        <v>25241</v>
      </c>
      <c r="B2406" s="3" t="str">
        <f>IFERROR(__xludf.DUMMYFUNCTION("""COMPUTED_VALUE"""),"น.ส.อาซีย์ลา ดอแม")</f>
        <v>น.ส.อาซีย์ลา ดอแม</v>
      </c>
      <c r="C2406" s="3" t="str">
        <f>IFERROR(__xludf.DUMMYFUNCTION("""COMPUTED_VALUE"""),"ม.6/8")</f>
        <v>ม.6/8</v>
      </c>
      <c r="D2406" s="3" t="str">
        <f>IFERROR(__xludf.DUMMYFUNCTION("""COMPUTED_VALUE"""),"อก.3/14")</f>
        <v>อก.3/14</v>
      </c>
      <c r="E2406" s="2" t="str">
        <f>IFERROR(__xludf.DUMMYFUNCTION("""COMPUTED_VALUE"""),"หญิง")</f>
        <v>หญิง</v>
      </c>
      <c r="F2406" s="5" t="str">
        <f>IFERROR(__xludf.DUMMYFUNCTION("""COMPUTED_VALUE"""),"https://azizstan.net/student_image/25241.jpg")</f>
        <v>https://azizstan.net/student_image/25241.jpg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>
      <c r="A2407" s="3" t="str">
        <f>IFERROR(__xludf.DUMMYFUNCTION("""COMPUTED_VALUE"""),"25281")</f>
        <v>25281</v>
      </c>
      <c r="B2407" s="3" t="str">
        <f>IFERROR(__xludf.DUMMYFUNCTION("""COMPUTED_VALUE"""),"น.ส.มาซีเต๊าะห์ กระโด")</f>
        <v>น.ส.มาซีเต๊าะห์ กระโด</v>
      </c>
      <c r="C2407" s="3" t="str">
        <f>IFERROR(__xludf.DUMMYFUNCTION("""COMPUTED_VALUE"""),"ม.6/8")</f>
        <v>ม.6/8</v>
      </c>
      <c r="D2407" s="3" t="str">
        <f>IFERROR(__xludf.DUMMYFUNCTION("""COMPUTED_VALUE"""),"อป.1/2")</f>
        <v>อป.1/2</v>
      </c>
      <c r="E2407" s="2" t="str">
        <f>IFERROR(__xludf.DUMMYFUNCTION("""COMPUTED_VALUE"""),"หญิง")</f>
        <v>หญิง</v>
      </c>
      <c r="F2407" s="5" t="str">
        <f>IFERROR(__xludf.DUMMYFUNCTION("""COMPUTED_VALUE"""),"https://azizstan.net/student_image/25281.jpg")</f>
        <v>https://azizstan.net/student_image/25281.jpg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>
      <c r="A2408" s="3" t="str">
        <f>IFERROR(__xludf.DUMMYFUNCTION("""COMPUTED_VALUE"""),"25340")</f>
        <v>25340</v>
      </c>
      <c r="B2408" s="3" t="str">
        <f>IFERROR(__xludf.DUMMYFUNCTION("""COMPUTED_VALUE"""),"น.ส.ฮุสนา ดอเลาะ")</f>
        <v>น.ส.ฮุสนา ดอเลาะ</v>
      </c>
      <c r="C2408" s="3" t="str">
        <f>IFERROR(__xludf.DUMMYFUNCTION("""COMPUTED_VALUE"""),"ม.6/8")</f>
        <v>ม.6/8</v>
      </c>
      <c r="D2408" s="3" t="str">
        <f>IFERROR(__xludf.DUMMYFUNCTION("""COMPUTED_VALUE"""),"อป.3/2")</f>
        <v>อป.3/2</v>
      </c>
      <c r="E2408" s="2" t="str">
        <f>IFERROR(__xludf.DUMMYFUNCTION("""COMPUTED_VALUE"""),"หญิง")</f>
        <v>หญิง</v>
      </c>
      <c r="F2408" s="5" t="str">
        <f>IFERROR(__xludf.DUMMYFUNCTION("""COMPUTED_VALUE"""),"https://azizstan.net/student_image/25340.jpg")</f>
        <v>https://azizstan.net/student_image/25340.jpg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>
      <c r="A2409" s="3" t="str">
        <f>IFERROR(__xludf.DUMMYFUNCTION("""COMPUTED_VALUE"""),"25753")</f>
        <v>25753</v>
      </c>
      <c r="B2409" s="3" t="str">
        <f>IFERROR(__xludf.DUMMYFUNCTION("""COMPUTED_VALUE"""),"น.ส.ฮามีมีซูฮาดา สามะ")</f>
        <v>น.ส.ฮามีมีซูฮาดา สามะ</v>
      </c>
      <c r="C2409" s="3" t="str">
        <f>IFERROR(__xludf.DUMMYFUNCTION("""COMPUTED_VALUE"""),"ม.6/8")</f>
        <v>ม.6/8</v>
      </c>
      <c r="D2409" s="3" t="str">
        <f>IFERROR(__xludf.DUMMYFUNCTION("""COMPUTED_VALUE"""),"อก.3/16")</f>
        <v>อก.3/16</v>
      </c>
      <c r="E2409" s="2" t="str">
        <f>IFERROR(__xludf.DUMMYFUNCTION("""COMPUTED_VALUE"""),"หญิง")</f>
        <v>หญิง</v>
      </c>
      <c r="F2409" s="5" t="str">
        <f>IFERROR(__xludf.DUMMYFUNCTION("""COMPUTED_VALUE"""),"https://azizstan.net/student_image/25753.jpg")</f>
        <v>https://azizstan.net/student_image/25753.jpg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</row>
    <row r="2410">
      <c r="A2410" s="3" t="str">
        <f>IFERROR(__xludf.DUMMYFUNCTION("""COMPUTED_VALUE"""),"22674")</f>
        <v>22674</v>
      </c>
      <c r="B2410" s="3" t="str">
        <f>IFERROR(__xludf.DUMMYFUNCTION("""COMPUTED_VALUE"""),"น.ส.อิมตีนาน แวนิ")</f>
        <v>น.ส.อิมตีนาน แวนิ</v>
      </c>
      <c r="C2410" s="3" t="str">
        <f>IFERROR(__xludf.DUMMYFUNCTION("""COMPUTED_VALUE"""),"ม.6/9")</f>
        <v>ม.6/9</v>
      </c>
      <c r="D2410" s="3" t="str">
        <f>IFERROR(__xludf.DUMMYFUNCTION("""COMPUTED_VALUE"""),"อป.3/7")</f>
        <v>อป.3/7</v>
      </c>
      <c r="E2410" s="2" t="str">
        <f>IFERROR(__xludf.DUMMYFUNCTION("""COMPUTED_VALUE"""),"หญิง")</f>
        <v>หญิง</v>
      </c>
      <c r="F2410" s="5" t="str">
        <f>IFERROR(__xludf.DUMMYFUNCTION("""COMPUTED_VALUE"""),"https://azizstan.net/student_image/22674.jpg")</f>
        <v>https://azizstan.net/student_image/22674.jpg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>
      <c r="A2411" s="3" t="str">
        <f>IFERROR(__xludf.DUMMYFUNCTION("""COMPUTED_VALUE"""),"22698")</f>
        <v>22698</v>
      </c>
      <c r="B2411" s="3" t="str">
        <f>IFERROR(__xludf.DUMMYFUNCTION("""COMPUTED_VALUE"""),"น.ส.รุสมา เจ๊ะเหม")</f>
        <v>น.ส.รุสมา เจ๊ะเหม</v>
      </c>
      <c r="C2411" s="3" t="str">
        <f>IFERROR(__xludf.DUMMYFUNCTION("""COMPUTED_VALUE"""),"ม.6/9")</f>
        <v>ม.6/9</v>
      </c>
      <c r="D2411" s="3" t="str">
        <f>IFERROR(__xludf.DUMMYFUNCTION("""COMPUTED_VALUE"""),"อป.3/7")</f>
        <v>อป.3/7</v>
      </c>
      <c r="E2411" s="2" t="str">
        <f>IFERROR(__xludf.DUMMYFUNCTION("""COMPUTED_VALUE"""),"หญิง")</f>
        <v>หญิง</v>
      </c>
      <c r="F2411" s="5" t="str">
        <f>IFERROR(__xludf.DUMMYFUNCTION("""COMPUTED_VALUE"""),"https://azizstan.net/student_image/22698.jpg")</f>
        <v>https://azizstan.net/student_image/22698.jpg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>
      <c r="A2412" s="3" t="str">
        <f>IFERROR(__xludf.DUMMYFUNCTION("""COMPUTED_VALUE"""),"22748")</f>
        <v>22748</v>
      </c>
      <c r="B2412" s="3" t="str">
        <f>IFERROR(__xludf.DUMMYFUNCTION("""COMPUTED_VALUE"""),"นายอามีน วานิ")</f>
        <v>นายอามีน วานิ</v>
      </c>
      <c r="C2412" s="3" t="str">
        <f>IFERROR(__xludf.DUMMYFUNCTION("""COMPUTED_VALUE"""),"ม.6/9")</f>
        <v>ม.6/9</v>
      </c>
      <c r="D2412" s="3" t="str">
        <f>IFERROR(__xludf.DUMMYFUNCTION("""COMPUTED_VALUE"""),"อป.3/7")</f>
        <v>อป.3/7</v>
      </c>
      <c r="E2412" s="2" t="str">
        <f>IFERROR(__xludf.DUMMYFUNCTION("""COMPUTED_VALUE"""),"ชาย")</f>
        <v>ชาย</v>
      </c>
      <c r="F2412" s="5" t="str">
        <f>IFERROR(__xludf.DUMMYFUNCTION("""COMPUTED_VALUE"""),"https://azizstan.net/student_image/22748.jpg")</f>
        <v>https://azizstan.net/student_image/22748.jpg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</row>
    <row r="2413">
      <c r="A2413" s="3" t="str">
        <f>IFERROR(__xludf.DUMMYFUNCTION("""COMPUTED_VALUE"""),"22762")</f>
        <v>22762</v>
      </c>
      <c r="B2413" s="3" t="str">
        <f>IFERROR(__xludf.DUMMYFUNCTION("""COMPUTED_VALUE"""),"นายฟิกรี่ ล่าหับ")</f>
        <v>นายฟิกรี่ ล่าหับ</v>
      </c>
      <c r="C2413" s="3" t="str">
        <f>IFERROR(__xludf.DUMMYFUNCTION("""COMPUTED_VALUE"""),"ม.6/9")</f>
        <v>ม.6/9</v>
      </c>
      <c r="D2413" s="3" t="str">
        <f>IFERROR(__xludf.DUMMYFUNCTION("""COMPUTED_VALUE"""),"อป.3/7")</f>
        <v>อป.3/7</v>
      </c>
      <c r="E2413" s="2" t="str">
        <f>IFERROR(__xludf.DUMMYFUNCTION("""COMPUTED_VALUE"""),"ชาย")</f>
        <v>ชาย</v>
      </c>
      <c r="F2413" s="5" t="str">
        <f>IFERROR(__xludf.DUMMYFUNCTION("""COMPUTED_VALUE"""),"https://azizstan.net/student_image/22762.jpg")</f>
        <v>https://azizstan.net/student_image/22762.jpg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</row>
    <row r="2414">
      <c r="A2414" s="3" t="str">
        <f>IFERROR(__xludf.DUMMYFUNCTION("""COMPUTED_VALUE"""),"22788")</f>
        <v>22788</v>
      </c>
      <c r="B2414" s="3" t="str">
        <f>IFERROR(__xludf.DUMMYFUNCTION("""COMPUTED_VALUE"""),"น.ส.นูรอันดา กราซุย")</f>
        <v>น.ส.นูรอันดา กราซุย</v>
      </c>
      <c r="C2414" s="3" t="str">
        <f>IFERROR(__xludf.DUMMYFUNCTION("""COMPUTED_VALUE"""),"ม.6/9")</f>
        <v>ม.6/9</v>
      </c>
      <c r="D2414" s="3" t="str">
        <f>IFERROR(__xludf.DUMMYFUNCTION("""COMPUTED_VALUE"""),"อป.3/7")</f>
        <v>อป.3/7</v>
      </c>
      <c r="E2414" s="2" t="str">
        <f>IFERROR(__xludf.DUMMYFUNCTION("""COMPUTED_VALUE"""),"หญิง")</f>
        <v>หญิง</v>
      </c>
      <c r="F2414" s="5" t="str">
        <f>IFERROR(__xludf.DUMMYFUNCTION("""COMPUTED_VALUE"""),"https://azizstan.net/student_image/22788.jpg")</f>
        <v>https://azizstan.net/student_image/22788.jpg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>
      <c r="A2415" s="3" t="str">
        <f>IFERROR(__xludf.DUMMYFUNCTION("""COMPUTED_VALUE"""),"22820")</f>
        <v>22820</v>
      </c>
      <c r="B2415" s="3" t="str">
        <f>IFERROR(__xludf.DUMMYFUNCTION("""COMPUTED_VALUE"""),"น.ส.ซอลีฮะห์ ปะดอตา")</f>
        <v>น.ส.ซอลีฮะห์ ปะดอตา</v>
      </c>
      <c r="C2415" s="3" t="str">
        <f>IFERROR(__xludf.DUMMYFUNCTION("""COMPUTED_VALUE"""),"ม.6/9")</f>
        <v>ม.6/9</v>
      </c>
      <c r="D2415" s="3" t="str">
        <f>IFERROR(__xludf.DUMMYFUNCTION("""COMPUTED_VALUE"""),"อป.3/7")</f>
        <v>อป.3/7</v>
      </c>
      <c r="E2415" s="2" t="str">
        <f>IFERROR(__xludf.DUMMYFUNCTION("""COMPUTED_VALUE"""),"หญิง")</f>
        <v>หญิง</v>
      </c>
      <c r="F2415" s="5" t="str">
        <f>IFERROR(__xludf.DUMMYFUNCTION("""COMPUTED_VALUE"""),"https://azizstan.net/student_image/22820.jpg")</f>
        <v>https://azizstan.net/student_image/22820.jpg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>
      <c r="A2416" s="3" t="str">
        <f>IFERROR(__xludf.DUMMYFUNCTION("""COMPUTED_VALUE"""),"22829")</f>
        <v>22829</v>
      </c>
      <c r="B2416" s="3" t="str">
        <f>IFERROR(__xludf.DUMMYFUNCTION("""COMPUTED_VALUE"""),"น.ส.อัซวานี ตาเยะ")</f>
        <v>น.ส.อัซวานี ตาเยะ</v>
      </c>
      <c r="C2416" s="3" t="str">
        <f>IFERROR(__xludf.DUMMYFUNCTION("""COMPUTED_VALUE"""),"ม.6/9")</f>
        <v>ม.6/9</v>
      </c>
      <c r="D2416" s="3" t="str">
        <f>IFERROR(__xludf.DUMMYFUNCTION("""COMPUTED_VALUE"""),"อป.3/7")</f>
        <v>อป.3/7</v>
      </c>
      <c r="E2416" s="2" t="str">
        <f>IFERROR(__xludf.DUMMYFUNCTION("""COMPUTED_VALUE"""),"หญิง")</f>
        <v>หญิง</v>
      </c>
      <c r="F2416" s="5" t="str">
        <f>IFERROR(__xludf.DUMMYFUNCTION("""COMPUTED_VALUE"""),"https://azizstan.net/student_image/22829.jpg")</f>
        <v>https://azizstan.net/student_image/22829.jpg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>
      <c r="A2417" s="3" t="str">
        <f>IFERROR(__xludf.DUMMYFUNCTION("""COMPUTED_VALUE"""),"22842")</f>
        <v>22842</v>
      </c>
      <c r="B2417" s="3" t="str">
        <f>IFERROR(__xludf.DUMMYFUNCTION("""COMPUTED_VALUE"""),"น.ส.ซูไมยะห์ ยูโซะ")</f>
        <v>น.ส.ซูไมยะห์ ยูโซะ</v>
      </c>
      <c r="C2417" s="3" t="str">
        <f>IFERROR(__xludf.DUMMYFUNCTION("""COMPUTED_VALUE"""),"ม.6/9")</f>
        <v>ม.6/9</v>
      </c>
      <c r="D2417" s="3" t="str">
        <f>IFERROR(__xludf.DUMMYFUNCTION("""COMPUTED_VALUE"""),"อป.3/7")</f>
        <v>อป.3/7</v>
      </c>
      <c r="E2417" s="2" t="str">
        <f>IFERROR(__xludf.DUMMYFUNCTION("""COMPUTED_VALUE"""),"หญิง")</f>
        <v>หญิง</v>
      </c>
      <c r="F2417" s="5" t="str">
        <f>IFERROR(__xludf.DUMMYFUNCTION("""COMPUTED_VALUE"""),"https://azizstan.net/student_image/22842.jpg")</f>
        <v>https://azizstan.net/student_image/22842.jpg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>
      <c r="A2418" s="3" t="str">
        <f>IFERROR(__xludf.DUMMYFUNCTION("""COMPUTED_VALUE"""),"22850")</f>
        <v>22850</v>
      </c>
      <c r="B2418" s="3" t="str">
        <f>IFERROR(__xludf.DUMMYFUNCTION("""COMPUTED_VALUE"""),"น.ส.นาฤรวี เต๊ะหมัดมะ")</f>
        <v>น.ส.นาฤรวี เต๊ะหมัดมะ</v>
      </c>
      <c r="C2418" s="3" t="str">
        <f>IFERROR(__xludf.DUMMYFUNCTION("""COMPUTED_VALUE"""),"ม.6/9")</f>
        <v>ม.6/9</v>
      </c>
      <c r="D2418" s="3" t="str">
        <f>IFERROR(__xludf.DUMMYFUNCTION("""COMPUTED_VALUE"""),"อป.3/7")</f>
        <v>อป.3/7</v>
      </c>
      <c r="E2418" s="2" t="str">
        <f>IFERROR(__xludf.DUMMYFUNCTION("""COMPUTED_VALUE"""),"หญิง")</f>
        <v>หญิง</v>
      </c>
      <c r="F2418" s="5" t="str">
        <f>IFERROR(__xludf.DUMMYFUNCTION("""COMPUTED_VALUE"""),"https://azizstan.net/student_image/22850.jpg")</f>
        <v>https://azizstan.net/student_image/22850.jpg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>
      <c r="A2419" s="3" t="str">
        <f>IFERROR(__xludf.DUMMYFUNCTION("""COMPUTED_VALUE"""),"22920")</f>
        <v>22920</v>
      </c>
      <c r="B2419" s="3" t="str">
        <f>IFERROR(__xludf.DUMMYFUNCTION("""COMPUTED_VALUE"""),"น.ส.นิญาดา มะโระ")</f>
        <v>น.ส.นิญาดา มะโระ</v>
      </c>
      <c r="C2419" s="3" t="str">
        <f>IFERROR(__xludf.DUMMYFUNCTION("""COMPUTED_VALUE"""),"ม.6/9")</f>
        <v>ม.6/9</v>
      </c>
      <c r="D2419" s="3" t="str">
        <f>IFERROR(__xludf.DUMMYFUNCTION("""COMPUTED_VALUE"""),"อป.3/7")</f>
        <v>อป.3/7</v>
      </c>
      <c r="E2419" s="2" t="str">
        <f>IFERROR(__xludf.DUMMYFUNCTION("""COMPUTED_VALUE"""),"หญิง")</f>
        <v>หญิง</v>
      </c>
      <c r="F2419" s="5" t="str">
        <f>IFERROR(__xludf.DUMMYFUNCTION("""COMPUTED_VALUE"""),"https://azizstan.net/student_image/22920.jpg")</f>
        <v>https://azizstan.net/student_image/22920.jpg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>
      <c r="A2420" s="3" t="str">
        <f>IFERROR(__xludf.DUMMYFUNCTION("""COMPUTED_VALUE"""),"22931")</f>
        <v>22931</v>
      </c>
      <c r="B2420" s="3" t="str">
        <f>IFERROR(__xludf.DUMMYFUNCTION("""COMPUTED_VALUE"""),"นายนัสรีย์ เดนหะ")</f>
        <v>นายนัสรีย์ เดนหะ</v>
      </c>
      <c r="C2420" s="3" t="str">
        <f>IFERROR(__xludf.DUMMYFUNCTION("""COMPUTED_VALUE"""),"ม.6/9")</f>
        <v>ม.6/9</v>
      </c>
      <c r="D2420" s="3" t="str">
        <f>IFERROR(__xludf.DUMMYFUNCTION("""COMPUTED_VALUE"""),"อป.3/7")</f>
        <v>อป.3/7</v>
      </c>
      <c r="E2420" s="2" t="str">
        <f>IFERROR(__xludf.DUMMYFUNCTION("""COMPUTED_VALUE"""),"ชาย")</f>
        <v>ชาย</v>
      </c>
      <c r="F2420" s="5" t="str">
        <f>IFERROR(__xludf.DUMMYFUNCTION("""COMPUTED_VALUE"""),"https://azizstan.net/student_image/22931.jpg")</f>
        <v>https://azizstan.net/student_image/22931.jpg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>
      <c r="A2421" s="3" t="str">
        <f>IFERROR(__xludf.DUMMYFUNCTION("""COMPUTED_VALUE"""),"22983")</f>
        <v>22983</v>
      </c>
      <c r="B2421" s="3" t="str">
        <f>IFERROR(__xludf.DUMMYFUNCTION("""COMPUTED_VALUE"""),"นายอัฟนัน การี")</f>
        <v>นายอัฟนัน การี</v>
      </c>
      <c r="C2421" s="3" t="str">
        <f>IFERROR(__xludf.DUMMYFUNCTION("""COMPUTED_VALUE"""),"ม.6/9")</f>
        <v>ม.6/9</v>
      </c>
      <c r="D2421" s="3" t="str">
        <f>IFERROR(__xludf.DUMMYFUNCTION("""COMPUTED_VALUE"""),"อป.3/7")</f>
        <v>อป.3/7</v>
      </c>
      <c r="E2421" s="2" t="str">
        <f>IFERROR(__xludf.DUMMYFUNCTION("""COMPUTED_VALUE"""),"ชาย")</f>
        <v>ชาย</v>
      </c>
      <c r="F2421" s="5" t="str">
        <f>IFERROR(__xludf.DUMMYFUNCTION("""COMPUTED_VALUE"""),"https://azizstan.net/student_image/22983.jpg")</f>
        <v>https://azizstan.net/student_image/22983.jpg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>
      <c r="A2422" s="3" t="str">
        <f>IFERROR(__xludf.DUMMYFUNCTION("""COMPUTED_VALUE"""),"22993")</f>
        <v>22993</v>
      </c>
      <c r="B2422" s="3" t="str">
        <f>IFERROR(__xludf.DUMMYFUNCTION("""COMPUTED_VALUE"""),"น.ส.ฟาเดีย แวสุหลง")</f>
        <v>น.ส.ฟาเดีย แวสุหลง</v>
      </c>
      <c r="C2422" s="3" t="str">
        <f>IFERROR(__xludf.DUMMYFUNCTION("""COMPUTED_VALUE"""),"ม.6/9")</f>
        <v>ม.6/9</v>
      </c>
      <c r="D2422" s="3" t="str">
        <f>IFERROR(__xludf.DUMMYFUNCTION("""COMPUTED_VALUE"""),"อป.3/7")</f>
        <v>อป.3/7</v>
      </c>
      <c r="E2422" s="2" t="str">
        <f>IFERROR(__xludf.DUMMYFUNCTION("""COMPUTED_VALUE"""),"หญิง")</f>
        <v>หญิง</v>
      </c>
      <c r="F2422" s="5" t="str">
        <f>IFERROR(__xludf.DUMMYFUNCTION("""COMPUTED_VALUE"""),"https://azizstan.net/student_image/22993.jpg")</f>
        <v>https://azizstan.net/student_image/22993.jpg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>
      <c r="A2423" s="3" t="str">
        <f>IFERROR(__xludf.DUMMYFUNCTION("""COMPUTED_VALUE"""),"23023")</f>
        <v>23023</v>
      </c>
      <c r="B2423" s="3" t="str">
        <f>IFERROR(__xludf.DUMMYFUNCTION("""COMPUTED_VALUE"""),"นายรอมฎอน ดอเลาะ")</f>
        <v>นายรอมฎอน ดอเลาะ</v>
      </c>
      <c r="C2423" s="3" t="str">
        <f>IFERROR(__xludf.DUMMYFUNCTION("""COMPUTED_VALUE"""),"ม.6/9")</f>
        <v>ม.6/9</v>
      </c>
      <c r="D2423" s="3" t="str">
        <f>IFERROR(__xludf.DUMMYFUNCTION("""COMPUTED_VALUE"""),"อป.3/7")</f>
        <v>อป.3/7</v>
      </c>
      <c r="E2423" s="2" t="str">
        <f>IFERROR(__xludf.DUMMYFUNCTION("""COMPUTED_VALUE"""),"ชาย")</f>
        <v>ชาย</v>
      </c>
      <c r="F2423" s="5" t="str">
        <f>IFERROR(__xludf.DUMMYFUNCTION("""COMPUTED_VALUE"""),"https://azizstan.net/student_image/23023.jpg")</f>
        <v>https://azizstan.net/student_image/23023.jpg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>
      <c r="A2424" s="3" t="str">
        <f>IFERROR(__xludf.DUMMYFUNCTION("""COMPUTED_VALUE"""),"23075")</f>
        <v>23075</v>
      </c>
      <c r="B2424" s="3" t="str">
        <f>IFERROR(__xludf.DUMMYFUNCTION("""COMPUTED_VALUE"""),"น.ส.อัฟนาน อิละละ")</f>
        <v>น.ส.อัฟนาน อิละละ</v>
      </c>
      <c r="C2424" s="3" t="str">
        <f>IFERROR(__xludf.DUMMYFUNCTION("""COMPUTED_VALUE"""),"ม.6/9")</f>
        <v>ม.6/9</v>
      </c>
      <c r="D2424" s="3" t="str">
        <f>IFERROR(__xludf.DUMMYFUNCTION("""COMPUTED_VALUE"""),"อป.3/7")</f>
        <v>อป.3/7</v>
      </c>
      <c r="E2424" s="2" t="str">
        <f>IFERROR(__xludf.DUMMYFUNCTION("""COMPUTED_VALUE"""),"หญิง")</f>
        <v>หญิง</v>
      </c>
      <c r="F2424" s="5" t="str">
        <f>IFERROR(__xludf.DUMMYFUNCTION("""COMPUTED_VALUE"""),"https://azizstan.net/student_image/23075.jpg")</f>
        <v>https://azizstan.net/student_image/23075.jpg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</row>
    <row r="2425">
      <c r="A2425" s="3" t="str">
        <f>IFERROR(__xludf.DUMMYFUNCTION("""COMPUTED_VALUE"""),"23122")</f>
        <v>23122</v>
      </c>
      <c r="B2425" s="3" t="str">
        <f>IFERROR(__xludf.DUMMYFUNCTION("""COMPUTED_VALUE"""),"น.ส.ยัสมี กอแต")</f>
        <v>น.ส.ยัสมี กอแต</v>
      </c>
      <c r="C2425" s="3" t="str">
        <f>IFERROR(__xludf.DUMMYFUNCTION("""COMPUTED_VALUE"""),"ม.6/9")</f>
        <v>ม.6/9</v>
      </c>
      <c r="D2425" s="3" t="str">
        <f>IFERROR(__xludf.DUMMYFUNCTION("""COMPUTED_VALUE"""),"อป.3/7")</f>
        <v>อป.3/7</v>
      </c>
      <c r="E2425" s="2" t="str">
        <f>IFERROR(__xludf.DUMMYFUNCTION("""COMPUTED_VALUE"""),"หญิง")</f>
        <v>หญิง</v>
      </c>
      <c r="F2425" s="5" t="str">
        <f>IFERROR(__xludf.DUMMYFUNCTION("""COMPUTED_VALUE"""),"https://azizstan.net/student_image/23122.jpg")</f>
        <v>https://azizstan.net/student_image/23122.jpg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>
      <c r="A2426" s="3" t="str">
        <f>IFERROR(__xludf.DUMMYFUNCTION("""COMPUTED_VALUE"""),"23165")</f>
        <v>23165</v>
      </c>
      <c r="B2426" s="3" t="str">
        <f>IFERROR(__xludf.DUMMYFUNCTION("""COMPUTED_VALUE"""),"นายวันริฟกีย์ สะอิ")</f>
        <v>นายวันริฟกีย์ สะอิ</v>
      </c>
      <c r="C2426" s="3" t="str">
        <f>IFERROR(__xludf.DUMMYFUNCTION("""COMPUTED_VALUE"""),"ม.6/9")</f>
        <v>ม.6/9</v>
      </c>
      <c r="D2426" s="3" t="str">
        <f>IFERROR(__xludf.DUMMYFUNCTION("""COMPUTED_VALUE"""),"อป.3/7")</f>
        <v>อป.3/7</v>
      </c>
      <c r="E2426" s="2" t="str">
        <f>IFERROR(__xludf.DUMMYFUNCTION("""COMPUTED_VALUE"""),"ชาย")</f>
        <v>ชาย</v>
      </c>
      <c r="F2426" s="5" t="str">
        <f>IFERROR(__xludf.DUMMYFUNCTION("""COMPUTED_VALUE"""),"https://azizstan.net/student_image/23165.jpg")</f>
        <v>https://azizstan.net/student_image/23165.jpg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>
      <c r="A2427" s="3" t="str">
        <f>IFERROR(__xludf.DUMMYFUNCTION("""COMPUTED_VALUE"""),"23188")</f>
        <v>23188</v>
      </c>
      <c r="B2427" s="3" t="str">
        <f>IFERROR(__xludf.DUMMYFUNCTION("""COMPUTED_VALUE"""),"นายศศิธร เกบุตร")</f>
        <v>นายศศิธร เกบุตร</v>
      </c>
      <c r="C2427" s="3" t="str">
        <f>IFERROR(__xludf.DUMMYFUNCTION("""COMPUTED_VALUE"""),"ม.6/9")</f>
        <v>ม.6/9</v>
      </c>
      <c r="D2427" s="3" t="str">
        <f>IFERROR(__xludf.DUMMYFUNCTION("""COMPUTED_VALUE"""),"อป.3/7")</f>
        <v>อป.3/7</v>
      </c>
      <c r="E2427" s="2" t="str">
        <f>IFERROR(__xludf.DUMMYFUNCTION("""COMPUTED_VALUE"""),"ชาย")</f>
        <v>ชาย</v>
      </c>
      <c r="F2427" s="5" t="str">
        <f>IFERROR(__xludf.DUMMYFUNCTION("""COMPUTED_VALUE"""),"https://azizstan.net/student_image/23188.jpg")</f>
        <v>https://azizstan.net/student_image/23188.jpg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>
      <c r="A2428" s="3" t="str">
        <f>IFERROR(__xludf.DUMMYFUNCTION("""COMPUTED_VALUE"""),"23258")</f>
        <v>23258</v>
      </c>
      <c r="B2428" s="3" t="str">
        <f>IFERROR(__xludf.DUMMYFUNCTION("""COMPUTED_VALUE"""),"นายชารีฟ มอซู")</f>
        <v>นายชารีฟ มอซู</v>
      </c>
      <c r="C2428" s="3" t="str">
        <f>IFERROR(__xludf.DUMMYFUNCTION("""COMPUTED_VALUE"""),"ม.6/9")</f>
        <v>ม.6/9</v>
      </c>
      <c r="D2428" s="3" t="str">
        <f>IFERROR(__xludf.DUMMYFUNCTION("""COMPUTED_VALUE"""),"อป.3/7")</f>
        <v>อป.3/7</v>
      </c>
      <c r="E2428" s="2" t="str">
        <f>IFERROR(__xludf.DUMMYFUNCTION("""COMPUTED_VALUE"""),"ชาย")</f>
        <v>ชาย</v>
      </c>
      <c r="F2428" s="5" t="str">
        <f>IFERROR(__xludf.DUMMYFUNCTION("""COMPUTED_VALUE"""),"https://azizstan.net/student_image/23258.jpg")</f>
        <v>https://azizstan.net/student_image/23258.jpg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>
      <c r="A2429" s="3" t="str">
        <f>IFERROR(__xludf.DUMMYFUNCTION("""COMPUTED_VALUE"""),"24690")</f>
        <v>24690</v>
      </c>
      <c r="B2429" s="3" t="str">
        <f>IFERROR(__xludf.DUMMYFUNCTION("""COMPUTED_VALUE"""),"น.ส.อาริฟะฮ์ มะแอ")</f>
        <v>น.ส.อาริฟะฮ์ มะแอ</v>
      </c>
      <c r="C2429" s="3" t="str">
        <f>IFERROR(__xludf.DUMMYFUNCTION("""COMPUTED_VALUE"""),"ม.6/9")</f>
        <v>ม.6/9</v>
      </c>
      <c r="D2429" s="3" t="str">
        <f>IFERROR(__xludf.DUMMYFUNCTION("""COMPUTED_VALUE"""),"อป.3/7")</f>
        <v>อป.3/7</v>
      </c>
      <c r="E2429" s="2" t="str">
        <f>IFERROR(__xludf.DUMMYFUNCTION("""COMPUTED_VALUE"""),"หญิง")</f>
        <v>หญิง</v>
      </c>
      <c r="F2429" s="5" t="str">
        <f>IFERROR(__xludf.DUMMYFUNCTION("""COMPUTED_VALUE"""),"https://azizstan.net/student_image/24690.jpg")</f>
        <v>https://azizstan.net/student_image/24690.jpg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>
      <c r="A2430" s="3" t="str">
        <f>IFERROR(__xludf.DUMMYFUNCTION("""COMPUTED_VALUE"""),"24795")</f>
        <v>24795</v>
      </c>
      <c r="B2430" s="3" t="str">
        <f>IFERROR(__xludf.DUMMYFUNCTION("""COMPUTED_VALUE"""),"น.ส.นูรฮันนาน เง๊าะเห๊าะติ")</f>
        <v>น.ส.นูรฮันนาน เง๊าะเห๊าะติ</v>
      </c>
      <c r="C2430" s="3" t="str">
        <f>IFERROR(__xludf.DUMMYFUNCTION("""COMPUTED_VALUE"""),"ม.6/9")</f>
        <v>ม.6/9</v>
      </c>
      <c r="D2430" s="3" t="str">
        <f>IFERROR(__xludf.DUMMYFUNCTION("""COMPUTED_VALUE"""),"อป.3/7")</f>
        <v>อป.3/7</v>
      </c>
      <c r="E2430" s="2" t="str">
        <f>IFERROR(__xludf.DUMMYFUNCTION("""COMPUTED_VALUE"""),"หญิง")</f>
        <v>หญิง</v>
      </c>
      <c r="F2430" s="5" t="str">
        <f>IFERROR(__xludf.DUMMYFUNCTION("""COMPUTED_VALUE"""),"https://azizstan.net/student_image/24795.jpg")</f>
        <v>https://azizstan.net/student_image/24795.jpg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>
      <c r="A2431" s="3" t="str">
        <f>IFERROR(__xludf.DUMMYFUNCTION("""COMPUTED_VALUE"""),"24967")</f>
        <v>24967</v>
      </c>
      <c r="B2431" s="3" t="str">
        <f>IFERROR(__xludf.DUMMYFUNCTION("""COMPUTED_VALUE"""),"น.ส.อารียา บินดีน")</f>
        <v>น.ส.อารียา บินดีน</v>
      </c>
      <c r="C2431" s="3" t="str">
        <f>IFERROR(__xludf.DUMMYFUNCTION("""COMPUTED_VALUE"""),"ม.6/9")</f>
        <v>ม.6/9</v>
      </c>
      <c r="D2431" s="3" t="str">
        <f>IFERROR(__xludf.DUMMYFUNCTION("""COMPUTED_VALUE"""),"อป.3/7")</f>
        <v>อป.3/7</v>
      </c>
      <c r="E2431" s="2" t="str">
        <f>IFERROR(__xludf.DUMMYFUNCTION("""COMPUTED_VALUE"""),"หญิง")</f>
        <v>หญิง</v>
      </c>
      <c r="F2431" s="5" t="str">
        <f>IFERROR(__xludf.DUMMYFUNCTION("""COMPUTED_VALUE"""),"https://azizstan.net/student_image/24967.jpg")</f>
        <v>https://azizstan.net/student_image/24967.jpg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</row>
    <row r="2432">
      <c r="A2432" s="3" t="str">
        <f>IFERROR(__xludf.DUMMYFUNCTION("""COMPUTED_VALUE"""),"24986")</f>
        <v>24986</v>
      </c>
      <c r="B2432" s="3" t="str">
        <f>IFERROR(__xludf.DUMMYFUNCTION("""COMPUTED_VALUE"""),"น.ส.ฮาซาน๊ะ แมเราะดำ")</f>
        <v>น.ส.ฮาซาน๊ะ แมเราะดำ</v>
      </c>
      <c r="C2432" s="3" t="str">
        <f>IFERROR(__xludf.DUMMYFUNCTION("""COMPUTED_VALUE"""),"ม.6/9")</f>
        <v>ม.6/9</v>
      </c>
      <c r="D2432" s="3" t="str">
        <f>IFERROR(__xludf.DUMMYFUNCTION("""COMPUTED_VALUE"""),"อป.3/7")</f>
        <v>อป.3/7</v>
      </c>
      <c r="E2432" s="2" t="str">
        <f>IFERROR(__xludf.DUMMYFUNCTION("""COMPUTED_VALUE"""),"หญิง")</f>
        <v>หญิง</v>
      </c>
      <c r="F2432" s="5" t="str">
        <f>IFERROR(__xludf.DUMMYFUNCTION("""COMPUTED_VALUE"""),"https://azizstan.net/student_image/24986.jpg")</f>
        <v>https://azizstan.net/student_image/24986.jpg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>
      <c r="A2433" s="3" t="str">
        <f>IFERROR(__xludf.DUMMYFUNCTION("""COMPUTED_VALUE"""),"25009")</f>
        <v>25009</v>
      </c>
      <c r="B2433" s="3" t="str">
        <f>IFERROR(__xludf.DUMMYFUNCTION("""COMPUTED_VALUE"""),"นายนัควัต พยายาม")</f>
        <v>นายนัควัต พยายาม</v>
      </c>
      <c r="C2433" s="3" t="str">
        <f>IFERROR(__xludf.DUMMYFUNCTION("""COMPUTED_VALUE"""),"ม.6/9")</f>
        <v>ม.6/9</v>
      </c>
      <c r="D2433" s="3" t="str">
        <f>IFERROR(__xludf.DUMMYFUNCTION("""COMPUTED_VALUE"""),"อป.3/7")</f>
        <v>อป.3/7</v>
      </c>
      <c r="E2433" s="2" t="str">
        <f>IFERROR(__xludf.DUMMYFUNCTION("""COMPUTED_VALUE"""),"ชาย")</f>
        <v>ชาย</v>
      </c>
      <c r="F2433" s="5" t="str">
        <f>IFERROR(__xludf.DUMMYFUNCTION("""COMPUTED_VALUE"""),"https://azizstan.net/student_image/25009.jpg")</f>
        <v>https://azizstan.net/student_image/25009.jpg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>
      <c r="A2434" s="3" t="str">
        <f>IFERROR(__xludf.DUMMYFUNCTION("""COMPUTED_VALUE"""),"25010")</f>
        <v>25010</v>
      </c>
      <c r="B2434" s="3" t="str">
        <f>IFERROR(__xludf.DUMMYFUNCTION("""COMPUTED_VALUE"""),"น.ส.วานีตา สุไลมาน")</f>
        <v>น.ส.วานีตา สุไลมาน</v>
      </c>
      <c r="C2434" s="3" t="str">
        <f>IFERROR(__xludf.DUMMYFUNCTION("""COMPUTED_VALUE"""),"ม.6/9")</f>
        <v>ม.6/9</v>
      </c>
      <c r="D2434" s="3" t="str">
        <f>IFERROR(__xludf.DUMMYFUNCTION("""COMPUTED_VALUE"""),"อป.3/7")</f>
        <v>อป.3/7</v>
      </c>
      <c r="E2434" s="2" t="str">
        <f>IFERROR(__xludf.DUMMYFUNCTION("""COMPUTED_VALUE"""),"หญิง")</f>
        <v>หญิง</v>
      </c>
      <c r="F2434" s="5" t="str">
        <f>IFERROR(__xludf.DUMMYFUNCTION("""COMPUTED_VALUE"""),"https://azizstan.net/student_image/25010.jpg")</f>
        <v>https://azizstan.net/student_image/25010.jpg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>
      <c r="A2435" s="3" t="str">
        <f>IFERROR(__xludf.DUMMYFUNCTION("""COMPUTED_VALUE"""),"25108")</f>
        <v>25108</v>
      </c>
      <c r="B2435" s="3" t="str">
        <f>IFERROR(__xludf.DUMMYFUNCTION("""COMPUTED_VALUE"""),"นายอันวาร์ ศรีอาหมัด")</f>
        <v>นายอันวาร์ ศรีอาหมัด</v>
      </c>
      <c r="C2435" s="3" t="str">
        <f>IFERROR(__xludf.DUMMYFUNCTION("""COMPUTED_VALUE"""),"ม.6/9")</f>
        <v>ม.6/9</v>
      </c>
      <c r="D2435" s="3" t="str">
        <f>IFERROR(__xludf.DUMMYFUNCTION("""COMPUTED_VALUE"""),"อป.3/7")</f>
        <v>อป.3/7</v>
      </c>
      <c r="E2435" s="2" t="str">
        <f>IFERROR(__xludf.DUMMYFUNCTION("""COMPUTED_VALUE"""),"ชาย")</f>
        <v>ชาย</v>
      </c>
      <c r="F2435" s="5" t="str">
        <f>IFERROR(__xludf.DUMMYFUNCTION("""COMPUTED_VALUE"""),"https://azizstan.net/student_image/25108.jpg")</f>
        <v>https://azizstan.net/student_image/25108.jpg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</row>
    <row r="2436">
      <c r="A2436" s="3" t="str">
        <f>IFERROR(__xludf.DUMMYFUNCTION("""COMPUTED_VALUE"""),"25183")</f>
        <v>25183</v>
      </c>
      <c r="B2436" s="3" t="str">
        <f>IFERROR(__xludf.DUMMYFUNCTION("""COMPUTED_VALUE"""),"น.ส.วันฟาฏิมะห์ สะบิดิง")</f>
        <v>น.ส.วันฟาฏิมะห์ สะบิดิง</v>
      </c>
      <c r="C2436" s="3" t="str">
        <f>IFERROR(__xludf.DUMMYFUNCTION("""COMPUTED_VALUE"""),"ม.6/9")</f>
        <v>ม.6/9</v>
      </c>
      <c r="D2436" s="3" t="str">
        <f>IFERROR(__xludf.DUMMYFUNCTION("""COMPUTED_VALUE"""),"อป.3/7")</f>
        <v>อป.3/7</v>
      </c>
      <c r="E2436" s="2" t="str">
        <f>IFERROR(__xludf.DUMMYFUNCTION("""COMPUTED_VALUE"""),"หญิง")</f>
        <v>หญิง</v>
      </c>
      <c r="F2436" s="5" t="str">
        <f>IFERROR(__xludf.DUMMYFUNCTION("""COMPUTED_VALUE"""),"https://azizstan.net/student_image/25183.jpg")</f>
        <v>https://azizstan.net/student_image/25183.jpg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>
      <c r="A2437" s="3" t="str">
        <f>IFERROR(__xludf.DUMMYFUNCTION("""COMPUTED_VALUE"""),"25274")</f>
        <v>25274</v>
      </c>
      <c r="B2437" s="3" t="str">
        <f>IFERROR(__xludf.DUMMYFUNCTION("""COMPUTED_VALUE"""),"น.ส.ฟัสนา มะเซ็งบางี")</f>
        <v>น.ส.ฟัสนา มะเซ็งบางี</v>
      </c>
      <c r="C2437" s="3" t="str">
        <f>IFERROR(__xludf.DUMMYFUNCTION("""COMPUTED_VALUE"""),"ม.6/9")</f>
        <v>ม.6/9</v>
      </c>
      <c r="D2437" s="3" t="str">
        <f>IFERROR(__xludf.DUMMYFUNCTION("""COMPUTED_VALUE"""),"อป.3/7")</f>
        <v>อป.3/7</v>
      </c>
      <c r="E2437" s="2" t="str">
        <f>IFERROR(__xludf.DUMMYFUNCTION("""COMPUTED_VALUE"""),"หญิง")</f>
        <v>หญิง</v>
      </c>
      <c r="F2437" s="5" t="str">
        <f>IFERROR(__xludf.DUMMYFUNCTION("""COMPUTED_VALUE"""),"https://azizstan.net/student_image/25274.jpg")</f>
        <v>https://azizstan.net/student_image/25274.jpg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>
      <c r="A2438" s="3" t="str">
        <f>IFERROR(__xludf.DUMMYFUNCTION("""COMPUTED_VALUE"""),"25292")</f>
        <v>25292</v>
      </c>
      <c r="B2438" s="3" t="str">
        <f>IFERROR(__xludf.DUMMYFUNCTION("""COMPUTED_VALUE"""),"น.ส.ซัซวานี เย๊ะ")</f>
        <v>น.ส.ซัซวานี เย๊ะ</v>
      </c>
      <c r="C2438" s="3" t="str">
        <f>IFERROR(__xludf.DUMMYFUNCTION("""COMPUTED_VALUE"""),"ม.6/9")</f>
        <v>ม.6/9</v>
      </c>
      <c r="D2438" s="3" t="str">
        <f>IFERROR(__xludf.DUMMYFUNCTION("""COMPUTED_VALUE"""),"อป.3/7")</f>
        <v>อป.3/7</v>
      </c>
      <c r="E2438" s="2" t="str">
        <f>IFERROR(__xludf.DUMMYFUNCTION("""COMPUTED_VALUE"""),"หญิง")</f>
        <v>หญิง</v>
      </c>
      <c r="F2438" s="5" t="str">
        <f>IFERROR(__xludf.DUMMYFUNCTION("""COMPUTED_VALUE"""),"https://azizstan.net/student_image/25292.jpg")</f>
        <v>https://azizstan.net/student_image/25292.jpg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>
      <c r="A2439" s="3" t="str">
        <f>IFERROR(__xludf.DUMMYFUNCTION("""COMPUTED_VALUE"""),"26800")</f>
        <v>26800</v>
      </c>
      <c r="B2439" s="3" t="str">
        <f>IFERROR(__xludf.DUMMYFUNCTION("""COMPUTED_VALUE"""),"น.ส.นูรฮูดา เจ๊ะสัน")</f>
        <v>น.ส.นูรฮูดา เจ๊ะสัน</v>
      </c>
      <c r="C2439" s="3" t="str">
        <f>IFERROR(__xludf.DUMMYFUNCTION("""COMPUTED_VALUE"""),"ม.6/9")</f>
        <v>ม.6/9</v>
      </c>
      <c r="D2439" s="3" t="str">
        <f>IFERROR(__xludf.DUMMYFUNCTION("""COMPUTED_VALUE"""),"อป.3/7")</f>
        <v>อป.3/7</v>
      </c>
      <c r="E2439" s="2" t="str">
        <f>IFERROR(__xludf.DUMMYFUNCTION("""COMPUTED_VALUE"""),"หญิง")</f>
        <v>หญิง</v>
      </c>
      <c r="F2439" s="5" t="str">
        <f>IFERROR(__xludf.DUMMYFUNCTION("""COMPUTED_VALUE"""),"https://azizstan.net/student_image/26800.jpg")</f>
        <v>https://azizstan.net/student_image/26800.jpg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</row>
    <row r="2440">
      <c r="A2440" s="3" t="str">
        <f>IFERROR(__xludf.DUMMYFUNCTION("""COMPUTED_VALUE"""),"22651")</f>
        <v>22651</v>
      </c>
      <c r="B2440" s="3" t="str">
        <f>IFERROR(__xludf.DUMMYFUNCTION("""COMPUTED_VALUE"""),"น.ส.ปัทมา อุมาร์")</f>
        <v>น.ส.ปัทมา อุมาร์</v>
      </c>
      <c r="C2440" s="3" t="str">
        <f>IFERROR(__xludf.DUMMYFUNCTION("""COMPUTED_VALUE"""),"ม.6/10")</f>
        <v>ม.6/10</v>
      </c>
      <c r="D2440" s="3" t="str">
        <f>IFERROR(__xludf.DUMMYFUNCTION("""COMPUTED_VALUE"""),"อป.1/2")</f>
        <v>อป.1/2</v>
      </c>
      <c r="E2440" s="2" t="str">
        <f>IFERROR(__xludf.DUMMYFUNCTION("""COMPUTED_VALUE"""),"หญิง")</f>
        <v>หญิง</v>
      </c>
      <c r="F2440" s="5" t="str">
        <f>IFERROR(__xludf.DUMMYFUNCTION("""COMPUTED_VALUE"""),"https://azizstan.net/student_image/22651.jpg")</f>
        <v>https://azizstan.net/student_image/22651.jpg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</row>
    <row r="2441">
      <c r="A2441" s="3" t="str">
        <f>IFERROR(__xludf.DUMMYFUNCTION("""COMPUTED_VALUE"""),"22659")</f>
        <v>22659</v>
      </c>
      <c r="B2441" s="3" t="str">
        <f>IFERROR(__xludf.DUMMYFUNCTION("""COMPUTED_VALUE"""),"น.ส.ซูฟียา เจะเลาะ")</f>
        <v>น.ส.ซูฟียา เจะเลาะ</v>
      </c>
      <c r="C2441" s="3" t="str">
        <f>IFERROR(__xludf.DUMMYFUNCTION("""COMPUTED_VALUE"""),"ม.6/10")</f>
        <v>ม.6/10</v>
      </c>
      <c r="D2441" s="3" t="str">
        <f>IFERROR(__xludf.DUMMYFUNCTION("""COMPUTED_VALUE"""),"อป.2/2")</f>
        <v>อป.2/2</v>
      </c>
      <c r="E2441" s="2" t="str">
        <f>IFERROR(__xludf.DUMMYFUNCTION("""COMPUTED_VALUE"""),"หญิง")</f>
        <v>หญิง</v>
      </c>
      <c r="F2441" s="5" t="str">
        <f>IFERROR(__xludf.DUMMYFUNCTION("""COMPUTED_VALUE"""),"https://azizstan.net/student_image/22659.jpg")</f>
        <v>https://azizstan.net/student_image/22659.jpg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>
      <c r="A2442" s="3" t="str">
        <f>IFERROR(__xludf.DUMMYFUNCTION("""COMPUTED_VALUE"""),"22678")</f>
        <v>22678</v>
      </c>
      <c r="B2442" s="3" t="str">
        <f>IFERROR(__xludf.DUMMYFUNCTION("""COMPUTED_VALUE"""),"น.ส.นูรฟาดา สาเร๊ะ")</f>
        <v>น.ส.นูรฟาดา สาเร๊ะ</v>
      </c>
      <c r="C2442" s="3" t="str">
        <f>IFERROR(__xludf.DUMMYFUNCTION("""COMPUTED_VALUE"""),"ม.6/10")</f>
        <v>ม.6/10</v>
      </c>
      <c r="D2442" s="3" t="str">
        <f>IFERROR(__xludf.DUMMYFUNCTION("""COMPUTED_VALUE"""),"อป.1/4")</f>
        <v>อป.1/4</v>
      </c>
      <c r="E2442" s="2" t="str">
        <f>IFERROR(__xludf.DUMMYFUNCTION("""COMPUTED_VALUE"""),"หญิง")</f>
        <v>หญิง</v>
      </c>
      <c r="F2442" s="5" t="str">
        <f>IFERROR(__xludf.DUMMYFUNCTION("""COMPUTED_VALUE"""),"https://azizstan.net/student_image/22678.jpg")</f>
        <v>https://azizstan.net/student_image/22678.jpg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>
      <c r="A2443" s="3" t="str">
        <f>IFERROR(__xludf.DUMMYFUNCTION("""COMPUTED_VALUE"""),"22783")</f>
        <v>22783</v>
      </c>
      <c r="B2443" s="3" t="str">
        <f>IFERROR(__xludf.DUMMYFUNCTION("""COMPUTED_VALUE"""),"น.ส.นูรไอนี บือราเฮง")</f>
        <v>น.ส.นูรไอนี บือราเฮง</v>
      </c>
      <c r="C2443" s="3" t="str">
        <f>IFERROR(__xludf.DUMMYFUNCTION("""COMPUTED_VALUE"""),"ม.6/10")</f>
        <v>ม.6/10</v>
      </c>
      <c r="D2443" s="3" t="str">
        <f>IFERROR(__xludf.DUMMYFUNCTION("""COMPUTED_VALUE"""),"อป.1/4")</f>
        <v>อป.1/4</v>
      </c>
      <c r="E2443" s="2" t="str">
        <f>IFERROR(__xludf.DUMMYFUNCTION("""COMPUTED_VALUE"""),"หญิง")</f>
        <v>หญิง</v>
      </c>
      <c r="F2443" s="5" t="str">
        <f>IFERROR(__xludf.DUMMYFUNCTION("""COMPUTED_VALUE"""),"https://azizstan.net/student_image/22783.jpg")</f>
        <v>https://azizstan.net/student_image/22783.jpg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>
      <c r="A2444" s="3" t="str">
        <f>IFERROR(__xludf.DUMMYFUNCTION("""COMPUTED_VALUE"""),"22833")</f>
        <v>22833</v>
      </c>
      <c r="B2444" s="3" t="str">
        <f>IFERROR(__xludf.DUMMYFUNCTION("""COMPUTED_VALUE"""),"น.ส.ฟาตีฮะห์ สาแม")</f>
        <v>น.ส.ฟาตีฮะห์ สาแม</v>
      </c>
      <c r="C2444" s="3" t="str">
        <f>IFERROR(__xludf.DUMMYFUNCTION("""COMPUTED_VALUE"""),"ม.6/10")</f>
        <v>ม.6/10</v>
      </c>
      <c r="D2444" s="3" t="str">
        <f>IFERROR(__xludf.DUMMYFUNCTION("""COMPUTED_VALUE"""),"อป.1/2")</f>
        <v>อป.1/2</v>
      </c>
      <c r="E2444" s="2" t="str">
        <f>IFERROR(__xludf.DUMMYFUNCTION("""COMPUTED_VALUE"""),"หญิง")</f>
        <v>หญิง</v>
      </c>
      <c r="F2444" s="5" t="str">
        <f>IFERROR(__xludf.DUMMYFUNCTION("""COMPUTED_VALUE"""),"https://azizstan.net/student_image/22833.jpg")</f>
        <v>https://azizstan.net/student_image/22833.jpg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>
      <c r="A2445" s="3" t="str">
        <f>IFERROR(__xludf.DUMMYFUNCTION("""COMPUTED_VALUE"""),"22851")</f>
        <v>22851</v>
      </c>
      <c r="B2445" s="3" t="str">
        <f>IFERROR(__xludf.DUMMYFUNCTION("""COMPUTED_VALUE"""),"น.ส.ฮุสนา สะอิ")</f>
        <v>น.ส.ฮุสนา สะอิ</v>
      </c>
      <c r="C2445" s="3" t="str">
        <f>IFERROR(__xludf.DUMMYFUNCTION("""COMPUTED_VALUE"""),"ม.6/10")</f>
        <v>ม.6/10</v>
      </c>
      <c r="D2445" s="3" t="str">
        <f>IFERROR(__xludf.DUMMYFUNCTION("""COMPUTED_VALUE"""),"อป.1/2")</f>
        <v>อป.1/2</v>
      </c>
      <c r="E2445" s="2" t="str">
        <f>IFERROR(__xludf.DUMMYFUNCTION("""COMPUTED_VALUE"""),"หญิง")</f>
        <v>หญิง</v>
      </c>
      <c r="F2445" s="5" t="str">
        <f>IFERROR(__xludf.DUMMYFUNCTION("""COMPUTED_VALUE"""),"https://azizstan.net/student_image/22851.jpg")</f>
        <v>https://azizstan.net/student_image/22851.jpg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>
      <c r="A2446" s="3" t="str">
        <f>IFERROR(__xludf.DUMMYFUNCTION("""COMPUTED_VALUE"""),"22887")</f>
        <v>22887</v>
      </c>
      <c r="B2446" s="3" t="str">
        <f>IFERROR(__xludf.DUMMYFUNCTION("""COMPUTED_VALUE"""),"น.ส.ธัญพัฒน์ มิดดี้")</f>
        <v>น.ส.ธัญพัฒน์ มิดดี้</v>
      </c>
      <c r="C2446" s="3" t="str">
        <f>IFERROR(__xludf.DUMMYFUNCTION("""COMPUTED_VALUE"""),"ม.6/10")</f>
        <v>ม.6/10</v>
      </c>
      <c r="D2446" s="3" t="str">
        <f>IFERROR(__xludf.DUMMYFUNCTION("""COMPUTED_VALUE"""),"อป.1/4")</f>
        <v>อป.1/4</v>
      </c>
      <c r="E2446" s="2" t="str">
        <f>IFERROR(__xludf.DUMMYFUNCTION("""COMPUTED_VALUE"""),"หญิง")</f>
        <v>หญิง</v>
      </c>
      <c r="F2446" s="5" t="str">
        <f>IFERROR(__xludf.DUMMYFUNCTION("""COMPUTED_VALUE"""),"https://azizstan.net/student_image/22887.jpg")</f>
        <v>https://azizstan.net/student_image/22887.jpg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>
      <c r="A2447" s="3" t="str">
        <f>IFERROR(__xludf.DUMMYFUNCTION("""COMPUTED_VALUE"""),"22900")</f>
        <v>22900</v>
      </c>
      <c r="B2447" s="3" t="str">
        <f>IFERROR(__xludf.DUMMYFUNCTION("""COMPUTED_VALUE"""),"น.ส.อัรฟานี เจ๊ะมาซอ")</f>
        <v>น.ส.อัรฟานี เจ๊ะมาซอ</v>
      </c>
      <c r="C2447" s="3" t="str">
        <f>IFERROR(__xludf.DUMMYFUNCTION("""COMPUTED_VALUE"""),"ม.6/10")</f>
        <v>ม.6/10</v>
      </c>
      <c r="D2447" s="3" t="str">
        <f>IFERROR(__xludf.DUMMYFUNCTION("""COMPUTED_VALUE"""),"อก.3/14")</f>
        <v>อก.3/14</v>
      </c>
      <c r="E2447" s="2" t="str">
        <f>IFERROR(__xludf.DUMMYFUNCTION("""COMPUTED_VALUE"""),"หญิง")</f>
        <v>หญิง</v>
      </c>
      <c r="F2447" s="5" t="str">
        <f>IFERROR(__xludf.DUMMYFUNCTION("""COMPUTED_VALUE"""),"https://azizstan.net/student_image/22900.jpg")</f>
        <v>https://azizstan.net/student_image/22900.jpg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>
      <c r="A2448" s="3" t="str">
        <f>IFERROR(__xludf.DUMMYFUNCTION("""COMPUTED_VALUE"""),"22911")</f>
        <v>22911</v>
      </c>
      <c r="B2448" s="3" t="str">
        <f>IFERROR(__xludf.DUMMYFUNCTION("""COMPUTED_VALUE"""),"น.ส.อิลฮัม สะอิ")</f>
        <v>น.ส.อิลฮัม สะอิ</v>
      </c>
      <c r="C2448" s="3" t="str">
        <f>IFERROR(__xludf.DUMMYFUNCTION("""COMPUTED_VALUE"""),"ม.6/10")</f>
        <v>ม.6/10</v>
      </c>
      <c r="D2448" s="3" t="str">
        <f>IFERROR(__xludf.DUMMYFUNCTION("""COMPUTED_VALUE"""),"อก.3/14")</f>
        <v>อก.3/14</v>
      </c>
      <c r="E2448" s="2" t="str">
        <f>IFERROR(__xludf.DUMMYFUNCTION("""COMPUTED_VALUE"""),"หญิง")</f>
        <v>หญิง</v>
      </c>
      <c r="F2448" s="5" t="str">
        <f>IFERROR(__xludf.DUMMYFUNCTION("""COMPUTED_VALUE"""),"https://azizstan.net/student_image/22911.jpg")</f>
        <v>https://azizstan.net/student_image/22911.jpg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>
      <c r="A2449" s="3" t="str">
        <f>IFERROR(__xludf.DUMMYFUNCTION("""COMPUTED_VALUE"""),"22955")</f>
        <v>22955</v>
      </c>
      <c r="B2449" s="3" t="str">
        <f>IFERROR(__xludf.DUMMYFUNCTION("""COMPUTED_VALUE"""),"น.ส.ฮับเซาะห์ มะเซ็ง")</f>
        <v>น.ส.ฮับเซาะห์ มะเซ็ง</v>
      </c>
      <c r="C2449" s="3" t="str">
        <f>IFERROR(__xludf.DUMMYFUNCTION("""COMPUTED_VALUE"""),"ม.6/10")</f>
        <v>ม.6/10</v>
      </c>
      <c r="D2449" s="3" t="str">
        <f>IFERROR(__xludf.DUMMYFUNCTION("""COMPUTED_VALUE"""),"อก.3/14")</f>
        <v>อก.3/14</v>
      </c>
      <c r="E2449" s="2" t="str">
        <f>IFERROR(__xludf.DUMMYFUNCTION("""COMPUTED_VALUE"""),"หญิง")</f>
        <v>หญิง</v>
      </c>
      <c r="F2449" s="5" t="str">
        <f>IFERROR(__xludf.DUMMYFUNCTION("""COMPUTED_VALUE"""),"https://azizstan.net/student_image/22955.jpg")</f>
        <v>https://azizstan.net/student_image/22955.jpg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>
      <c r="A2450" s="3" t="str">
        <f>IFERROR(__xludf.DUMMYFUNCTION("""COMPUTED_VALUE"""),"23078")</f>
        <v>23078</v>
      </c>
      <c r="B2450" s="3" t="str">
        <f>IFERROR(__xludf.DUMMYFUNCTION("""COMPUTED_VALUE"""),"น.ส.อัสมะ สะอิ")</f>
        <v>น.ส.อัสมะ สะอิ</v>
      </c>
      <c r="C2450" s="3" t="str">
        <f>IFERROR(__xludf.DUMMYFUNCTION("""COMPUTED_VALUE"""),"ม.6/10")</f>
        <v>ม.6/10</v>
      </c>
      <c r="D2450" s="3" t="str">
        <f>IFERROR(__xludf.DUMMYFUNCTION("""COMPUTED_VALUE"""),"อป.2/2")</f>
        <v>อป.2/2</v>
      </c>
      <c r="E2450" s="2" t="str">
        <f>IFERROR(__xludf.DUMMYFUNCTION("""COMPUTED_VALUE"""),"หญิง")</f>
        <v>หญิง</v>
      </c>
      <c r="F2450" s="5" t="str">
        <f>IFERROR(__xludf.DUMMYFUNCTION("""COMPUTED_VALUE"""),"https://azizstan.net/student_image/23078.jpg")</f>
        <v>https://azizstan.net/student_image/23078.jpg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>
      <c r="A2451" s="3" t="str">
        <f>IFERROR(__xludf.DUMMYFUNCTION("""COMPUTED_VALUE"""),"23117")</f>
        <v>23117</v>
      </c>
      <c r="B2451" s="3" t="str">
        <f>IFERROR(__xludf.DUMMYFUNCTION("""COMPUTED_VALUE"""),"น.ส.มูรณี มามะ")</f>
        <v>น.ส.มูรณี มามะ</v>
      </c>
      <c r="C2451" s="3" t="str">
        <f>IFERROR(__xludf.DUMMYFUNCTION("""COMPUTED_VALUE"""),"ม.6/10")</f>
        <v>ม.6/10</v>
      </c>
      <c r="D2451" s="3" t="str">
        <f>IFERROR(__xludf.DUMMYFUNCTION("""COMPUTED_VALUE"""),"อก.3/14")</f>
        <v>อก.3/14</v>
      </c>
      <c r="E2451" s="2" t="str">
        <f>IFERROR(__xludf.DUMMYFUNCTION("""COMPUTED_VALUE"""),"หญิง")</f>
        <v>หญิง</v>
      </c>
      <c r="F2451" s="5" t="str">
        <f>IFERROR(__xludf.DUMMYFUNCTION("""COMPUTED_VALUE"""),"https://azizstan.net/student_image/23117.jpg")</f>
        <v>https://azizstan.net/student_image/23117.jpg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>
      <c r="A2452" s="3" t="str">
        <f>IFERROR(__xludf.DUMMYFUNCTION("""COMPUTED_VALUE"""),"23161")</f>
        <v>23161</v>
      </c>
      <c r="B2452" s="3" t="str">
        <f>IFERROR(__xludf.DUMMYFUNCTION("""COMPUTED_VALUE"""),"น.ส.ตัซนีม คงทอง")</f>
        <v>น.ส.ตัซนีม คงทอง</v>
      </c>
      <c r="C2452" s="3" t="str">
        <f>IFERROR(__xludf.DUMMYFUNCTION("""COMPUTED_VALUE"""),"ม.6/10")</f>
        <v>ม.6/10</v>
      </c>
      <c r="D2452" s="3" t="str">
        <f>IFERROR(__xludf.DUMMYFUNCTION("""COMPUTED_VALUE"""),"อป.1/4")</f>
        <v>อป.1/4</v>
      </c>
      <c r="E2452" s="2" t="str">
        <f>IFERROR(__xludf.DUMMYFUNCTION("""COMPUTED_VALUE"""),"หญิง")</f>
        <v>หญิง</v>
      </c>
      <c r="F2452" s="5" t="str">
        <f>IFERROR(__xludf.DUMMYFUNCTION("""COMPUTED_VALUE"""),"https://azizstan.net/student_image/23161.jpg")</f>
        <v>https://azizstan.net/student_image/23161.jpg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>
      <c r="A2453" s="3" t="str">
        <f>IFERROR(__xludf.DUMMYFUNCTION("""COMPUTED_VALUE"""),"23162")</f>
        <v>23162</v>
      </c>
      <c r="B2453" s="3" t="str">
        <f>IFERROR(__xludf.DUMMYFUNCTION("""COMPUTED_VALUE"""),"น.ส.นูรฮีดายะห์ สะอุ")</f>
        <v>น.ส.นูรฮีดายะห์ สะอุ</v>
      </c>
      <c r="C2453" s="3" t="str">
        <f>IFERROR(__xludf.DUMMYFUNCTION("""COMPUTED_VALUE"""),"ม.6/10")</f>
        <v>ม.6/10</v>
      </c>
      <c r="D2453" s="3" t="str">
        <f>IFERROR(__xludf.DUMMYFUNCTION("""COMPUTED_VALUE"""),"อก.3/14")</f>
        <v>อก.3/14</v>
      </c>
      <c r="E2453" s="2" t="str">
        <f>IFERROR(__xludf.DUMMYFUNCTION("""COMPUTED_VALUE"""),"หญิง")</f>
        <v>หญิง</v>
      </c>
      <c r="F2453" s="5" t="str">
        <f>IFERROR(__xludf.DUMMYFUNCTION("""COMPUTED_VALUE"""),"https://azizstan.net/student_image/23162.jpg")</f>
        <v>https://azizstan.net/student_image/23162.jpg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>
      <c r="A2454" s="3" t="str">
        <f>IFERROR(__xludf.DUMMYFUNCTION("""COMPUTED_VALUE"""),"23184")</f>
        <v>23184</v>
      </c>
      <c r="B2454" s="3" t="str">
        <f>IFERROR(__xludf.DUMMYFUNCTION("""COMPUTED_VALUE"""),"น.ส.นูรฟาติน บือซา")</f>
        <v>น.ส.นูรฟาติน บือซา</v>
      </c>
      <c r="C2454" s="3" t="str">
        <f>IFERROR(__xludf.DUMMYFUNCTION("""COMPUTED_VALUE"""),"ม.6/10")</f>
        <v>ม.6/10</v>
      </c>
      <c r="D2454" s="3" t="str">
        <f>IFERROR(__xludf.DUMMYFUNCTION("""COMPUTED_VALUE"""),"อป.1/4")</f>
        <v>อป.1/4</v>
      </c>
      <c r="E2454" s="2" t="str">
        <f>IFERROR(__xludf.DUMMYFUNCTION("""COMPUTED_VALUE"""),"หญิง")</f>
        <v>หญิง</v>
      </c>
      <c r="F2454" s="5" t="str">
        <f>IFERROR(__xludf.DUMMYFUNCTION("""COMPUTED_VALUE"""),"https://azizstan.net/student_image/23184.jpg")</f>
        <v>https://azizstan.net/student_image/23184.jpg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>
      <c r="A2455" s="3" t="str">
        <f>IFERROR(__xludf.DUMMYFUNCTION("""COMPUTED_VALUE"""),"23214")</f>
        <v>23214</v>
      </c>
      <c r="B2455" s="3" t="str">
        <f>IFERROR(__xludf.DUMMYFUNCTION("""COMPUTED_VALUE"""),"น.ส.นูรียา คาร์เดร์")</f>
        <v>น.ส.นูรียา คาร์เดร์</v>
      </c>
      <c r="C2455" s="3" t="str">
        <f>IFERROR(__xludf.DUMMYFUNCTION("""COMPUTED_VALUE"""),"ม.6/10")</f>
        <v>ม.6/10</v>
      </c>
      <c r="D2455" s="3" t="str">
        <f>IFERROR(__xludf.DUMMYFUNCTION("""COMPUTED_VALUE"""),"อป.2/2")</f>
        <v>อป.2/2</v>
      </c>
      <c r="E2455" s="2" t="str">
        <f>IFERROR(__xludf.DUMMYFUNCTION("""COMPUTED_VALUE"""),"หญิง")</f>
        <v>หญิง</v>
      </c>
      <c r="F2455" s="5" t="str">
        <f>IFERROR(__xludf.DUMMYFUNCTION("""COMPUTED_VALUE"""),"https://azizstan.net/student_image/23214.jpg")</f>
        <v>https://azizstan.net/student_image/23214.jpg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>
      <c r="A2456" s="3" t="str">
        <f>IFERROR(__xludf.DUMMYFUNCTION("""COMPUTED_VALUE"""),"23230")</f>
        <v>23230</v>
      </c>
      <c r="B2456" s="3" t="str">
        <f>IFERROR(__xludf.DUMMYFUNCTION("""COMPUTED_VALUE"""),"น.ส.มูรซีดา ยีลาเตะ")</f>
        <v>น.ส.มูรซีดา ยีลาเตะ</v>
      </c>
      <c r="C2456" s="3" t="str">
        <f>IFERROR(__xludf.DUMMYFUNCTION("""COMPUTED_VALUE"""),"ม.6/10")</f>
        <v>ม.6/10</v>
      </c>
      <c r="D2456" s="3" t="str">
        <f>IFERROR(__xludf.DUMMYFUNCTION("""COMPUTED_VALUE"""),"อก.3/14")</f>
        <v>อก.3/14</v>
      </c>
      <c r="E2456" s="2" t="str">
        <f>IFERROR(__xludf.DUMMYFUNCTION("""COMPUTED_VALUE"""),"หญิง")</f>
        <v>หญิง</v>
      </c>
      <c r="F2456" s="5" t="str">
        <f>IFERROR(__xludf.DUMMYFUNCTION("""COMPUTED_VALUE"""),"https://azizstan.net/student_image/23230.jpg")</f>
        <v>https://azizstan.net/student_image/23230.jpg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>
      <c r="A2457" s="3" t="str">
        <f>IFERROR(__xludf.DUMMYFUNCTION("""COMPUTED_VALUE"""),"23232")</f>
        <v>23232</v>
      </c>
      <c r="B2457" s="3" t="str">
        <f>IFERROR(__xludf.DUMMYFUNCTION("""COMPUTED_VALUE"""),"น.ส.อิรฟานา ยุนุ")</f>
        <v>น.ส.อิรฟานา ยุนุ</v>
      </c>
      <c r="C2457" s="3" t="str">
        <f>IFERROR(__xludf.DUMMYFUNCTION("""COMPUTED_VALUE"""),"ม.6/10")</f>
        <v>ม.6/10</v>
      </c>
      <c r="D2457" s="3" t="str">
        <f>IFERROR(__xludf.DUMMYFUNCTION("""COMPUTED_VALUE"""),"อก.3/14")</f>
        <v>อก.3/14</v>
      </c>
      <c r="E2457" s="2" t="str">
        <f>IFERROR(__xludf.DUMMYFUNCTION("""COMPUTED_VALUE"""),"หญิง")</f>
        <v>หญิง</v>
      </c>
      <c r="F2457" s="5" t="str">
        <f>IFERROR(__xludf.DUMMYFUNCTION("""COMPUTED_VALUE"""),"https://azizstan.net/student_image/23232.jpg")</f>
        <v>https://azizstan.net/student_image/23232.jpg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>
      <c r="A2458" s="3" t="str">
        <f>IFERROR(__xludf.DUMMYFUNCTION("""COMPUTED_VALUE"""),"24607")</f>
        <v>24607</v>
      </c>
      <c r="B2458" s="3" t="str">
        <f>IFERROR(__xludf.DUMMYFUNCTION("""COMPUTED_VALUE"""),"น.ส.ตอยยีบ๊ะห์ โตะเหะ")</f>
        <v>น.ส.ตอยยีบ๊ะห์ โตะเหะ</v>
      </c>
      <c r="C2458" s="3" t="str">
        <f>IFERROR(__xludf.DUMMYFUNCTION("""COMPUTED_VALUE"""),"ม.6/10")</f>
        <v>ม.6/10</v>
      </c>
      <c r="D2458" s="3" t="str">
        <f>IFERROR(__xludf.DUMMYFUNCTION("""COMPUTED_VALUE"""),"อป.1/4")</f>
        <v>อป.1/4</v>
      </c>
      <c r="E2458" s="2" t="str">
        <f>IFERROR(__xludf.DUMMYFUNCTION("""COMPUTED_VALUE"""),"หญิง")</f>
        <v>หญิง</v>
      </c>
      <c r="F2458" s="5" t="str">
        <f>IFERROR(__xludf.DUMMYFUNCTION("""COMPUTED_VALUE"""),"https://azizstan.net/student_image/24607.jpg")</f>
        <v>https://azizstan.net/student_image/24607.jpg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</row>
    <row r="2459">
      <c r="A2459" s="3" t="str">
        <f>IFERROR(__xludf.DUMMYFUNCTION("""COMPUTED_VALUE"""),"24686")</f>
        <v>24686</v>
      </c>
      <c r="B2459" s="3" t="str">
        <f>IFERROR(__xludf.DUMMYFUNCTION("""COMPUTED_VALUE"""),"น.ส.อารียา กิจการ")</f>
        <v>น.ส.อารียา กิจการ</v>
      </c>
      <c r="C2459" s="3" t="str">
        <f>IFERROR(__xludf.DUMMYFUNCTION("""COMPUTED_VALUE"""),"ม.6/10")</f>
        <v>ม.6/10</v>
      </c>
      <c r="D2459" s="3" t="str">
        <f>IFERROR(__xludf.DUMMYFUNCTION("""COMPUTED_VALUE"""),"อป.3/2")</f>
        <v>อป.3/2</v>
      </c>
      <c r="E2459" s="2" t="str">
        <f>IFERROR(__xludf.DUMMYFUNCTION("""COMPUTED_VALUE"""),"หญิง")</f>
        <v>หญิง</v>
      </c>
      <c r="F2459" s="5" t="str">
        <f>IFERROR(__xludf.DUMMYFUNCTION("""COMPUTED_VALUE"""),"https://azizstan.net/student_image/24686.jpg")</f>
        <v>https://azizstan.net/student_image/24686.jpg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>
      <c r="A2460" s="3" t="str">
        <f>IFERROR(__xludf.DUMMYFUNCTION("""COMPUTED_VALUE"""),"24711")</f>
        <v>24711</v>
      </c>
      <c r="B2460" s="3" t="str">
        <f>IFERROR(__xludf.DUMMYFUNCTION("""COMPUTED_VALUE"""),"น.ส.วันดา สะหลำหมะ")</f>
        <v>น.ส.วันดา สะหลำหมะ</v>
      </c>
      <c r="C2460" s="3" t="str">
        <f>IFERROR(__xludf.DUMMYFUNCTION("""COMPUTED_VALUE"""),"ม.6/10")</f>
        <v>ม.6/10</v>
      </c>
      <c r="D2460" s="3" t="str">
        <f>IFERROR(__xludf.DUMMYFUNCTION("""COMPUTED_VALUE"""),"อป.3/2")</f>
        <v>อป.3/2</v>
      </c>
      <c r="E2460" s="2" t="str">
        <f>IFERROR(__xludf.DUMMYFUNCTION("""COMPUTED_VALUE"""),"หญิง")</f>
        <v>หญิง</v>
      </c>
      <c r="F2460" s="5" t="str">
        <f>IFERROR(__xludf.DUMMYFUNCTION("""COMPUTED_VALUE"""),"https://azizstan.net/student_image/24711.jpg")</f>
        <v>https://azizstan.net/student_image/24711.jpg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>
      <c r="A2461" s="3" t="str">
        <f>IFERROR(__xludf.DUMMYFUNCTION("""COMPUTED_VALUE"""),"24758")</f>
        <v>24758</v>
      </c>
      <c r="B2461" s="3" t="str">
        <f>IFERROR(__xludf.DUMMYFUNCTION("""COMPUTED_VALUE"""),"น.ส.นูซ๊ะฟะฮานา คางา")</f>
        <v>น.ส.นูซ๊ะฟะฮานา คางา</v>
      </c>
      <c r="C2461" s="3" t="str">
        <f>IFERROR(__xludf.DUMMYFUNCTION("""COMPUTED_VALUE"""),"ม.6/10")</f>
        <v>ม.6/10</v>
      </c>
      <c r="D2461" s="3" t="str">
        <f>IFERROR(__xludf.DUMMYFUNCTION("""COMPUTED_VALUE"""),"อป.3/2")</f>
        <v>อป.3/2</v>
      </c>
      <c r="E2461" s="2" t="str">
        <f>IFERROR(__xludf.DUMMYFUNCTION("""COMPUTED_VALUE"""),"หญิง")</f>
        <v>หญิง</v>
      </c>
      <c r="F2461" s="5" t="str">
        <f>IFERROR(__xludf.DUMMYFUNCTION("""COMPUTED_VALUE"""),"https://azizstan.net/student_image/24758.jpg")</f>
        <v>https://azizstan.net/student_image/24758.jpg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>
      <c r="A2462" s="3" t="str">
        <f>IFERROR(__xludf.DUMMYFUNCTION("""COMPUTED_VALUE"""),"24840")</f>
        <v>24840</v>
      </c>
      <c r="B2462" s="3" t="str">
        <f>IFERROR(__xludf.DUMMYFUNCTION("""COMPUTED_VALUE"""),"น.ส.นูรฟาเอรา อาแว")</f>
        <v>น.ส.นูรฟาเอรา อาแว</v>
      </c>
      <c r="C2462" s="3" t="str">
        <f>IFERROR(__xludf.DUMMYFUNCTION("""COMPUTED_VALUE"""),"ม.6/10")</f>
        <v>ม.6/10</v>
      </c>
      <c r="D2462" s="3" t="str">
        <f>IFERROR(__xludf.DUMMYFUNCTION("""COMPUTED_VALUE"""),"อก.3/14")</f>
        <v>อก.3/14</v>
      </c>
      <c r="E2462" s="2" t="str">
        <f>IFERROR(__xludf.DUMMYFUNCTION("""COMPUTED_VALUE"""),"หญิง")</f>
        <v>หญิง</v>
      </c>
      <c r="F2462" s="5" t="str">
        <f>IFERROR(__xludf.DUMMYFUNCTION("""COMPUTED_VALUE"""),"https://azizstan.net/student_image/24840.jpg")</f>
        <v>https://azizstan.net/student_image/24840.jpg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>
      <c r="A2463" s="3" t="str">
        <f>IFERROR(__xludf.DUMMYFUNCTION("""COMPUTED_VALUE"""),"24841")</f>
        <v>24841</v>
      </c>
      <c r="B2463" s="3" t="str">
        <f>IFERROR(__xludf.DUMMYFUNCTION("""COMPUTED_VALUE"""),"น.ส.มุสลีฮา มะเกะ")</f>
        <v>น.ส.มุสลีฮา มะเกะ</v>
      </c>
      <c r="C2463" s="3" t="str">
        <f>IFERROR(__xludf.DUMMYFUNCTION("""COMPUTED_VALUE"""),"ม.6/10")</f>
        <v>ม.6/10</v>
      </c>
      <c r="D2463" s="3" t="str">
        <f>IFERROR(__xludf.DUMMYFUNCTION("""COMPUTED_VALUE"""),"อป.3/2")</f>
        <v>อป.3/2</v>
      </c>
      <c r="E2463" s="2" t="str">
        <f>IFERROR(__xludf.DUMMYFUNCTION("""COMPUTED_VALUE"""),"หญิง")</f>
        <v>หญิง</v>
      </c>
      <c r="F2463" s="5" t="str">
        <f>IFERROR(__xludf.DUMMYFUNCTION("""COMPUTED_VALUE"""),"https://azizstan.net/student_image/24841.jpg")</f>
        <v>https://azizstan.net/student_image/24841.jpg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</row>
    <row r="2464">
      <c r="A2464" s="3" t="str">
        <f>IFERROR(__xludf.DUMMYFUNCTION("""COMPUTED_VALUE"""),"24842")</f>
        <v>24842</v>
      </c>
      <c r="B2464" s="3" t="str">
        <f>IFERROR(__xludf.DUMMYFUNCTION("""COMPUTED_VALUE"""),"น.ส.โซเฟีย หามะ")</f>
        <v>น.ส.โซเฟีย หามะ</v>
      </c>
      <c r="C2464" s="3" t="str">
        <f>IFERROR(__xludf.DUMMYFUNCTION("""COMPUTED_VALUE"""),"ม.6/10")</f>
        <v>ม.6/10</v>
      </c>
      <c r="D2464" s="3" t="str">
        <f>IFERROR(__xludf.DUMMYFUNCTION("""COMPUTED_VALUE"""),"อป.3/2")</f>
        <v>อป.3/2</v>
      </c>
      <c r="E2464" s="2" t="str">
        <f>IFERROR(__xludf.DUMMYFUNCTION("""COMPUTED_VALUE"""),"หญิง")</f>
        <v>หญิง</v>
      </c>
      <c r="F2464" s="5" t="str">
        <f>IFERROR(__xludf.DUMMYFUNCTION("""COMPUTED_VALUE"""),"https://azizstan.net/student_image/24842.jpg")</f>
        <v>https://azizstan.net/student_image/24842.jpg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>
      <c r="A2465" s="3" t="str">
        <f>IFERROR(__xludf.DUMMYFUNCTION("""COMPUTED_VALUE"""),"24858")</f>
        <v>24858</v>
      </c>
      <c r="B2465" s="3" t="str">
        <f>IFERROR(__xludf.DUMMYFUNCTION("""COMPUTED_VALUE"""),"น.ส.นัยนา สาเม๊าะ")</f>
        <v>น.ส.นัยนา สาเม๊าะ</v>
      </c>
      <c r="C2465" s="3" t="str">
        <f>IFERROR(__xludf.DUMMYFUNCTION("""COMPUTED_VALUE"""),"ม.6/10")</f>
        <v>ม.6/10</v>
      </c>
      <c r="D2465" s="3" t="str">
        <f>IFERROR(__xludf.DUMMYFUNCTION("""COMPUTED_VALUE"""),"อป.3/2")</f>
        <v>อป.3/2</v>
      </c>
      <c r="E2465" s="2" t="str">
        <f>IFERROR(__xludf.DUMMYFUNCTION("""COMPUTED_VALUE"""),"หญิง")</f>
        <v>หญิง</v>
      </c>
      <c r="F2465" s="5" t="str">
        <f>IFERROR(__xludf.DUMMYFUNCTION("""COMPUTED_VALUE"""),"https://azizstan.net/student_image/24858.jpg")</f>
        <v>https://azizstan.net/student_image/24858.jpg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>
      <c r="A2466" s="3" t="str">
        <f>IFERROR(__xludf.DUMMYFUNCTION("""COMPUTED_VALUE"""),"24961")</f>
        <v>24961</v>
      </c>
      <c r="B2466" s="3" t="str">
        <f>IFERROR(__xludf.DUMMYFUNCTION("""COMPUTED_VALUE"""),"น.ส.นิสรีน หะยีเด็ง")</f>
        <v>น.ส.นิสรีน หะยีเด็ง</v>
      </c>
      <c r="C2466" s="3" t="str">
        <f>IFERROR(__xludf.DUMMYFUNCTION("""COMPUTED_VALUE"""),"ม.6/10")</f>
        <v>ม.6/10</v>
      </c>
      <c r="D2466" s="3" t="str">
        <f>IFERROR(__xludf.DUMMYFUNCTION("""COMPUTED_VALUE"""),"อป.3/2")</f>
        <v>อป.3/2</v>
      </c>
      <c r="E2466" s="2" t="str">
        <f>IFERROR(__xludf.DUMMYFUNCTION("""COMPUTED_VALUE"""),"หญิง")</f>
        <v>หญิง</v>
      </c>
      <c r="F2466" s="5" t="str">
        <f>IFERROR(__xludf.DUMMYFUNCTION("""COMPUTED_VALUE"""),"https://azizstan.net/student_image/24961.jpg")</f>
        <v>https://azizstan.net/student_image/24961.jpg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>
      <c r="A2467" s="3" t="str">
        <f>IFERROR(__xludf.DUMMYFUNCTION("""COMPUTED_VALUE"""),"24966")</f>
        <v>24966</v>
      </c>
      <c r="B2467" s="3" t="str">
        <f>IFERROR(__xludf.DUMMYFUNCTION("""COMPUTED_VALUE"""),"น.ส.ฟาตีฮะห์ แวเด็ง")</f>
        <v>น.ส.ฟาตีฮะห์ แวเด็ง</v>
      </c>
      <c r="C2467" s="3" t="str">
        <f>IFERROR(__xludf.DUMMYFUNCTION("""COMPUTED_VALUE"""),"ม.6/10")</f>
        <v>ม.6/10</v>
      </c>
      <c r="D2467" s="3" t="str">
        <f>IFERROR(__xludf.DUMMYFUNCTION("""COMPUTED_VALUE"""),"อก.3/14")</f>
        <v>อก.3/14</v>
      </c>
      <c r="E2467" s="2" t="str">
        <f>IFERROR(__xludf.DUMMYFUNCTION("""COMPUTED_VALUE"""),"หญิง")</f>
        <v>หญิง</v>
      </c>
      <c r="F2467" s="5" t="str">
        <f>IFERROR(__xludf.DUMMYFUNCTION("""COMPUTED_VALUE"""),"https://azizstan.net/student_image/24966.jpg")</f>
        <v>https://azizstan.net/student_image/24966.jpg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</row>
    <row r="2468">
      <c r="A2468" s="3" t="str">
        <f>IFERROR(__xludf.DUMMYFUNCTION("""COMPUTED_VALUE"""),"24981")</f>
        <v>24981</v>
      </c>
      <c r="B2468" s="3" t="str">
        <f>IFERROR(__xludf.DUMMYFUNCTION("""COMPUTED_VALUE"""),"น.ส.นาเดียร์ ชูมุง")</f>
        <v>น.ส.นาเดียร์ ชูมุง</v>
      </c>
      <c r="C2468" s="3" t="str">
        <f>IFERROR(__xludf.DUMMYFUNCTION("""COMPUTED_VALUE"""),"ม.6/10")</f>
        <v>ม.6/10</v>
      </c>
      <c r="D2468" s="3" t="str">
        <f>IFERROR(__xludf.DUMMYFUNCTION("""COMPUTED_VALUE"""),"อป.3/2")</f>
        <v>อป.3/2</v>
      </c>
      <c r="E2468" s="2" t="str">
        <f>IFERROR(__xludf.DUMMYFUNCTION("""COMPUTED_VALUE"""),"หญิง")</f>
        <v>หญิง</v>
      </c>
      <c r="F2468" s="5" t="str">
        <f>IFERROR(__xludf.DUMMYFUNCTION("""COMPUTED_VALUE"""),"https://azizstan.net/student_image/24981.jpg")</f>
        <v>https://azizstan.net/student_image/24981.jpg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>
      <c r="A2469" s="3" t="str">
        <f>IFERROR(__xludf.DUMMYFUNCTION("""COMPUTED_VALUE"""),"25046")</f>
        <v>25046</v>
      </c>
      <c r="B2469" s="3" t="str">
        <f>IFERROR(__xludf.DUMMYFUNCTION("""COMPUTED_VALUE"""),"น.ส.อัสมา สาและบู")</f>
        <v>น.ส.อัสมา สาและบู</v>
      </c>
      <c r="C2469" s="3" t="str">
        <f>IFERROR(__xludf.DUMMYFUNCTION("""COMPUTED_VALUE"""),"ม.6/10")</f>
        <v>ม.6/10</v>
      </c>
      <c r="D2469" s="3" t="str">
        <f>IFERROR(__xludf.DUMMYFUNCTION("""COMPUTED_VALUE"""),"อป.3/2")</f>
        <v>อป.3/2</v>
      </c>
      <c r="E2469" s="2" t="str">
        <f>IFERROR(__xludf.DUMMYFUNCTION("""COMPUTED_VALUE"""),"หญิง")</f>
        <v>หญิง</v>
      </c>
      <c r="F2469" s="5" t="str">
        <f>IFERROR(__xludf.DUMMYFUNCTION("""COMPUTED_VALUE"""),"https://azizstan.net/student_image/25046.jpg")</f>
        <v>https://azizstan.net/student_image/25046.jpg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>
      <c r="A2470" s="3" t="str">
        <f>IFERROR(__xludf.DUMMYFUNCTION("""COMPUTED_VALUE"""),"25112")</f>
        <v>25112</v>
      </c>
      <c r="B2470" s="3" t="str">
        <f>IFERROR(__xludf.DUMMYFUNCTION("""COMPUTED_VALUE"""),"น.ส.ซัยนูน ยีกะจิ")</f>
        <v>น.ส.ซัยนูน ยีกะจิ</v>
      </c>
      <c r="C2470" s="3" t="str">
        <f>IFERROR(__xludf.DUMMYFUNCTION("""COMPUTED_VALUE"""),"ม.6/10")</f>
        <v>ม.6/10</v>
      </c>
      <c r="D2470" s="3" t="str">
        <f>IFERROR(__xludf.DUMMYFUNCTION("""COMPUTED_VALUE"""),"อก.3/14")</f>
        <v>อก.3/14</v>
      </c>
      <c r="E2470" s="2" t="str">
        <f>IFERROR(__xludf.DUMMYFUNCTION("""COMPUTED_VALUE"""),"หญิง")</f>
        <v>หญิง</v>
      </c>
      <c r="F2470" s="5" t="str">
        <f>IFERROR(__xludf.DUMMYFUNCTION("""COMPUTED_VALUE"""),"https://azizstan.net/student_image/25112.jpg")</f>
        <v>https://azizstan.net/student_image/25112.jpg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>
      <c r="A2471" s="3" t="str">
        <f>IFERROR(__xludf.DUMMYFUNCTION("""COMPUTED_VALUE"""),"25146")</f>
        <v>25146</v>
      </c>
      <c r="B2471" s="3" t="str">
        <f>IFERROR(__xludf.DUMMYFUNCTION("""COMPUTED_VALUE"""),"น.ส.นูรฮารีซา เจ๊ะมะ")</f>
        <v>น.ส.นูรฮารีซา เจ๊ะมะ</v>
      </c>
      <c r="C2471" s="3" t="str">
        <f>IFERROR(__xludf.DUMMYFUNCTION("""COMPUTED_VALUE"""),"ม.6/10")</f>
        <v>ม.6/10</v>
      </c>
      <c r="D2471" s="3" t="str">
        <f>IFERROR(__xludf.DUMMYFUNCTION("""COMPUTED_VALUE"""),"อป.3/2")</f>
        <v>อป.3/2</v>
      </c>
      <c r="E2471" s="2" t="str">
        <f>IFERROR(__xludf.DUMMYFUNCTION("""COMPUTED_VALUE"""),"หญิง")</f>
        <v>หญิง</v>
      </c>
      <c r="F2471" s="5" t="str">
        <f>IFERROR(__xludf.DUMMYFUNCTION("""COMPUTED_VALUE"""),"https://azizstan.net/student_image/25146.jpg")</f>
        <v>https://azizstan.net/student_image/25146.jpg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>
      <c r="A2472" s="3" t="str">
        <f>IFERROR(__xludf.DUMMYFUNCTION("""COMPUTED_VALUE"""),"25178")</f>
        <v>25178</v>
      </c>
      <c r="B2472" s="3" t="str">
        <f>IFERROR(__xludf.DUMMYFUNCTION("""COMPUTED_VALUE"""),"น.ส.มัสรีนา หะยีสุหลง")</f>
        <v>น.ส.มัสรีนา หะยีสุหลง</v>
      </c>
      <c r="C2472" s="3" t="str">
        <f>IFERROR(__xludf.DUMMYFUNCTION("""COMPUTED_VALUE"""),"ม.6/10")</f>
        <v>ม.6/10</v>
      </c>
      <c r="D2472" s="3" t="str">
        <f>IFERROR(__xludf.DUMMYFUNCTION("""COMPUTED_VALUE"""),"อป.3/2")</f>
        <v>อป.3/2</v>
      </c>
      <c r="E2472" s="2" t="str">
        <f>IFERROR(__xludf.DUMMYFUNCTION("""COMPUTED_VALUE"""),"หญิง")</f>
        <v>หญิง</v>
      </c>
      <c r="F2472" s="5" t="str">
        <f>IFERROR(__xludf.DUMMYFUNCTION("""COMPUTED_VALUE"""),"https://azizstan.net/student_image/25178.jpg")</f>
        <v>https://azizstan.net/student_image/25178.jpg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>
      <c r="A2473" s="3" t="str">
        <f>IFERROR(__xludf.DUMMYFUNCTION("""COMPUTED_VALUE"""),"25308")</f>
        <v>25308</v>
      </c>
      <c r="B2473" s="3" t="str">
        <f>IFERROR(__xludf.DUMMYFUNCTION("""COMPUTED_VALUE"""),"น.ส.สากีนะ สาเมาะ")</f>
        <v>น.ส.สากีนะ สาเมาะ</v>
      </c>
      <c r="C2473" s="3" t="str">
        <f>IFERROR(__xludf.DUMMYFUNCTION("""COMPUTED_VALUE"""),"ม.6/10")</f>
        <v>ม.6/10</v>
      </c>
      <c r="D2473" s="3" t="str">
        <f>IFERROR(__xludf.DUMMYFUNCTION("""COMPUTED_VALUE"""),"อป.3/2")</f>
        <v>อป.3/2</v>
      </c>
      <c r="E2473" s="2" t="str">
        <f>IFERROR(__xludf.DUMMYFUNCTION("""COMPUTED_VALUE"""),"หญิง")</f>
        <v>หญิง</v>
      </c>
      <c r="F2473" s="5" t="str">
        <f>IFERROR(__xludf.DUMMYFUNCTION("""COMPUTED_VALUE"""),"https://azizstan.net/student_image/25308.jpg")</f>
        <v>https://azizstan.net/student_image/25308.jpg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>
      <c r="A2474" s="3" t="str">
        <f>IFERROR(__xludf.DUMMYFUNCTION("""COMPUTED_VALUE"""),"25325")</f>
        <v>25325</v>
      </c>
      <c r="B2474" s="3" t="str">
        <f>IFERROR(__xludf.DUMMYFUNCTION("""COMPUTED_VALUE"""),"น.ส.อัฟฟารีดา มะแซ")</f>
        <v>น.ส.อัฟฟารีดา มะแซ</v>
      </c>
      <c r="C2474" s="3" t="str">
        <f>IFERROR(__xludf.DUMMYFUNCTION("""COMPUTED_VALUE"""),"ม.6/10")</f>
        <v>ม.6/10</v>
      </c>
      <c r="D2474" s="3" t="str">
        <f>IFERROR(__xludf.DUMMYFUNCTION("""COMPUTED_VALUE"""),"อก.3/14")</f>
        <v>อก.3/14</v>
      </c>
      <c r="E2474" s="2" t="str">
        <f>IFERROR(__xludf.DUMMYFUNCTION("""COMPUTED_VALUE"""),"หญิง")</f>
        <v>หญิง</v>
      </c>
      <c r="F2474" s="5" t="str">
        <f>IFERROR(__xludf.DUMMYFUNCTION("""COMPUTED_VALUE"""),"https://azizstan.net/student_image/25325.jpg")</f>
        <v>https://azizstan.net/student_image/25325.jpg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>
      <c r="A2475" s="3" t="str">
        <f>IFERROR(__xludf.DUMMYFUNCTION("""COMPUTED_VALUE"""),"25345")</f>
        <v>25345</v>
      </c>
      <c r="B2475" s="3" t="str">
        <f>IFERROR(__xludf.DUMMYFUNCTION("""COMPUTED_VALUE"""),"น.ส.อารมาวานี สาแล๊ะ")</f>
        <v>น.ส.อารมาวานี สาแล๊ะ</v>
      </c>
      <c r="C2475" s="3" t="str">
        <f>IFERROR(__xludf.DUMMYFUNCTION("""COMPUTED_VALUE"""),"ม.6/10")</f>
        <v>ม.6/10</v>
      </c>
      <c r="D2475" s="3" t="str">
        <f>IFERROR(__xludf.DUMMYFUNCTION("""COMPUTED_VALUE"""),"อป.2/2")</f>
        <v>อป.2/2</v>
      </c>
      <c r="E2475" s="2" t="str">
        <f>IFERROR(__xludf.DUMMYFUNCTION("""COMPUTED_VALUE"""),"หญิง")</f>
        <v>หญิง</v>
      </c>
      <c r="F2475" s="5" t="str">
        <f>IFERROR(__xludf.DUMMYFUNCTION("""COMPUTED_VALUE"""),"https://azizstan.net/student_image/25345.jpg")</f>
        <v>https://azizstan.net/student_image/25345.jpg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>
      <c r="A2476" s="3" t="str">
        <f>IFERROR(__xludf.DUMMYFUNCTION("""COMPUTED_VALUE"""),"25926")</f>
        <v>25926</v>
      </c>
      <c r="B2476" s="3" t="str">
        <f>IFERROR(__xludf.DUMMYFUNCTION("""COMPUTED_VALUE"""),"น.ส.รอยฮาน วะจิดี")</f>
        <v>น.ส.รอยฮาน วะจิดี</v>
      </c>
      <c r="C2476" s="3" t="str">
        <f>IFERROR(__xludf.DUMMYFUNCTION("""COMPUTED_VALUE"""),"ม.6/10")</f>
        <v>ม.6/10</v>
      </c>
      <c r="D2476" s="3" t="str">
        <f>IFERROR(__xludf.DUMMYFUNCTION("""COMPUTED_VALUE"""),"อก.3/16")</f>
        <v>อก.3/16</v>
      </c>
      <c r="E2476" s="2" t="str">
        <f>IFERROR(__xludf.DUMMYFUNCTION("""COMPUTED_VALUE"""),"หญิง")</f>
        <v>หญิง</v>
      </c>
      <c r="F2476" s="5" t="str">
        <f>IFERROR(__xludf.DUMMYFUNCTION("""COMPUTED_VALUE"""),"https://azizstan.net/student_image/25926.jpg")</f>
        <v>https://azizstan.net/student_image/25926.jpg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>
      <c r="A2477" s="3" t="str">
        <f>IFERROR(__xludf.DUMMYFUNCTION("""COMPUTED_VALUE"""),"25961")</f>
        <v>25961</v>
      </c>
      <c r="B2477" s="3" t="str">
        <f>IFERROR(__xludf.DUMMYFUNCTION("""COMPUTED_VALUE"""),"น.ส.บาซีเราะฮ์ หมูณี")</f>
        <v>น.ส.บาซีเราะฮ์ หมูณี</v>
      </c>
      <c r="C2477" s="3" t="str">
        <f>IFERROR(__xludf.DUMMYFUNCTION("""COMPUTED_VALUE"""),"ม.6/10")</f>
        <v>ม.6/10</v>
      </c>
      <c r="D2477" s="3" t="str">
        <f>IFERROR(__xludf.DUMMYFUNCTION("""COMPUTED_VALUE"""),"อก.3/18")</f>
        <v>อก.3/18</v>
      </c>
      <c r="E2477" s="2" t="str">
        <f>IFERROR(__xludf.DUMMYFUNCTION("""COMPUTED_VALUE"""),"หญิง")</f>
        <v>หญิง</v>
      </c>
      <c r="F2477" s="5" t="str">
        <f>IFERROR(__xludf.DUMMYFUNCTION("""COMPUTED_VALUE"""),"https://azizstan.net/student_image/25961.jpg")</f>
        <v>https://azizstan.net/student_image/25961.jpg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>
      <c r="A2478" s="3" t="str">
        <f>IFERROR(__xludf.DUMMYFUNCTION("""COMPUTED_VALUE"""),"25972")</f>
        <v>25972</v>
      </c>
      <c r="B2478" s="3" t="str">
        <f>IFERROR(__xludf.DUMMYFUNCTION("""COMPUTED_VALUE"""),"น.ส.ฟาซูรา มะตีเยาะ")</f>
        <v>น.ส.ฟาซูรา มะตีเยาะ</v>
      </c>
      <c r="C2478" s="3" t="str">
        <f>IFERROR(__xludf.DUMMYFUNCTION("""COMPUTED_VALUE"""),"ม.6/10")</f>
        <v>ม.6/10</v>
      </c>
      <c r="D2478" s="3" t="str">
        <f>IFERROR(__xludf.DUMMYFUNCTION("""COMPUTED_VALUE"""),"อก.3/18")</f>
        <v>อก.3/18</v>
      </c>
      <c r="E2478" s="2" t="str">
        <f>IFERROR(__xludf.DUMMYFUNCTION("""COMPUTED_VALUE"""),"หญิง")</f>
        <v>หญิง</v>
      </c>
      <c r="F2478" s="5" t="str">
        <f>IFERROR(__xludf.DUMMYFUNCTION("""COMPUTED_VALUE"""),"https://azizstan.net/student_image/25972.jpg")</f>
        <v>https://azizstan.net/student_image/25972.jpg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>
      <c r="A2479" s="3" t="str">
        <f>IFERROR(__xludf.DUMMYFUNCTION("""COMPUTED_VALUE"""),"26002")</f>
        <v>26002</v>
      </c>
      <c r="B2479" s="3" t="str">
        <f>IFERROR(__xludf.DUMMYFUNCTION("""COMPUTED_VALUE"""),"น.ส.นัซศณานีย์ เดเระมะ")</f>
        <v>น.ส.นัซศณานีย์ เดเระมะ</v>
      </c>
      <c r="C2479" s="3" t="str">
        <f>IFERROR(__xludf.DUMMYFUNCTION("""COMPUTED_VALUE"""),"ม.6/10")</f>
        <v>ม.6/10</v>
      </c>
      <c r="D2479" s="3" t="str">
        <f>IFERROR(__xludf.DUMMYFUNCTION("""COMPUTED_VALUE"""),"อก.3/18")</f>
        <v>อก.3/18</v>
      </c>
      <c r="E2479" s="2" t="str">
        <f>IFERROR(__xludf.DUMMYFUNCTION("""COMPUTED_VALUE"""),"หญิง")</f>
        <v>หญิง</v>
      </c>
      <c r="F2479" s="5" t="str">
        <f>IFERROR(__xludf.DUMMYFUNCTION("""COMPUTED_VALUE"""),"https://azizstan.net/student_image/26002.jpg")</f>
        <v>https://azizstan.net/student_image/26002.jpg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>
      <c r="A2480" s="3" t="str">
        <f>IFERROR(__xludf.DUMMYFUNCTION("""COMPUTED_VALUE"""),"26557")</f>
        <v>26557</v>
      </c>
      <c r="B2480" s="3" t="str">
        <f>IFERROR(__xludf.DUMMYFUNCTION("""COMPUTED_VALUE"""),"น.ส.สุธิมา วานิ")</f>
        <v>น.ส.สุธิมา วานิ</v>
      </c>
      <c r="C2480" s="3" t="str">
        <f>IFERROR(__xludf.DUMMYFUNCTION("""COMPUTED_VALUE"""),"ม.6/10")</f>
        <v>ม.6/10</v>
      </c>
      <c r="D2480" s="3" t="str">
        <f>IFERROR(__xludf.DUMMYFUNCTION("""COMPUTED_VALUE"""),"อป.3/2")</f>
        <v>อป.3/2</v>
      </c>
      <c r="E2480" s="2" t="str">
        <f>IFERROR(__xludf.DUMMYFUNCTION("""COMPUTED_VALUE"""),"หญิง")</f>
        <v>หญิง</v>
      </c>
      <c r="F2480" s="5" t="str">
        <f>IFERROR(__xludf.DUMMYFUNCTION("""COMPUTED_VALUE"""),"https://azizstan.net/student_image/26557.jpg")</f>
        <v>https://azizstan.net/student_image/26557.jpg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>
      <c r="A2481" s="3" t="str">
        <f>IFERROR(__xludf.DUMMYFUNCTION("""COMPUTED_VALUE"""),"6821910016")</f>
        <v>6821910016</v>
      </c>
      <c r="B2481" s="3" t="str">
        <f>IFERROR(__xludf.DUMMYFUNCTION("""COMPUTED_VALUE"""),"นายมูฮัมหมัดอีดีล มะแซ")</f>
        <v>นายมูฮัมหมัดอีดีล มะแซ</v>
      </c>
      <c r="C2481" s="3" t="str">
        <f>IFERROR(__xludf.DUMMYFUNCTION("""COMPUTED_VALUE"""),"ปวช.1/1")</f>
        <v>ปวช.1/1</v>
      </c>
      <c r="D2481" s="3" t="str">
        <f>IFERROR(__xludf.DUMMYFUNCTION("""COMPUTED_VALUE"""),"อก.ปวช.1/1")</f>
        <v>อก.ปวช.1/1</v>
      </c>
      <c r="E2481" s="2" t="str">
        <f>IFERROR(__xludf.DUMMYFUNCTION("""COMPUTED_VALUE"""),"ชาย")</f>
        <v>ชาย</v>
      </c>
      <c r="F2481" s="5" t="str">
        <f>IFERROR(__xludf.DUMMYFUNCTION("""COMPUTED_VALUE"""),"https://azizstan.net/student_image_voc/6821910016.jpg")</f>
        <v>https://azizstan.net/student_image_voc/6821910016.jpg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</row>
    <row r="2482">
      <c r="A2482" s="3" t="str">
        <f>IFERROR(__xludf.DUMMYFUNCTION("""COMPUTED_VALUE"""),"6821910018")</f>
        <v>6821910018</v>
      </c>
      <c r="B2482" s="3" t="str">
        <f>IFERROR(__xludf.DUMMYFUNCTION("""COMPUTED_VALUE"""),"นายซูกิฟรีฮ์ อาแว")</f>
        <v>นายซูกิฟรีฮ์ อาแว</v>
      </c>
      <c r="C2482" s="3" t="str">
        <f>IFERROR(__xludf.DUMMYFUNCTION("""COMPUTED_VALUE"""),"ปวช.1/1")</f>
        <v>ปวช.1/1</v>
      </c>
      <c r="D2482" s="3" t="str">
        <f>IFERROR(__xludf.DUMMYFUNCTION("""COMPUTED_VALUE"""),"อก.ปวช.1/1")</f>
        <v>อก.ปวช.1/1</v>
      </c>
      <c r="E2482" s="2" t="str">
        <f>IFERROR(__xludf.DUMMYFUNCTION("""COMPUTED_VALUE"""),"ชาย")</f>
        <v>ชาย</v>
      </c>
      <c r="F2482" s="5" t="str">
        <f>IFERROR(__xludf.DUMMYFUNCTION("""COMPUTED_VALUE"""),"https://azizstan.net/student_image_voc/6821910018.jpg")</f>
        <v>https://azizstan.net/student_image_voc/6821910018.jpg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>
      <c r="A2483" s="3" t="str">
        <f>IFERROR(__xludf.DUMMYFUNCTION("""COMPUTED_VALUE"""),"6821910022")</f>
        <v>6821910022</v>
      </c>
      <c r="B2483" s="3" t="str">
        <f>IFERROR(__xludf.DUMMYFUNCTION("""COMPUTED_VALUE"""),"นายฟิตตรี แวกะจิ")</f>
        <v>นายฟิตตรี แวกะจิ</v>
      </c>
      <c r="C2483" s="3" t="str">
        <f>IFERROR(__xludf.DUMMYFUNCTION("""COMPUTED_VALUE"""),"ปวช.1/1")</f>
        <v>ปวช.1/1</v>
      </c>
      <c r="D2483" s="3" t="str">
        <f>IFERROR(__xludf.DUMMYFUNCTION("""COMPUTED_VALUE"""),"อก.ปวช.1/1")</f>
        <v>อก.ปวช.1/1</v>
      </c>
      <c r="E2483" s="2" t="str">
        <f>IFERROR(__xludf.DUMMYFUNCTION("""COMPUTED_VALUE"""),"ชาย")</f>
        <v>ชาย</v>
      </c>
      <c r="F2483" s="5" t="str">
        <f>IFERROR(__xludf.DUMMYFUNCTION("""COMPUTED_VALUE"""),"https://azizstan.net/student_image_voc/6821910022.jpg")</f>
        <v>https://azizstan.net/student_image_voc/6821910022.jpg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</row>
    <row r="2484">
      <c r="A2484" s="3" t="str">
        <f>IFERROR(__xludf.DUMMYFUNCTION("""COMPUTED_VALUE"""),"6821910023")</f>
        <v>6821910023</v>
      </c>
      <c r="B2484" s="3" t="str">
        <f>IFERROR(__xludf.DUMMYFUNCTION("""COMPUTED_VALUE"""),"นายวาฟียุดดีน กูนา")</f>
        <v>นายวาฟียุดดีน กูนา</v>
      </c>
      <c r="C2484" s="3" t="str">
        <f>IFERROR(__xludf.DUMMYFUNCTION("""COMPUTED_VALUE"""),"ปวช.1/1")</f>
        <v>ปวช.1/1</v>
      </c>
      <c r="D2484" s="3" t="str">
        <f>IFERROR(__xludf.DUMMYFUNCTION("""COMPUTED_VALUE"""),"อก.ปวช.1/1")</f>
        <v>อก.ปวช.1/1</v>
      </c>
      <c r="E2484" s="2" t="str">
        <f>IFERROR(__xludf.DUMMYFUNCTION("""COMPUTED_VALUE"""),"ชาย")</f>
        <v>ชาย</v>
      </c>
      <c r="F2484" s="5" t="str">
        <f>IFERROR(__xludf.DUMMYFUNCTION("""COMPUTED_VALUE"""),"https://azizstan.net/student_image_voc/6821910023.jpg")</f>
        <v>https://azizstan.net/student_image_voc/6821910023.jpg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>
      <c r="A2485" s="3" t="str">
        <f>IFERROR(__xludf.DUMMYFUNCTION("""COMPUTED_VALUE"""),"6821910026")</f>
        <v>6821910026</v>
      </c>
      <c r="B2485" s="3" t="str">
        <f>IFERROR(__xludf.DUMMYFUNCTION("""COMPUTED_VALUE"""),"นายอาดัม จันเจือ")</f>
        <v>นายอาดัม จันเจือ</v>
      </c>
      <c r="C2485" s="3" t="str">
        <f>IFERROR(__xludf.DUMMYFUNCTION("""COMPUTED_VALUE"""),"ปวช.1/1")</f>
        <v>ปวช.1/1</v>
      </c>
      <c r="D2485" s="3" t="str">
        <f>IFERROR(__xludf.DUMMYFUNCTION("""COMPUTED_VALUE"""),"อก.ปวช.1/1")</f>
        <v>อก.ปวช.1/1</v>
      </c>
      <c r="E2485" s="2" t="str">
        <f>IFERROR(__xludf.DUMMYFUNCTION("""COMPUTED_VALUE"""),"ชาย")</f>
        <v>ชาย</v>
      </c>
      <c r="F2485" s="5" t="str">
        <f>IFERROR(__xludf.DUMMYFUNCTION("""COMPUTED_VALUE"""),"https://azizstan.net/student_image_voc/6821910026.jpg")</f>
        <v>https://azizstan.net/student_image_voc/6821910026.jpg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>
      <c r="A2486" s="3" t="str">
        <f>IFERROR(__xludf.DUMMYFUNCTION("""COMPUTED_VALUE"""),"6821910027")</f>
        <v>6821910027</v>
      </c>
      <c r="B2486" s="3" t="str">
        <f>IFERROR(__xludf.DUMMYFUNCTION("""COMPUTED_VALUE"""),"นายฟัรฮาน รอยิง")</f>
        <v>นายฟัรฮาน รอยิง</v>
      </c>
      <c r="C2486" s="3" t="str">
        <f>IFERROR(__xludf.DUMMYFUNCTION("""COMPUTED_VALUE"""),"ปวช.1/1")</f>
        <v>ปวช.1/1</v>
      </c>
      <c r="D2486" s="3" t="str">
        <f>IFERROR(__xludf.DUMMYFUNCTION("""COMPUTED_VALUE"""),"อก.ปวช.1/1")</f>
        <v>อก.ปวช.1/1</v>
      </c>
      <c r="E2486" s="2" t="str">
        <f>IFERROR(__xludf.DUMMYFUNCTION("""COMPUTED_VALUE"""),"ชาย")</f>
        <v>ชาย</v>
      </c>
      <c r="F2486" s="5" t="str">
        <f>IFERROR(__xludf.DUMMYFUNCTION("""COMPUTED_VALUE"""),"https://azizstan.net/student_image_voc/6821910027.jpg")</f>
        <v>https://azizstan.net/student_image_voc/6821910027.jpg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>
      <c r="A2487" s="3" t="str">
        <f>IFERROR(__xludf.DUMMYFUNCTION("""COMPUTED_VALUE"""),"6821910028")</f>
        <v>6821910028</v>
      </c>
      <c r="B2487" s="3" t="str">
        <f>IFERROR(__xludf.DUMMYFUNCTION("""COMPUTED_VALUE"""),"นายอาลิฟ ดอเลาะ")</f>
        <v>นายอาลิฟ ดอเลาะ</v>
      </c>
      <c r="C2487" s="3" t="str">
        <f>IFERROR(__xludf.DUMMYFUNCTION("""COMPUTED_VALUE"""),"ปวช.1/1")</f>
        <v>ปวช.1/1</v>
      </c>
      <c r="D2487" s="3" t="str">
        <f>IFERROR(__xludf.DUMMYFUNCTION("""COMPUTED_VALUE"""),"อก.ปวช.1/1")</f>
        <v>อก.ปวช.1/1</v>
      </c>
      <c r="E2487" s="2" t="str">
        <f>IFERROR(__xludf.DUMMYFUNCTION("""COMPUTED_VALUE"""),"ชาย")</f>
        <v>ชาย</v>
      </c>
      <c r="F2487" s="5" t="str">
        <f>IFERROR(__xludf.DUMMYFUNCTION("""COMPUTED_VALUE"""),"https://azizstan.net/student_image_voc/6821910028.jpg")</f>
        <v>https://azizstan.net/student_image_voc/6821910028.jpg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>
      <c r="A2488" s="3" t="str">
        <f>IFERROR(__xludf.DUMMYFUNCTION("""COMPUTED_VALUE"""),"6821910031")</f>
        <v>6821910031</v>
      </c>
      <c r="B2488" s="3" t="str">
        <f>IFERROR(__xludf.DUMMYFUNCTION("""COMPUTED_VALUE"""),"นายอานัส แลแรมะ")</f>
        <v>นายอานัส แลแรมะ</v>
      </c>
      <c r="C2488" s="3" t="str">
        <f>IFERROR(__xludf.DUMMYFUNCTION("""COMPUTED_VALUE"""),"ปวช.1/1")</f>
        <v>ปวช.1/1</v>
      </c>
      <c r="D2488" s="3" t="str">
        <f>IFERROR(__xludf.DUMMYFUNCTION("""COMPUTED_VALUE"""),"อก.ปวช.1/1")</f>
        <v>อก.ปวช.1/1</v>
      </c>
      <c r="E2488" s="2" t="str">
        <f>IFERROR(__xludf.DUMMYFUNCTION("""COMPUTED_VALUE"""),"ชาย")</f>
        <v>ชาย</v>
      </c>
      <c r="F2488" s="5" t="str">
        <f>IFERROR(__xludf.DUMMYFUNCTION("""COMPUTED_VALUE"""),"https://azizstan.net/student_image_voc/6821910031.jpg")</f>
        <v>https://azizstan.net/student_image_voc/6821910031.jpg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</row>
    <row r="2489">
      <c r="A2489" s="3" t="str">
        <f>IFERROR(__xludf.DUMMYFUNCTION("""COMPUTED_VALUE"""),"6821910037")</f>
        <v>6821910037</v>
      </c>
      <c r="B2489" s="3" t="str">
        <f>IFERROR(__xludf.DUMMYFUNCTION("""COMPUTED_VALUE"""),"นายนาซิร์ เห็ง")</f>
        <v>นายนาซิร์ เห็ง</v>
      </c>
      <c r="C2489" s="3" t="str">
        <f>IFERROR(__xludf.DUMMYFUNCTION("""COMPUTED_VALUE"""),"ปวช.1/1")</f>
        <v>ปวช.1/1</v>
      </c>
      <c r="D2489" s="3" t="str">
        <f>IFERROR(__xludf.DUMMYFUNCTION("""COMPUTED_VALUE"""),"อก.ปวช.1/1")</f>
        <v>อก.ปวช.1/1</v>
      </c>
      <c r="E2489" s="2" t="str">
        <f>IFERROR(__xludf.DUMMYFUNCTION("""COMPUTED_VALUE"""),"ชาย")</f>
        <v>ชาย</v>
      </c>
      <c r="F2489" s="5" t="str">
        <f>IFERROR(__xludf.DUMMYFUNCTION("""COMPUTED_VALUE"""),"https://azizstan.net/student_image_voc/6821910037.jpg")</f>
        <v>https://azizstan.net/student_image_voc/6821910037.jpg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>
      <c r="A2490" s="3" t="str">
        <f>IFERROR(__xludf.DUMMYFUNCTION("""COMPUTED_VALUE"""),"6821910040")</f>
        <v>6821910040</v>
      </c>
      <c r="B2490" s="3" t="str">
        <f>IFERROR(__xludf.DUMMYFUNCTION("""COMPUTED_VALUE"""),"นายซอฟี แมเลาะ")</f>
        <v>นายซอฟี แมเลาะ</v>
      </c>
      <c r="C2490" s="3" t="str">
        <f>IFERROR(__xludf.DUMMYFUNCTION("""COMPUTED_VALUE"""),"ปวช.1/1")</f>
        <v>ปวช.1/1</v>
      </c>
      <c r="D2490" s="3" t="str">
        <f>IFERROR(__xludf.DUMMYFUNCTION("""COMPUTED_VALUE"""),"อก.ปวช.1/1")</f>
        <v>อก.ปวช.1/1</v>
      </c>
      <c r="E2490" s="2" t="str">
        <f>IFERROR(__xludf.DUMMYFUNCTION("""COMPUTED_VALUE"""),"ชาย")</f>
        <v>ชาย</v>
      </c>
      <c r="F2490" s="5" t="str">
        <f>IFERROR(__xludf.DUMMYFUNCTION("""COMPUTED_VALUE"""),"https://azizstan.net/student_image_voc/6821910040.jpg")</f>
        <v>https://azizstan.net/student_image_voc/6821910040.jpg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>
      <c r="A2491" s="3" t="str">
        <f>IFERROR(__xludf.DUMMYFUNCTION("""COMPUTED_VALUE"""),"6821910041")</f>
        <v>6821910041</v>
      </c>
      <c r="B2491" s="3" t="str">
        <f>IFERROR(__xludf.DUMMYFUNCTION("""COMPUTED_VALUE"""),"นายริฟฟา หัดกาเจ")</f>
        <v>นายริฟฟา หัดกาเจ</v>
      </c>
      <c r="C2491" s="3" t="str">
        <f>IFERROR(__xludf.DUMMYFUNCTION("""COMPUTED_VALUE"""),"ปวช.1/1")</f>
        <v>ปวช.1/1</v>
      </c>
      <c r="D2491" s="3" t="str">
        <f>IFERROR(__xludf.DUMMYFUNCTION("""COMPUTED_VALUE"""),"อก.ปวช.1/1")</f>
        <v>อก.ปวช.1/1</v>
      </c>
      <c r="E2491" s="2" t="str">
        <f>IFERROR(__xludf.DUMMYFUNCTION("""COMPUTED_VALUE"""),"ชาย")</f>
        <v>ชาย</v>
      </c>
      <c r="F2491" s="5" t="str">
        <f>IFERROR(__xludf.DUMMYFUNCTION("""COMPUTED_VALUE"""),"https://azizstan.net/student_image_voc/6821910041.jpg")</f>
        <v>https://azizstan.net/student_image_voc/6821910041.jpg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</row>
    <row r="2492">
      <c r="A2492" s="3" t="str">
        <f>IFERROR(__xludf.DUMMYFUNCTION("""COMPUTED_VALUE"""),"6821910042")</f>
        <v>6821910042</v>
      </c>
      <c r="B2492" s="3" t="str">
        <f>IFERROR(__xludf.DUMMYFUNCTION("""COMPUTED_VALUE"""),"นายอิบนูซาบิล ยามา")</f>
        <v>นายอิบนูซาบิล ยามา</v>
      </c>
      <c r="C2492" s="3" t="str">
        <f>IFERROR(__xludf.DUMMYFUNCTION("""COMPUTED_VALUE"""),"ปวช.1/1")</f>
        <v>ปวช.1/1</v>
      </c>
      <c r="D2492" s="3" t="str">
        <f>IFERROR(__xludf.DUMMYFUNCTION("""COMPUTED_VALUE"""),"อก.ปวช.1/1")</f>
        <v>อก.ปวช.1/1</v>
      </c>
      <c r="E2492" s="2" t="str">
        <f>IFERROR(__xludf.DUMMYFUNCTION("""COMPUTED_VALUE"""),"ชาย")</f>
        <v>ชาย</v>
      </c>
      <c r="F2492" s="5" t="str">
        <f>IFERROR(__xludf.DUMMYFUNCTION("""COMPUTED_VALUE"""),"https://azizstan.net/student_image_voc/6821910042.jpg")</f>
        <v>https://azizstan.net/student_image_voc/6821910042.jpg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>
      <c r="A2493" s="3" t="str">
        <f>IFERROR(__xludf.DUMMYFUNCTION("""COMPUTED_VALUE"""),"6821910043")</f>
        <v>6821910043</v>
      </c>
      <c r="B2493" s="3" t="str">
        <f>IFERROR(__xludf.DUMMYFUNCTION("""COMPUTED_VALUE"""),"นายบาดาวี ขุนโชติชู")</f>
        <v>นายบาดาวี ขุนโชติชู</v>
      </c>
      <c r="C2493" s="3" t="str">
        <f>IFERROR(__xludf.DUMMYFUNCTION("""COMPUTED_VALUE"""),"ปวช.1/1")</f>
        <v>ปวช.1/1</v>
      </c>
      <c r="D2493" s="3" t="str">
        <f>IFERROR(__xludf.DUMMYFUNCTION("""COMPUTED_VALUE"""),"อก.ปวช.1/1")</f>
        <v>อก.ปวช.1/1</v>
      </c>
      <c r="E2493" s="2" t="str">
        <f>IFERROR(__xludf.DUMMYFUNCTION("""COMPUTED_VALUE"""),"ชาย")</f>
        <v>ชาย</v>
      </c>
      <c r="F2493" s="5" t="str">
        <f>IFERROR(__xludf.DUMMYFUNCTION("""COMPUTED_VALUE"""),"https://azizstan.net/student_image_voc/6821910043.jpg")</f>
        <v>https://azizstan.net/student_image_voc/6821910043.jpg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>
      <c r="A2494" s="3" t="str">
        <f>IFERROR(__xludf.DUMMYFUNCTION("""COMPUTED_VALUE"""),"6821910051")</f>
        <v>6821910051</v>
      </c>
      <c r="B2494" s="3" t="str">
        <f>IFERROR(__xludf.DUMMYFUNCTION("""COMPUTED_VALUE"""),"นายอัฟการ สะแลแม")</f>
        <v>นายอัฟการ สะแลแม</v>
      </c>
      <c r="C2494" s="3" t="str">
        <f>IFERROR(__xludf.DUMMYFUNCTION("""COMPUTED_VALUE"""),"ปวช.1/1")</f>
        <v>ปวช.1/1</v>
      </c>
      <c r="D2494" s="3" t="str">
        <f>IFERROR(__xludf.DUMMYFUNCTION("""COMPUTED_VALUE"""),"อก.ปวช.1/1")</f>
        <v>อก.ปวช.1/1</v>
      </c>
      <c r="E2494" s="2" t="str">
        <f>IFERROR(__xludf.DUMMYFUNCTION("""COMPUTED_VALUE"""),"ชาย")</f>
        <v>ชาย</v>
      </c>
      <c r="F2494" s="5" t="str">
        <f>IFERROR(__xludf.DUMMYFUNCTION("""COMPUTED_VALUE"""),"https://azizstan.net/student_image_voc/6821910051.jpg")</f>
        <v>https://azizstan.net/student_image_voc/6821910051.jpg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</row>
    <row r="2495">
      <c r="A2495" s="3" t="str">
        <f>IFERROR(__xludf.DUMMYFUNCTION("""COMPUTED_VALUE"""),"6821910052")</f>
        <v>6821910052</v>
      </c>
      <c r="B2495" s="3" t="str">
        <f>IFERROR(__xludf.DUMMYFUNCTION("""COMPUTED_VALUE"""),"นายคอยรูณล์ สามะแล")</f>
        <v>นายคอยรูณล์ สามะแล</v>
      </c>
      <c r="C2495" s="3" t="str">
        <f>IFERROR(__xludf.DUMMYFUNCTION("""COMPUTED_VALUE"""),"ปวช.1/1")</f>
        <v>ปวช.1/1</v>
      </c>
      <c r="D2495" s="3" t="str">
        <f>IFERROR(__xludf.DUMMYFUNCTION("""COMPUTED_VALUE"""),"อก.ปวช.1/1")</f>
        <v>อก.ปวช.1/1</v>
      </c>
      <c r="E2495" s="2" t="str">
        <f>IFERROR(__xludf.DUMMYFUNCTION("""COMPUTED_VALUE"""),"ชาย")</f>
        <v>ชาย</v>
      </c>
      <c r="F2495" s="5" t="str">
        <f>IFERROR(__xludf.DUMMYFUNCTION("""COMPUTED_VALUE"""),"https://azizstan.net/student_image_voc/6821910052.jpg")</f>
        <v>https://azizstan.net/student_image_voc/6821910052.jpg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>
      <c r="A2496" s="3" t="str">
        <f>IFERROR(__xludf.DUMMYFUNCTION("""COMPUTED_VALUE"""),"6821910058")</f>
        <v>6821910058</v>
      </c>
      <c r="B2496" s="3" t="str">
        <f>IFERROR(__xludf.DUMMYFUNCTION("""COMPUTED_VALUE"""),"นายซูกีฟลี ปะจูเซ็ง")</f>
        <v>นายซูกีฟลี ปะจูเซ็ง</v>
      </c>
      <c r="C2496" s="3" t="str">
        <f>IFERROR(__xludf.DUMMYFUNCTION("""COMPUTED_VALUE"""),"ปวช.1/1")</f>
        <v>ปวช.1/1</v>
      </c>
      <c r="D2496" s="3" t="str">
        <f>IFERROR(__xludf.DUMMYFUNCTION("""COMPUTED_VALUE"""),"อก.ปวช.1/1")</f>
        <v>อก.ปวช.1/1</v>
      </c>
      <c r="E2496" s="2" t="str">
        <f>IFERROR(__xludf.DUMMYFUNCTION("""COMPUTED_VALUE"""),"ชาย")</f>
        <v>ชาย</v>
      </c>
      <c r="F2496" s="5" t="str">
        <f>IFERROR(__xludf.DUMMYFUNCTION("""COMPUTED_VALUE"""),"https://azizstan.net/student_image_voc/6821910058.jpg")</f>
        <v>https://azizstan.net/student_image_voc/6821910058.jpg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>
      <c r="A2497" s="3" t="str">
        <f>IFERROR(__xludf.DUMMYFUNCTION("""COMPUTED_VALUE"""),"6821910061")</f>
        <v>6821910061</v>
      </c>
      <c r="B2497" s="3" t="str">
        <f>IFERROR(__xludf.DUMMYFUNCTION("""COMPUTED_VALUE"""),"นายปองพล ขาเดร์")</f>
        <v>นายปองพล ขาเดร์</v>
      </c>
      <c r="C2497" s="3" t="str">
        <f>IFERROR(__xludf.DUMMYFUNCTION("""COMPUTED_VALUE"""),"ปวช.1/1")</f>
        <v>ปวช.1/1</v>
      </c>
      <c r="D2497" s="3" t="str">
        <f>IFERROR(__xludf.DUMMYFUNCTION("""COMPUTED_VALUE"""),"อก.ปวช.1/1")</f>
        <v>อก.ปวช.1/1</v>
      </c>
      <c r="E2497" s="2" t="str">
        <f>IFERROR(__xludf.DUMMYFUNCTION("""COMPUTED_VALUE"""),"ชาย")</f>
        <v>ชาย</v>
      </c>
      <c r="F2497" s="5" t="str">
        <f>IFERROR(__xludf.DUMMYFUNCTION("""COMPUTED_VALUE"""),"https://azizstan.net/student_image_voc/6821910061.jpg")</f>
        <v>https://azizstan.net/student_image_voc/6821910061.jpg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>
      <c r="A2498" s="3" t="str">
        <f>IFERROR(__xludf.DUMMYFUNCTION("""COMPUTED_VALUE"""),"6821910066")</f>
        <v>6821910066</v>
      </c>
      <c r="B2498" s="3" t="str">
        <f>IFERROR(__xludf.DUMMYFUNCTION("""COMPUTED_VALUE"""),"นายอีรฟาน ใบตาเย๊ะ")</f>
        <v>นายอีรฟาน ใบตาเย๊ะ</v>
      </c>
      <c r="C2498" s="3" t="str">
        <f>IFERROR(__xludf.DUMMYFUNCTION("""COMPUTED_VALUE"""),"ปวช.1/1")</f>
        <v>ปวช.1/1</v>
      </c>
      <c r="D2498" s="3" t="str">
        <f>IFERROR(__xludf.DUMMYFUNCTION("""COMPUTED_VALUE"""),"อก.ปวช.1/1")</f>
        <v>อก.ปวช.1/1</v>
      </c>
      <c r="E2498" s="2" t="str">
        <f>IFERROR(__xludf.DUMMYFUNCTION("""COMPUTED_VALUE"""),"ชาย")</f>
        <v>ชาย</v>
      </c>
      <c r="F2498" s="5" t="str">
        <f>IFERROR(__xludf.DUMMYFUNCTION("""COMPUTED_VALUE"""),"https://azizstan.net/student_image_voc/6821910066.jpg")</f>
        <v>https://azizstan.net/student_image_voc/6821910066.jpg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>
      <c r="A2499" s="3" t="str">
        <f>IFERROR(__xludf.DUMMYFUNCTION("""COMPUTED_VALUE"""),"6821910067")</f>
        <v>6821910067</v>
      </c>
      <c r="B2499" s="3" t="str">
        <f>IFERROR(__xludf.DUMMYFUNCTION("""COMPUTED_VALUE"""),"นายอัลฆอฟฟาร สะนิ")</f>
        <v>นายอัลฆอฟฟาร สะนิ</v>
      </c>
      <c r="C2499" s="3" t="str">
        <f>IFERROR(__xludf.DUMMYFUNCTION("""COMPUTED_VALUE"""),"ปวช.1/1")</f>
        <v>ปวช.1/1</v>
      </c>
      <c r="D2499" s="3" t="str">
        <f>IFERROR(__xludf.DUMMYFUNCTION("""COMPUTED_VALUE"""),"อก.ปวช.1/1")</f>
        <v>อก.ปวช.1/1</v>
      </c>
      <c r="E2499" s="2" t="str">
        <f>IFERROR(__xludf.DUMMYFUNCTION("""COMPUTED_VALUE"""),"ชาย")</f>
        <v>ชาย</v>
      </c>
      <c r="F2499" s="5" t="str">
        <f>IFERROR(__xludf.DUMMYFUNCTION("""COMPUTED_VALUE"""),"https://azizstan.net/student_image_voc/6821910067.jpg")</f>
        <v>https://azizstan.net/student_image_voc/6821910067.jpg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>
      <c r="A2500" s="3" t="str">
        <f>IFERROR(__xludf.DUMMYFUNCTION("""COMPUTED_VALUE"""),"6821910068")</f>
        <v>6821910068</v>
      </c>
      <c r="B2500" s="3" t="str">
        <f>IFERROR(__xludf.DUMMYFUNCTION("""COMPUTED_VALUE"""),"นายอิรฟาน อุเซ็ง")</f>
        <v>นายอิรฟาน อุเซ็ง</v>
      </c>
      <c r="C2500" s="3" t="str">
        <f>IFERROR(__xludf.DUMMYFUNCTION("""COMPUTED_VALUE"""),"ปวช.1/1")</f>
        <v>ปวช.1/1</v>
      </c>
      <c r="D2500" s="3" t="str">
        <f>IFERROR(__xludf.DUMMYFUNCTION("""COMPUTED_VALUE"""),"อก.ปวช.1/1")</f>
        <v>อก.ปวช.1/1</v>
      </c>
      <c r="E2500" s="2" t="str">
        <f>IFERROR(__xludf.DUMMYFUNCTION("""COMPUTED_VALUE"""),"ชาย")</f>
        <v>ชาย</v>
      </c>
      <c r="F2500" s="5" t="str">
        <f>IFERROR(__xludf.DUMMYFUNCTION("""COMPUTED_VALUE"""),"https://azizstan.net/student_image_voc/6821910068.jpg")</f>
        <v>https://azizstan.net/student_image_voc/6821910068.jpg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</row>
    <row r="2501">
      <c r="A2501" s="3" t="str">
        <f>IFERROR(__xludf.DUMMYFUNCTION("""COMPUTED_VALUE"""),"6821910001")</f>
        <v>6821910001</v>
      </c>
      <c r="B2501" s="3" t="str">
        <f>IFERROR(__xludf.DUMMYFUNCTION("""COMPUTED_VALUE"""),"น.ส.ฮุสนา ยีสะมะแอ")</f>
        <v>น.ส.ฮุสนา ยีสะมะแอ</v>
      </c>
      <c r="C2501" s="3" t="str">
        <f>IFERROR(__xludf.DUMMYFUNCTION("""COMPUTED_VALUE"""),"ปวช.1/2")</f>
        <v>ปวช.1/2</v>
      </c>
      <c r="D2501" s="3" t="str">
        <f>IFERROR(__xludf.DUMMYFUNCTION("""COMPUTED_VALUE"""),"อก.ปวช.1/2")</f>
        <v>อก.ปวช.1/2</v>
      </c>
      <c r="E2501" s="2" t="str">
        <f>IFERROR(__xludf.DUMMYFUNCTION("""COMPUTED_VALUE"""),"หญิง")</f>
        <v>หญิง</v>
      </c>
      <c r="F2501" s="5" t="str">
        <f>IFERROR(__xludf.DUMMYFUNCTION("""COMPUTED_VALUE"""),"https://azizstan.net/student_image_voc/6821910001.jpg")</f>
        <v>https://azizstan.net/student_image_voc/6821910001.jpg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>
      <c r="A2502" s="3" t="str">
        <f>IFERROR(__xludf.DUMMYFUNCTION("""COMPUTED_VALUE"""),"6821910002")</f>
        <v>6821910002</v>
      </c>
      <c r="B2502" s="3" t="str">
        <f>IFERROR(__xludf.DUMMYFUNCTION("""COMPUTED_VALUE"""),"น.ส.อามานี ชายแผะ")</f>
        <v>น.ส.อามานี ชายแผะ</v>
      </c>
      <c r="C2502" s="3" t="str">
        <f>IFERROR(__xludf.DUMMYFUNCTION("""COMPUTED_VALUE"""),"ปวช.1/2")</f>
        <v>ปวช.1/2</v>
      </c>
      <c r="D2502" s="3" t="str">
        <f>IFERROR(__xludf.DUMMYFUNCTION("""COMPUTED_VALUE"""),"อก.ปวช.1/2")</f>
        <v>อก.ปวช.1/2</v>
      </c>
      <c r="E2502" s="2" t="str">
        <f>IFERROR(__xludf.DUMMYFUNCTION("""COMPUTED_VALUE"""),"หญิง")</f>
        <v>หญิง</v>
      </c>
      <c r="F2502" s="5" t="str">
        <f>IFERROR(__xludf.DUMMYFUNCTION("""COMPUTED_VALUE"""),"https://azizstan.net/student_image_voc/6821910002.jpg")</f>
        <v>https://azizstan.net/student_image_voc/6821910002.jpg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>
      <c r="A2503" s="3" t="str">
        <f>IFERROR(__xludf.DUMMYFUNCTION("""COMPUTED_VALUE"""),"6821910003")</f>
        <v>6821910003</v>
      </c>
      <c r="B2503" s="3" t="str">
        <f>IFERROR(__xludf.DUMMYFUNCTION("""COMPUTED_VALUE"""),"น.ส.อิบตีซาร อุมาร์")</f>
        <v>น.ส.อิบตีซาร อุมาร์</v>
      </c>
      <c r="C2503" s="3" t="str">
        <f>IFERROR(__xludf.DUMMYFUNCTION("""COMPUTED_VALUE"""),"ปวช.1/2")</f>
        <v>ปวช.1/2</v>
      </c>
      <c r="D2503" s="3" t="str">
        <f>IFERROR(__xludf.DUMMYFUNCTION("""COMPUTED_VALUE"""),"อก.ปวช.1/2")</f>
        <v>อก.ปวช.1/2</v>
      </c>
      <c r="E2503" s="2" t="str">
        <f>IFERROR(__xludf.DUMMYFUNCTION("""COMPUTED_VALUE"""),"หญิง")</f>
        <v>หญิง</v>
      </c>
      <c r="F2503" s="5" t="str">
        <f>IFERROR(__xludf.DUMMYFUNCTION("""COMPUTED_VALUE"""),"https://azizstan.net/student_image_voc/6821910003.jpg")</f>
        <v>https://azizstan.net/student_image_voc/6821910003.jpg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</row>
    <row r="2504">
      <c r="A2504" s="3" t="str">
        <f>IFERROR(__xludf.DUMMYFUNCTION("""COMPUTED_VALUE"""),"6821910004")</f>
        <v>6821910004</v>
      </c>
      <c r="B2504" s="3" t="str">
        <f>IFERROR(__xludf.DUMMYFUNCTION("""COMPUTED_VALUE"""),"น.ส.ซูรียานี มีนา")</f>
        <v>น.ส.ซูรียานี มีนา</v>
      </c>
      <c r="C2504" s="3" t="str">
        <f>IFERROR(__xludf.DUMMYFUNCTION("""COMPUTED_VALUE"""),"ปวช.1/2")</f>
        <v>ปวช.1/2</v>
      </c>
      <c r="D2504" s="3" t="str">
        <f>IFERROR(__xludf.DUMMYFUNCTION("""COMPUTED_VALUE"""),"อก.ปวช.1/2")</f>
        <v>อก.ปวช.1/2</v>
      </c>
      <c r="E2504" s="2" t="str">
        <f>IFERROR(__xludf.DUMMYFUNCTION("""COMPUTED_VALUE"""),"หญิง")</f>
        <v>หญิง</v>
      </c>
      <c r="F2504" s="5" t="str">
        <f>IFERROR(__xludf.DUMMYFUNCTION("""COMPUTED_VALUE"""),"https://azizstan.net/student_image_voc/6821910004.jpg")</f>
        <v>https://azizstan.net/student_image_voc/6821910004.jpg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</row>
    <row r="2505">
      <c r="A2505" s="3" t="str">
        <f>IFERROR(__xludf.DUMMYFUNCTION("""COMPUTED_VALUE"""),"6821910005")</f>
        <v>6821910005</v>
      </c>
      <c r="B2505" s="3" t="str">
        <f>IFERROR(__xludf.DUMMYFUNCTION("""COMPUTED_VALUE"""),"น.ส.รินเดียร์นี สาเล็ง")</f>
        <v>น.ส.รินเดียร์นี สาเล็ง</v>
      </c>
      <c r="C2505" s="3" t="str">
        <f>IFERROR(__xludf.DUMMYFUNCTION("""COMPUTED_VALUE"""),"ปวช.1/2")</f>
        <v>ปวช.1/2</v>
      </c>
      <c r="D2505" s="3" t="str">
        <f>IFERROR(__xludf.DUMMYFUNCTION("""COMPUTED_VALUE"""),"อก.ปวช.1/2")</f>
        <v>อก.ปวช.1/2</v>
      </c>
      <c r="E2505" s="2" t="str">
        <f>IFERROR(__xludf.DUMMYFUNCTION("""COMPUTED_VALUE"""),"หญิง")</f>
        <v>หญิง</v>
      </c>
      <c r="F2505" s="5" t="str">
        <f>IFERROR(__xludf.DUMMYFUNCTION("""COMPUTED_VALUE"""),"https://azizstan.net/student_image_voc/6821910005.jpg")</f>
        <v>https://azizstan.net/student_image_voc/6821910005.jpg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</row>
    <row r="2506">
      <c r="A2506" s="3" t="str">
        <f>IFERROR(__xludf.DUMMYFUNCTION("""COMPUTED_VALUE"""),"6821910006")</f>
        <v>6821910006</v>
      </c>
      <c r="B2506" s="3" t="str">
        <f>IFERROR(__xludf.DUMMYFUNCTION("""COMPUTED_VALUE"""),"น.ส.นาริณ แก้วส่าเหระ")</f>
        <v>น.ส.นาริณ แก้วส่าเหระ</v>
      </c>
      <c r="C2506" s="3" t="str">
        <f>IFERROR(__xludf.DUMMYFUNCTION("""COMPUTED_VALUE"""),"ปวช.1/2")</f>
        <v>ปวช.1/2</v>
      </c>
      <c r="D2506" s="3" t="str">
        <f>IFERROR(__xludf.DUMMYFUNCTION("""COMPUTED_VALUE"""),"อก.ปวช.1/2")</f>
        <v>อก.ปวช.1/2</v>
      </c>
      <c r="E2506" s="2" t="str">
        <f>IFERROR(__xludf.DUMMYFUNCTION("""COMPUTED_VALUE"""),"หญิง")</f>
        <v>หญิง</v>
      </c>
      <c r="F2506" s="5" t="str">
        <f>IFERROR(__xludf.DUMMYFUNCTION("""COMPUTED_VALUE"""),"https://azizstan.net/student_image_voc/6821910006.jpg")</f>
        <v>https://azizstan.net/student_image_voc/6821910006.jpg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</row>
    <row r="2507">
      <c r="A2507" s="3" t="str">
        <f>IFERROR(__xludf.DUMMYFUNCTION("""COMPUTED_VALUE"""),"6821910007")</f>
        <v>6821910007</v>
      </c>
      <c r="B2507" s="3" t="str">
        <f>IFERROR(__xludf.DUMMYFUNCTION("""COMPUTED_VALUE"""),"น.ส.ฮุสนา ปูเต๊ะ")</f>
        <v>น.ส.ฮุสนา ปูเต๊ะ</v>
      </c>
      <c r="C2507" s="3" t="str">
        <f>IFERROR(__xludf.DUMMYFUNCTION("""COMPUTED_VALUE"""),"ปวช.1/2")</f>
        <v>ปวช.1/2</v>
      </c>
      <c r="D2507" s="3" t="str">
        <f>IFERROR(__xludf.DUMMYFUNCTION("""COMPUTED_VALUE"""),"อก.ปวช.1/2")</f>
        <v>อก.ปวช.1/2</v>
      </c>
      <c r="E2507" s="2" t="str">
        <f>IFERROR(__xludf.DUMMYFUNCTION("""COMPUTED_VALUE"""),"หญิง")</f>
        <v>หญิง</v>
      </c>
      <c r="F2507" s="5" t="str">
        <f>IFERROR(__xludf.DUMMYFUNCTION("""COMPUTED_VALUE"""),"https://azizstan.net/student_image_voc/6821910007.jpg")</f>
        <v>https://azizstan.net/student_image_voc/6821910007.jpg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</row>
    <row r="2508">
      <c r="A2508" s="3" t="str">
        <f>IFERROR(__xludf.DUMMYFUNCTION("""COMPUTED_VALUE"""),"6821910008")</f>
        <v>6821910008</v>
      </c>
      <c r="B2508" s="3" t="str">
        <f>IFERROR(__xludf.DUMMYFUNCTION("""COMPUTED_VALUE"""),"น.ส.ซูมีรา มามะ")</f>
        <v>น.ส.ซูมีรา มามะ</v>
      </c>
      <c r="C2508" s="3" t="str">
        <f>IFERROR(__xludf.DUMMYFUNCTION("""COMPUTED_VALUE"""),"ปวช.1/2")</f>
        <v>ปวช.1/2</v>
      </c>
      <c r="D2508" s="3" t="str">
        <f>IFERROR(__xludf.DUMMYFUNCTION("""COMPUTED_VALUE"""),"อก.ปวช.1/2")</f>
        <v>อก.ปวช.1/2</v>
      </c>
      <c r="E2508" s="2" t="str">
        <f>IFERROR(__xludf.DUMMYFUNCTION("""COMPUTED_VALUE"""),"หญิง")</f>
        <v>หญิง</v>
      </c>
      <c r="F2508" s="5" t="str">
        <f>IFERROR(__xludf.DUMMYFUNCTION("""COMPUTED_VALUE"""),"https://azizstan.net/student_image_voc/6821910008.jpg")</f>
        <v>https://azizstan.net/student_image_voc/6821910008.jpg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>
      <c r="A2509" s="3" t="str">
        <f>IFERROR(__xludf.DUMMYFUNCTION("""COMPUTED_VALUE"""),"6821910009")</f>
        <v>6821910009</v>
      </c>
      <c r="B2509" s="3" t="str">
        <f>IFERROR(__xludf.DUMMYFUNCTION("""COMPUTED_VALUE"""),"น.ส.โซเฟีย ดะเจะตู")</f>
        <v>น.ส.โซเฟีย ดะเจะตู</v>
      </c>
      <c r="C2509" s="3" t="str">
        <f>IFERROR(__xludf.DUMMYFUNCTION("""COMPUTED_VALUE"""),"ปวช.1/2")</f>
        <v>ปวช.1/2</v>
      </c>
      <c r="D2509" s="3" t="str">
        <f>IFERROR(__xludf.DUMMYFUNCTION("""COMPUTED_VALUE"""),"อก.ปวช.1/2")</f>
        <v>อก.ปวช.1/2</v>
      </c>
      <c r="E2509" s="2" t="str">
        <f>IFERROR(__xludf.DUMMYFUNCTION("""COMPUTED_VALUE"""),"หญิง")</f>
        <v>หญิง</v>
      </c>
      <c r="F2509" s="5" t="str">
        <f>IFERROR(__xludf.DUMMYFUNCTION("""COMPUTED_VALUE"""),"https://azizstan.net/student_image_voc/6821910009.jpg")</f>
        <v>https://azizstan.net/student_image_voc/6821910009.jpg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</row>
    <row r="2510">
      <c r="A2510" s="3" t="str">
        <f>IFERROR(__xludf.DUMMYFUNCTION("""COMPUTED_VALUE"""),"6821910011")</f>
        <v>6821910011</v>
      </c>
      <c r="B2510" s="3" t="str">
        <f>IFERROR(__xludf.DUMMYFUNCTION("""COMPUTED_VALUE"""),"น.ส.นุรฟิตรี เจ๊ะอูมา")</f>
        <v>น.ส.นุรฟิตรี เจ๊ะอูมา</v>
      </c>
      <c r="C2510" s="3" t="str">
        <f>IFERROR(__xludf.DUMMYFUNCTION("""COMPUTED_VALUE"""),"ปวช.1/2")</f>
        <v>ปวช.1/2</v>
      </c>
      <c r="D2510" s="3" t="str">
        <f>IFERROR(__xludf.DUMMYFUNCTION("""COMPUTED_VALUE"""),"อก.ปวช.1/2")</f>
        <v>อก.ปวช.1/2</v>
      </c>
      <c r="E2510" s="2" t="str">
        <f>IFERROR(__xludf.DUMMYFUNCTION("""COMPUTED_VALUE"""),"หญิง")</f>
        <v>หญิง</v>
      </c>
      <c r="F2510" s="5" t="str">
        <f>IFERROR(__xludf.DUMMYFUNCTION("""COMPUTED_VALUE"""),"https://azizstan.net/student_image_voc/6821910011.jpg")</f>
        <v>https://azizstan.net/student_image_voc/6821910011.jpg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>
      <c r="A2511" s="3" t="str">
        <f>IFERROR(__xludf.DUMMYFUNCTION("""COMPUTED_VALUE"""),"6821910012")</f>
        <v>6821910012</v>
      </c>
      <c r="B2511" s="3" t="str">
        <f>IFERROR(__xludf.DUMMYFUNCTION("""COMPUTED_VALUE"""),"น.ส.ซิดะณีย์ หวันนิ")</f>
        <v>น.ส.ซิดะณีย์ หวันนิ</v>
      </c>
      <c r="C2511" s="3" t="str">
        <f>IFERROR(__xludf.DUMMYFUNCTION("""COMPUTED_VALUE"""),"ปวช.1/2")</f>
        <v>ปวช.1/2</v>
      </c>
      <c r="D2511" s="3" t="str">
        <f>IFERROR(__xludf.DUMMYFUNCTION("""COMPUTED_VALUE"""),"อก.ปวช.1/2")</f>
        <v>อก.ปวช.1/2</v>
      </c>
      <c r="E2511" s="2" t="str">
        <f>IFERROR(__xludf.DUMMYFUNCTION("""COMPUTED_VALUE"""),"หญิง")</f>
        <v>หญิง</v>
      </c>
      <c r="F2511" s="5" t="str">
        <f>IFERROR(__xludf.DUMMYFUNCTION("""COMPUTED_VALUE"""),"https://azizstan.net/student_image_voc/6821910012.jpg")</f>
        <v>https://azizstan.net/student_image_voc/6821910012.jpg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>
      <c r="A2512" s="3" t="str">
        <f>IFERROR(__xludf.DUMMYFUNCTION("""COMPUTED_VALUE"""),"6821910014")</f>
        <v>6821910014</v>
      </c>
      <c r="B2512" s="3" t="str">
        <f>IFERROR(__xludf.DUMMYFUNCTION("""COMPUTED_VALUE"""),"น.ส.ศิรานุช จิตเรือ")</f>
        <v>น.ส.ศิรานุช จิตเรือ</v>
      </c>
      <c r="C2512" s="3" t="str">
        <f>IFERROR(__xludf.DUMMYFUNCTION("""COMPUTED_VALUE"""),"ปวช.1/2")</f>
        <v>ปวช.1/2</v>
      </c>
      <c r="D2512" s="3" t="str">
        <f>IFERROR(__xludf.DUMMYFUNCTION("""COMPUTED_VALUE"""),"อก.ปวช.1/2")</f>
        <v>อก.ปวช.1/2</v>
      </c>
      <c r="E2512" s="2" t="str">
        <f>IFERROR(__xludf.DUMMYFUNCTION("""COMPUTED_VALUE"""),"หญิง")</f>
        <v>หญิง</v>
      </c>
      <c r="F2512" s="5" t="str">
        <f>IFERROR(__xludf.DUMMYFUNCTION("""COMPUTED_VALUE"""),"https://azizstan.net/student_image_voc/6821910014.jpg")</f>
        <v>https://azizstan.net/student_image_voc/6821910014.jpg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</row>
    <row r="2513">
      <c r="A2513" s="3" t="str">
        <f>IFERROR(__xludf.DUMMYFUNCTION("""COMPUTED_VALUE"""),"6821910017")</f>
        <v>6821910017</v>
      </c>
      <c r="B2513" s="3" t="str">
        <f>IFERROR(__xludf.DUMMYFUNCTION("""COMPUTED_VALUE"""),"น.ส.ซามีรา แอหัส")</f>
        <v>น.ส.ซามีรา แอหัส</v>
      </c>
      <c r="C2513" s="3" t="str">
        <f>IFERROR(__xludf.DUMMYFUNCTION("""COMPUTED_VALUE"""),"ปวช.1/2")</f>
        <v>ปวช.1/2</v>
      </c>
      <c r="D2513" s="3" t="str">
        <f>IFERROR(__xludf.DUMMYFUNCTION("""COMPUTED_VALUE"""),"อก.ปวช.1/2")</f>
        <v>อก.ปวช.1/2</v>
      </c>
      <c r="E2513" s="2" t="str">
        <f>IFERROR(__xludf.DUMMYFUNCTION("""COMPUTED_VALUE"""),"หญิง")</f>
        <v>หญิง</v>
      </c>
      <c r="F2513" s="5" t="str">
        <f>IFERROR(__xludf.DUMMYFUNCTION("""COMPUTED_VALUE"""),"https://azizstan.net/student_image_voc/6821910017.jpg")</f>
        <v>https://azizstan.net/student_image_voc/6821910017.jpg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>
      <c r="A2514" s="3" t="str">
        <f>IFERROR(__xludf.DUMMYFUNCTION("""COMPUTED_VALUE"""),"6821910019")</f>
        <v>6821910019</v>
      </c>
      <c r="B2514" s="3" t="str">
        <f>IFERROR(__xludf.DUMMYFUNCTION("""COMPUTED_VALUE"""),"น.ส.ยัสมี อารง")</f>
        <v>น.ส.ยัสมี อารง</v>
      </c>
      <c r="C2514" s="3" t="str">
        <f>IFERROR(__xludf.DUMMYFUNCTION("""COMPUTED_VALUE"""),"ปวช.1/2")</f>
        <v>ปวช.1/2</v>
      </c>
      <c r="D2514" s="3" t="str">
        <f>IFERROR(__xludf.DUMMYFUNCTION("""COMPUTED_VALUE"""),"อก.ปวช.1/2")</f>
        <v>อก.ปวช.1/2</v>
      </c>
      <c r="E2514" s="2" t="str">
        <f>IFERROR(__xludf.DUMMYFUNCTION("""COMPUTED_VALUE"""),"หญิง")</f>
        <v>หญิง</v>
      </c>
      <c r="F2514" s="5" t="str">
        <f>IFERROR(__xludf.DUMMYFUNCTION("""COMPUTED_VALUE"""),"https://azizstan.net/student_image_voc/6821910019.jpg")</f>
        <v>https://azizstan.net/student_image_voc/6821910019.jpg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</row>
    <row r="2515">
      <c r="A2515" s="3" t="str">
        <f>IFERROR(__xludf.DUMMYFUNCTION("""COMPUTED_VALUE"""),"6821910020")</f>
        <v>6821910020</v>
      </c>
      <c r="B2515" s="3" t="str">
        <f>IFERROR(__xludf.DUMMYFUNCTION("""COMPUTED_VALUE"""),"น.ส.ไฮฟะ กาแบ")</f>
        <v>น.ส.ไฮฟะ กาแบ</v>
      </c>
      <c r="C2515" s="3" t="str">
        <f>IFERROR(__xludf.DUMMYFUNCTION("""COMPUTED_VALUE"""),"ปวช.1/2")</f>
        <v>ปวช.1/2</v>
      </c>
      <c r="D2515" s="3" t="str">
        <f>IFERROR(__xludf.DUMMYFUNCTION("""COMPUTED_VALUE"""),"อก.ปวช.1/2")</f>
        <v>อก.ปวช.1/2</v>
      </c>
      <c r="E2515" s="2" t="str">
        <f>IFERROR(__xludf.DUMMYFUNCTION("""COMPUTED_VALUE"""),"หญิง")</f>
        <v>หญิง</v>
      </c>
      <c r="F2515" s="5" t="str">
        <f>IFERROR(__xludf.DUMMYFUNCTION("""COMPUTED_VALUE"""),"https://azizstan.net/student_image_voc/6821910020.jpg")</f>
        <v>https://azizstan.net/student_image_voc/6821910020.jpg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>
      <c r="A2516" s="3" t="str">
        <f>IFERROR(__xludf.DUMMYFUNCTION("""COMPUTED_VALUE"""),"6821910024")</f>
        <v>6821910024</v>
      </c>
      <c r="B2516" s="3" t="str">
        <f>IFERROR(__xludf.DUMMYFUNCTION("""COMPUTED_VALUE"""),"น.ส.นูรไลลา บางปู")</f>
        <v>น.ส.นูรไลลา บางปู</v>
      </c>
      <c r="C2516" s="3" t="str">
        <f>IFERROR(__xludf.DUMMYFUNCTION("""COMPUTED_VALUE"""),"ปวช.1/2")</f>
        <v>ปวช.1/2</v>
      </c>
      <c r="D2516" s="3" t="str">
        <f>IFERROR(__xludf.DUMMYFUNCTION("""COMPUTED_VALUE"""),"อก.ปวช.1/2")</f>
        <v>อก.ปวช.1/2</v>
      </c>
      <c r="E2516" s="2" t="str">
        <f>IFERROR(__xludf.DUMMYFUNCTION("""COMPUTED_VALUE"""),"หญิง")</f>
        <v>หญิง</v>
      </c>
      <c r="F2516" s="5" t="str">
        <f>IFERROR(__xludf.DUMMYFUNCTION("""COMPUTED_VALUE"""),"https://azizstan.net/student_image_voc/6821910024.jpg")</f>
        <v>https://azizstan.net/student_image_voc/6821910024.jpg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</row>
    <row r="2517">
      <c r="A2517" s="3" t="str">
        <f>IFERROR(__xludf.DUMMYFUNCTION("""COMPUTED_VALUE"""),"6821910029")</f>
        <v>6821910029</v>
      </c>
      <c r="B2517" s="3" t="str">
        <f>IFERROR(__xludf.DUMMYFUNCTION("""COMPUTED_VALUE"""),"น.ส.มุมีนัต ดาโหะมุสอ")</f>
        <v>น.ส.มุมีนัต ดาโหะมุสอ</v>
      </c>
      <c r="C2517" s="3" t="str">
        <f>IFERROR(__xludf.DUMMYFUNCTION("""COMPUTED_VALUE"""),"ปวช.1/2")</f>
        <v>ปวช.1/2</v>
      </c>
      <c r="D2517" s="3" t="str">
        <f>IFERROR(__xludf.DUMMYFUNCTION("""COMPUTED_VALUE"""),"อก.ปวช.1/2")</f>
        <v>อก.ปวช.1/2</v>
      </c>
      <c r="E2517" s="2" t="str">
        <f>IFERROR(__xludf.DUMMYFUNCTION("""COMPUTED_VALUE"""),"หญิง")</f>
        <v>หญิง</v>
      </c>
      <c r="F2517" s="5" t="str">
        <f>IFERROR(__xludf.DUMMYFUNCTION("""COMPUTED_VALUE"""),"https://azizstan.net/student_image_voc/6821910029.jpg")</f>
        <v>https://azizstan.net/student_image_voc/6821910029.jpg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>
      <c r="A2518" s="3" t="str">
        <f>IFERROR(__xludf.DUMMYFUNCTION("""COMPUTED_VALUE"""),"6821910032")</f>
        <v>6821910032</v>
      </c>
      <c r="B2518" s="3" t="str">
        <f>IFERROR(__xludf.DUMMYFUNCTION("""COMPUTED_VALUE"""),"น.ส.นูรุลวาฮีดา หมัดเหระ")</f>
        <v>น.ส.นูรุลวาฮีดา หมัดเหระ</v>
      </c>
      <c r="C2518" s="3" t="str">
        <f>IFERROR(__xludf.DUMMYFUNCTION("""COMPUTED_VALUE"""),"ปวช.1/2")</f>
        <v>ปวช.1/2</v>
      </c>
      <c r="D2518" s="3" t="str">
        <f>IFERROR(__xludf.DUMMYFUNCTION("""COMPUTED_VALUE"""),"อก.ปวช.1/2")</f>
        <v>อก.ปวช.1/2</v>
      </c>
      <c r="E2518" s="2" t="str">
        <f>IFERROR(__xludf.DUMMYFUNCTION("""COMPUTED_VALUE"""),"หญิง")</f>
        <v>หญิง</v>
      </c>
      <c r="F2518" s="5" t="str">
        <f>IFERROR(__xludf.DUMMYFUNCTION("""COMPUTED_VALUE"""),"https://azizstan.net/student_image_voc/6821910032.jpg")</f>
        <v>https://azizstan.net/student_image_voc/6821910032.jpg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>
      <c r="A2519" s="3" t="str">
        <f>IFERROR(__xludf.DUMMYFUNCTION("""COMPUTED_VALUE"""),"6821910036")</f>
        <v>6821910036</v>
      </c>
      <c r="B2519" s="3" t="str">
        <f>IFERROR(__xludf.DUMMYFUNCTION("""COMPUTED_VALUE"""),"น.ส.ฟิรดาวส์ ลือบาน๊ะ")</f>
        <v>น.ส.ฟิรดาวส์ ลือบาน๊ะ</v>
      </c>
      <c r="C2519" s="3" t="str">
        <f>IFERROR(__xludf.DUMMYFUNCTION("""COMPUTED_VALUE"""),"ปวช.1/2")</f>
        <v>ปวช.1/2</v>
      </c>
      <c r="D2519" s="3" t="str">
        <f>IFERROR(__xludf.DUMMYFUNCTION("""COMPUTED_VALUE"""),"อก.ปวช.1/2")</f>
        <v>อก.ปวช.1/2</v>
      </c>
      <c r="E2519" s="2" t="str">
        <f>IFERROR(__xludf.DUMMYFUNCTION("""COMPUTED_VALUE"""),"หญิง")</f>
        <v>หญิง</v>
      </c>
      <c r="F2519" s="5" t="str">
        <f>IFERROR(__xludf.DUMMYFUNCTION("""COMPUTED_VALUE"""),"https://azizstan.net/student_image_voc/6821910036.jpg")</f>
        <v>https://azizstan.net/student_image_voc/6821910036.jpg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>
      <c r="A2520" s="3" t="str">
        <f>IFERROR(__xludf.DUMMYFUNCTION("""COMPUTED_VALUE"""),"6821910045")</f>
        <v>6821910045</v>
      </c>
      <c r="B2520" s="3" t="str">
        <f>IFERROR(__xludf.DUMMYFUNCTION("""COMPUTED_VALUE"""),"น.ส.ซูไฮลา ยามา")</f>
        <v>น.ส.ซูไฮลา ยามา</v>
      </c>
      <c r="C2520" s="3" t="str">
        <f>IFERROR(__xludf.DUMMYFUNCTION("""COMPUTED_VALUE"""),"ปวช.1/2")</f>
        <v>ปวช.1/2</v>
      </c>
      <c r="D2520" s="3" t="str">
        <f>IFERROR(__xludf.DUMMYFUNCTION("""COMPUTED_VALUE"""),"อก.ปวช.1/2")</f>
        <v>อก.ปวช.1/2</v>
      </c>
      <c r="E2520" s="2" t="str">
        <f>IFERROR(__xludf.DUMMYFUNCTION("""COMPUTED_VALUE"""),"หญิง")</f>
        <v>หญิง</v>
      </c>
      <c r="F2520" s="5" t="str">
        <f>IFERROR(__xludf.DUMMYFUNCTION("""COMPUTED_VALUE"""),"https://azizstan.net/student_image_voc/6821910045.jpg")</f>
        <v>https://azizstan.net/student_image_voc/6821910045.jpg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>
      <c r="A2521" s="3" t="str">
        <f>IFERROR(__xludf.DUMMYFUNCTION("""COMPUTED_VALUE"""),"6821910046")</f>
        <v>6821910046</v>
      </c>
      <c r="B2521" s="3" t="str">
        <f>IFERROR(__xludf.DUMMYFUNCTION("""COMPUTED_VALUE"""),"น.ส.ฮานีฟา หะยีดอเลาะ")</f>
        <v>น.ส.ฮานีฟา หะยีดอเลาะ</v>
      </c>
      <c r="C2521" s="3" t="str">
        <f>IFERROR(__xludf.DUMMYFUNCTION("""COMPUTED_VALUE"""),"ปวช.1/2")</f>
        <v>ปวช.1/2</v>
      </c>
      <c r="D2521" s="3" t="str">
        <f>IFERROR(__xludf.DUMMYFUNCTION("""COMPUTED_VALUE"""),"อก.ปวช.1/2")</f>
        <v>อก.ปวช.1/2</v>
      </c>
      <c r="E2521" s="2" t="str">
        <f>IFERROR(__xludf.DUMMYFUNCTION("""COMPUTED_VALUE"""),"หญิง")</f>
        <v>หญิง</v>
      </c>
      <c r="F2521" s="5" t="str">
        <f>IFERROR(__xludf.DUMMYFUNCTION("""COMPUTED_VALUE"""),"https://azizstan.net/student_image_voc/6821910046.jpg")</f>
        <v>https://azizstan.net/student_image_voc/6821910046.jpg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>
      <c r="A2522" s="3" t="str">
        <f>IFERROR(__xludf.DUMMYFUNCTION("""COMPUTED_VALUE"""),"6821910047")</f>
        <v>6821910047</v>
      </c>
      <c r="B2522" s="3" t="str">
        <f>IFERROR(__xludf.DUMMYFUNCTION("""COMPUTED_VALUE"""),"น.ส.กูอารีซา กูโนะ")</f>
        <v>น.ส.กูอารีซา กูโนะ</v>
      </c>
      <c r="C2522" s="3" t="str">
        <f>IFERROR(__xludf.DUMMYFUNCTION("""COMPUTED_VALUE"""),"ปวช.1/2")</f>
        <v>ปวช.1/2</v>
      </c>
      <c r="D2522" s="3" t="str">
        <f>IFERROR(__xludf.DUMMYFUNCTION("""COMPUTED_VALUE"""),"อก.ปวช.1/2")</f>
        <v>อก.ปวช.1/2</v>
      </c>
      <c r="E2522" s="2" t="str">
        <f>IFERROR(__xludf.DUMMYFUNCTION("""COMPUTED_VALUE"""),"หญิง")</f>
        <v>หญิง</v>
      </c>
      <c r="F2522" s="5" t="str">
        <f>IFERROR(__xludf.DUMMYFUNCTION("""COMPUTED_VALUE"""),"https://azizstan.net/student_image_voc/6821910047.jpg")</f>
        <v>https://azizstan.net/student_image_voc/6821910047.jpg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>
      <c r="A2523" s="3" t="str">
        <f>IFERROR(__xludf.DUMMYFUNCTION("""COMPUTED_VALUE"""),"6821910048")</f>
        <v>6821910048</v>
      </c>
      <c r="B2523" s="3" t="str">
        <f>IFERROR(__xludf.DUMMYFUNCTION("""COMPUTED_VALUE"""),"น.ส.นูรูตัสนิม ปุเตะ")</f>
        <v>น.ส.นูรูตัสนิม ปุเตะ</v>
      </c>
      <c r="C2523" s="3" t="str">
        <f>IFERROR(__xludf.DUMMYFUNCTION("""COMPUTED_VALUE"""),"ปวช.1/2")</f>
        <v>ปวช.1/2</v>
      </c>
      <c r="D2523" s="3" t="str">
        <f>IFERROR(__xludf.DUMMYFUNCTION("""COMPUTED_VALUE"""),"อก.ปวช.1/2")</f>
        <v>อก.ปวช.1/2</v>
      </c>
      <c r="E2523" s="2" t="str">
        <f>IFERROR(__xludf.DUMMYFUNCTION("""COMPUTED_VALUE"""),"หญิง")</f>
        <v>หญิง</v>
      </c>
      <c r="F2523" s="5" t="str">
        <f>IFERROR(__xludf.DUMMYFUNCTION("""COMPUTED_VALUE"""),"https://azizstan.net/student_image_voc/6821910048.jpg")</f>
        <v>https://azizstan.net/student_image_voc/6821910048.jpg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>
      <c r="A2524" s="3" t="str">
        <f>IFERROR(__xludf.DUMMYFUNCTION("""COMPUTED_VALUE"""),"6821910049")</f>
        <v>6821910049</v>
      </c>
      <c r="B2524" s="3" t="str">
        <f>IFERROR(__xludf.DUMMYFUNCTION("""COMPUTED_VALUE"""),"น.ส.อาตียะห์ ยุนุ")</f>
        <v>น.ส.อาตียะห์ ยุนุ</v>
      </c>
      <c r="C2524" s="3" t="str">
        <f>IFERROR(__xludf.DUMMYFUNCTION("""COMPUTED_VALUE"""),"ปวช.1/2")</f>
        <v>ปวช.1/2</v>
      </c>
      <c r="D2524" s="3" t="str">
        <f>IFERROR(__xludf.DUMMYFUNCTION("""COMPUTED_VALUE"""),"อก.ปวช.1/2")</f>
        <v>อก.ปวช.1/2</v>
      </c>
      <c r="E2524" s="2" t="str">
        <f>IFERROR(__xludf.DUMMYFUNCTION("""COMPUTED_VALUE"""),"หญิง")</f>
        <v>หญิง</v>
      </c>
      <c r="F2524" s="5" t="str">
        <f>IFERROR(__xludf.DUMMYFUNCTION("""COMPUTED_VALUE"""),"https://azizstan.net/student_image_voc/6821910049.jpg")</f>
        <v>https://azizstan.net/student_image_voc/6821910049.jpg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>
      <c r="A2525" s="3" t="str">
        <f>IFERROR(__xludf.DUMMYFUNCTION("""COMPUTED_VALUE"""),"6821910050")</f>
        <v>6821910050</v>
      </c>
      <c r="B2525" s="3" t="str">
        <f>IFERROR(__xludf.DUMMYFUNCTION("""COMPUTED_VALUE"""),"น.ส.นุรุลซัมซี สะอิ")</f>
        <v>น.ส.นุรุลซัมซี สะอิ</v>
      </c>
      <c r="C2525" s="3" t="str">
        <f>IFERROR(__xludf.DUMMYFUNCTION("""COMPUTED_VALUE"""),"ปวช.1/2")</f>
        <v>ปวช.1/2</v>
      </c>
      <c r="D2525" s="3" t="str">
        <f>IFERROR(__xludf.DUMMYFUNCTION("""COMPUTED_VALUE"""),"อก.ปวช.1/2")</f>
        <v>อก.ปวช.1/2</v>
      </c>
      <c r="E2525" s="2" t="str">
        <f>IFERROR(__xludf.DUMMYFUNCTION("""COMPUTED_VALUE"""),"หญิง")</f>
        <v>หญิง</v>
      </c>
      <c r="F2525" s="5" t="str">
        <f>IFERROR(__xludf.DUMMYFUNCTION("""COMPUTED_VALUE"""),"https://azizstan.net/student_image_voc/6821910050.jpg")</f>
        <v>https://azizstan.net/student_image_voc/6821910050.jpg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>
      <c r="A2526" s="3" t="str">
        <f>IFERROR(__xludf.DUMMYFUNCTION("""COMPUTED_VALUE"""),"6821910053")</f>
        <v>6821910053</v>
      </c>
      <c r="B2526" s="3" t="str">
        <f>IFERROR(__xludf.DUMMYFUNCTION("""COMPUTED_VALUE"""),"น.ส.นูรอัฟซา อายเดร์")</f>
        <v>น.ส.นูรอัฟซา อายเดร์</v>
      </c>
      <c r="C2526" s="3" t="str">
        <f>IFERROR(__xludf.DUMMYFUNCTION("""COMPUTED_VALUE"""),"ปวช.1/2")</f>
        <v>ปวช.1/2</v>
      </c>
      <c r="D2526" s="3" t="str">
        <f>IFERROR(__xludf.DUMMYFUNCTION("""COMPUTED_VALUE"""),"อก.ปวช.1/2")</f>
        <v>อก.ปวช.1/2</v>
      </c>
      <c r="E2526" s="2" t="str">
        <f>IFERROR(__xludf.DUMMYFUNCTION("""COMPUTED_VALUE"""),"หญิง")</f>
        <v>หญิง</v>
      </c>
      <c r="F2526" s="5" t="str">
        <f>IFERROR(__xludf.DUMMYFUNCTION("""COMPUTED_VALUE"""),"https://azizstan.net/student_image_voc/6821910053.jpg")</f>
        <v>https://azizstan.net/student_image_voc/6821910053.jpg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</row>
    <row r="2527">
      <c r="A2527" s="3" t="str">
        <f>IFERROR(__xludf.DUMMYFUNCTION("""COMPUTED_VALUE"""),"6821910054")</f>
        <v>6821910054</v>
      </c>
      <c r="B2527" s="3" t="str">
        <f>IFERROR(__xludf.DUMMYFUNCTION("""COMPUTED_VALUE"""),"น.ส.ฟาเดีย ยะโกะ")</f>
        <v>น.ส.ฟาเดีย ยะโกะ</v>
      </c>
      <c r="C2527" s="3" t="str">
        <f>IFERROR(__xludf.DUMMYFUNCTION("""COMPUTED_VALUE"""),"ปวช.1/2")</f>
        <v>ปวช.1/2</v>
      </c>
      <c r="D2527" s="3" t="str">
        <f>IFERROR(__xludf.DUMMYFUNCTION("""COMPUTED_VALUE"""),"อก.ปวช.1/2")</f>
        <v>อก.ปวช.1/2</v>
      </c>
      <c r="E2527" s="2" t="str">
        <f>IFERROR(__xludf.DUMMYFUNCTION("""COMPUTED_VALUE"""),"หญิง")</f>
        <v>หญิง</v>
      </c>
      <c r="F2527" s="5" t="str">
        <f>IFERROR(__xludf.DUMMYFUNCTION("""COMPUTED_VALUE"""),"https://azizstan.net/student_image_voc/6821910054.jpg")</f>
        <v>https://azizstan.net/student_image_voc/6821910054.jpg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>
      <c r="A2528" s="3" t="str">
        <f>IFERROR(__xludf.DUMMYFUNCTION("""COMPUTED_VALUE"""),"6821910056")</f>
        <v>6821910056</v>
      </c>
      <c r="B2528" s="3" t="str">
        <f>IFERROR(__xludf.DUMMYFUNCTION("""COMPUTED_VALUE"""),"น.ส.ซัลวานี ดอเลาะ")</f>
        <v>น.ส.ซัลวานี ดอเลาะ</v>
      </c>
      <c r="C2528" s="3" t="str">
        <f>IFERROR(__xludf.DUMMYFUNCTION("""COMPUTED_VALUE"""),"ปวช.1/2")</f>
        <v>ปวช.1/2</v>
      </c>
      <c r="D2528" s="3" t="str">
        <f>IFERROR(__xludf.DUMMYFUNCTION("""COMPUTED_VALUE"""),"อก.ปวช.1/2")</f>
        <v>อก.ปวช.1/2</v>
      </c>
      <c r="E2528" s="2" t="str">
        <f>IFERROR(__xludf.DUMMYFUNCTION("""COMPUTED_VALUE"""),"หญิง")</f>
        <v>หญิง</v>
      </c>
      <c r="F2528" s="5" t="str">
        <f>IFERROR(__xludf.DUMMYFUNCTION("""COMPUTED_VALUE"""),"https://azizstan.net/student_image_voc/6821910056.jpg")</f>
        <v>https://azizstan.net/student_image_voc/6821910056.jpg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>
      <c r="A2529" s="3" t="str">
        <f>IFERROR(__xludf.DUMMYFUNCTION("""COMPUTED_VALUE"""),"6821910057")</f>
        <v>6821910057</v>
      </c>
      <c r="B2529" s="3" t="str">
        <f>IFERROR(__xludf.DUMMYFUNCTION("""COMPUTED_VALUE"""),"น.ส.นูรมา มะสะ")</f>
        <v>น.ส.นูรมา มะสะ</v>
      </c>
      <c r="C2529" s="3" t="str">
        <f>IFERROR(__xludf.DUMMYFUNCTION("""COMPUTED_VALUE"""),"ปวช.1/2")</f>
        <v>ปวช.1/2</v>
      </c>
      <c r="D2529" s="3" t="str">
        <f>IFERROR(__xludf.DUMMYFUNCTION("""COMPUTED_VALUE"""),"อก.ปวช.1/2")</f>
        <v>อก.ปวช.1/2</v>
      </c>
      <c r="E2529" s="2" t="str">
        <f>IFERROR(__xludf.DUMMYFUNCTION("""COMPUTED_VALUE"""),"หญิง")</f>
        <v>หญิง</v>
      </c>
      <c r="F2529" s="5" t="str">
        <f>IFERROR(__xludf.DUMMYFUNCTION("""COMPUTED_VALUE"""),"https://azizstan.net/student_image_voc/6821910057.jpg")</f>
        <v>https://azizstan.net/student_image_voc/6821910057.jpg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>
      <c r="A2530" s="3" t="str">
        <f>IFERROR(__xludf.DUMMYFUNCTION("""COMPUTED_VALUE"""),"6821910059")</f>
        <v>6821910059</v>
      </c>
      <c r="B2530" s="3" t="str">
        <f>IFERROR(__xludf.DUMMYFUNCTION("""COMPUTED_VALUE"""),"น.ส.ซูไรดา ร่าหมาน")</f>
        <v>น.ส.ซูไรดา ร่าหมาน</v>
      </c>
      <c r="C2530" s="3" t="str">
        <f>IFERROR(__xludf.DUMMYFUNCTION("""COMPUTED_VALUE"""),"ปวช.1/2")</f>
        <v>ปวช.1/2</v>
      </c>
      <c r="D2530" s="3" t="str">
        <f>IFERROR(__xludf.DUMMYFUNCTION("""COMPUTED_VALUE"""),"อก.ปวช.1/2")</f>
        <v>อก.ปวช.1/2</v>
      </c>
      <c r="E2530" s="2" t="str">
        <f>IFERROR(__xludf.DUMMYFUNCTION("""COMPUTED_VALUE"""),"หญิง")</f>
        <v>หญิง</v>
      </c>
      <c r="F2530" s="5" t="str">
        <f>IFERROR(__xludf.DUMMYFUNCTION("""COMPUTED_VALUE"""),"https://azizstan.net/student_image_voc/6821910059.jpg")</f>
        <v>https://azizstan.net/student_image_voc/6821910059.jpg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</row>
    <row r="2531">
      <c r="A2531" s="3" t="str">
        <f>IFERROR(__xludf.DUMMYFUNCTION("""COMPUTED_VALUE"""),"6821910060")</f>
        <v>6821910060</v>
      </c>
      <c r="B2531" s="3" t="str">
        <f>IFERROR(__xludf.DUMMYFUNCTION("""COMPUTED_VALUE"""),"น.ส.นูรูวาฮีดา บือแน")</f>
        <v>น.ส.นูรูวาฮีดา บือแน</v>
      </c>
      <c r="C2531" s="3" t="str">
        <f>IFERROR(__xludf.DUMMYFUNCTION("""COMPUTED_VALUE"""),"ปวช.1/2")</f>
        <v>ปวช.1/2</v>
      </c>
      <c r="D2531" s="3" t="str">
        <f>IFERROR(__xludf.DUMMYFUNCTION("""COMPUTED_VALUE"""),"อก.ปวช.1/2")</f>
        <v>อก.ปวช.1/2</v>
      </c>
      <c r="E2531" s="2" t="str">
        <f>IFERROR(__xludf.DUMMYFUNCTION("""COMPUTED_VALUE"""),"หญิง")</f>
        <v>หญิง</v>
      </c>
      <c r="F2531" s="5" t="str">
        <f>IFERROR(__xludf.DUMMYFUNCTION("""COMPUTED_VALUE"""),"https://azizstan.net/student_image_voc/6821910060.jpg")</f>
        <v>https://azizstan.net/student_image_voc/6821910060.jpg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</row>
    <row r="2532">
      <c r="A2532" s="3" t="str">
        <f>IFERROR(__xludf.DUMMYFUNCTION("""COMPUTED_VALUE"""),"6821910062")</f>
        <v>6821910062</v>
      </c>
      <c r="B2532" s="3" t="str">
        <f>IFERROR(__xludf.DUMMYFUNCTION("""COMPUTED_VALUE"""),"น.ส.มักกียะห์ สามะ")</f>
        <v>น.ส.มักกียะห์ สามะ</v>
      </c>
      <c r="C2532" s="3" t="str">
        <f>IFERROR(__xludf.DUMMYFUNCTION("""COMPUTED_VALUE"""),"ปวช.1/2")</f>
        <v>ปวช.1/2</v>
      </c>
      <c r="D2532" s="3" t="str">
        <f>IFERROR(__xludf.DUMMYFUNCTION("""COMPUTED_VALUE"""),"อก.ปวช.1/2")</f>
        <v>อก.ปวช.1/2</v>
      </c>
      <c r="E2532" s="2" t="str">
        <f>IFERROR(__xludf.DUMMYFUNCTION("""COMPUTED_VALUE"""),"หญิง")</f>
        <v>หญิง</v>
      </c>
      <c r="F2532" s="5" t="str">
        <f>IFERROR(__xludf.DUMMYFUNCTION("""COMPUTED_VALUE"""),"https://azizstan.net/student_image_voc/6821910062.jpg")</f>
        <v>https://azizstan.net/student_image_voc/6821910062.jpg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>
      <c r="A2533" s="3" t="str">
        <f>IFERROR(__xludf.DUMMYFUNCTION("""COMPUTED_VALUE"""),"6821910063")</f>
        <v>6821910063</v>
      </c>
      <c r="B2533" s="3" t="str">
        <f>IFERROR(__xludf.DUMMYFUNCTION("""COMPUTED_VALUE"""),"น.ส.ลียานา ยีมะมิง")</f>
        <v>น.ส.ลียานา ยีมะมิง</v>
      </c>
      <c r="C2533" s="3" t="str">
        <f>IFERROR(__xludf.DUMMYFUNCTION("""COMPUTED_VALUE"""),"ปวช.1/2")</f>
        <v>ปวช.1/2</v>
      </c>
      <c r="D2533" s="3" t="str">
        <f>IFERROR(__xludf.DUMMYFUNCTION("""COMPUTED_VALUE"""),"อก.ปวช.1/2")</f>
        <v>อก.ปวช.1/2</v>
      </c>
      <c r="E2533" s="2" t="str">
        <f>IFERROR(__xludf.DUMMYFUNCTION("""COMPUTED_VALUE"""),"หญิง")</f>
        <v>หญิง</v>
      </c>
      <c r="F2533" s="5" t="str">
        <f>IFERROR(__xludf.DUMMYFUNCTION("""COMPUTED_VALUE"""),"https://azizstan.net/student_image_voc/6821910063.jpg")</f>
        <v>https://azizstan.net/student_image_voc/6821910063.jpg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>
      <c r="A2534" s="3" t="str">
        <f>IFERROR(__xludf.DUMMYFUNCTION("""COMPUTED_VALUE"""),"6821910065")</f>
        <v>6821910065</v>
      </c>
      <c r="B2534" s="3" t="str">
        <f>IFERROR(__xludf.DUMMYFUNCTION("""COMPUTED_VALUE"""),"น.ส.อานีซา ตอแลมา")</f>
        <v>น.ส.อานีซา ตอแลมา</v>
      </c>
      <c r="C2534" s="3" t="str">
        <f>IFERROR(__xludf.DUMMYFUNCTION("""COMPUTED_VALUE"""),"ปวช.1/2")</f>
        <v>ปวช.1/2</v>
      </c>
      <c r="D2534" s="3" t="str">
        <f>IFERROR(__xludf.DUMMYFUNCTION("""COMPUTED_VALUE"""),"อก.ปวช.1/2")</f>
        <v>อก.ปวช.1/2</v>
      </c>
      <c r="E2534" s="2" t="str">
        <f>IFERROR(__xludf.DUMMYFUNCTION("""COMPUTED_VALUE"""),"หญิง")</f>
        <v>หญิง</v>
      </c>
      <c r="F2534" s="5" t="str">
        <f>IFERROR(__xludf.DUMMYFUNCTION("""COMPUTED_VALUE"""),"https://azizstan.net/student_image_voc/6821910065.jpg")</f>
        <v>https://azizstan.net/student_image_voc/6821910065.jpg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>
      <c r="A2535" s="3" t="str">
        <f>IFERROR(__xludf.DUMMYFUNCTION("""COMPUTED_VALUE"""),"6821910069")</f>
        <v>6821910069</v>
      </c>
      <c r="B2535" s="3" t="str">
        <f>IFERROR(__xludf.DUMMYFUNCTION("""COMPUTED_VALUE"""),"น.ส.ฟาตอนะห์ หะเอียด")</f>
        <v>น.ส.ฟาตอนะห์ หะเอียด</v>
      </c>
      <c r="C2535" s="3" t="str">
        <f>IFERROR(__xludf.DUMMYFUNCTION("""COMPUTED_VALUE"""),"ปวช.1/2")</f>
        <v>ปวช.1/2</v>
      </c>
      <c r="D2535" s="3" t="str">
        <f>IFERROR(__xludf.DUMMYFUNCTION("""COMPUTED_VALUE"""),"อก.ปวช.1/2")</f>
        <v>อก.ปวช.1/2</v>
      </c>
      <c r="E2535" s="2" t="str">
        <f>IFERROR(__xludf.DUMMYFUNCTION("""COMPUTED_VALUE"""),"หญิง")</f>
        <v>หญิง</v>
      </c>
      <c r="F2535" s="5" t="str">
        <f>IFERROR(__xludf.DUMMYFUNCTION("""COMPUTED_VALUE"""),"https://azizstan.net/student_image_voc/6821910069.jpg")</f>
        <v>https://azizstan.net/student_image_voc/6821910069.jpg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>
      <c r="A2536" s="3" t="str">
        <f>IFERROR(__xludf.DUMMYFUNCTION("""COMPUTED_VALUE"""),"6721910135")</f>
        <v>6721910135</v>
      </c>
      <c r="B2536" s="3" t="str">
        <f>IFERROR(__xludf.DUMMYFUNCTION("""COMPUTED_VALUE"""),"นายมุสลิม แดงรามัน")</f>
        <v>นายมุสลิม แดงรามัน</v>
      </c>
      <c r="C2536" s="3" t="str">
        <f>IFERROR(__xludf.DUMMYFUNCTION("""COMPUTED_VALUE"""),"ปวช.2/1")</f>
        <v>ปวช.2/1</v>
      </c>
      <c r="D2536" s="3" t="str">
        <f>IFERROR(__xludf.DUMMYFUNCTION("""COMPUTED_VALUE"""),"อก.ปวช.2/1")</f>
        <v>อก.ปวช.2/1</v>
      </c>
      <c r="E2536" s="2" t="str">
        <f>IFERROR(__xludf.DUMMYFUNCTION("""COMPUTED_VALUE"""),"ชาย")</f>
        <v>ชาย</v>
      </c>
      <c r="F2536" s="5" t="str">
        <f>IFERROR(__xludf.DUMMYFUNCTION("""COMPUTED_VALUE"""),"https://azizstan.net/student_image_voc/6721910135.jpg")</f>
        <v>https://azizstan.net/student_image_voc/6721910135.jpg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>
      <c r="A2537" s="3" t="str">
        <f>IFERROR(__xludf.DUMMYFUNCTION("""COMPUTED_VALUE"""),"6721910137")</f>
        <v>6721910137</v>
      </c>
      <c r="B2537" s="3" t="str">
        <f>IFERROR(__xludf.DUMMYFUNCTION("""COMPUTED_VALUE"""),"นายอัฟฟาน ยูนุ๊")</f>
        <v>นายอัฟฟาน ยูนุ๊</v>
      </c>
      <c r="C2537" s="3" t="str">
        <f>IFERROR(__xludf.DUMMYFUNCTION("""COMPUTED_VALUE"""),"ปวช.2/1")</f>
        <v>ปวช.2/1</v>
      </c>
      <c r="D2537" s="3" t="str">
        <f>IFERROR(__xludf.DUMMYFUNCTION("""COMPUTED_VALUE"""),"อก.ปวช.2/1")</f>
        <v>อก.ปวช.2/1</v>
      </c>
      <c r="E2537" s="2" t="str">
        <f>IFERROR(__xludf.DUMMYFUNCTION("""COMPUTED_VALUE"""),"ชาย")</f>
        <v>ชาย</v>
      </c>
      <c r="F2537" s="5" t="str">
        <f>IFERROR(__xludf.DUMMYFUNCTION("""COMPUTED_VALUE"""),"https://azizstan.net/student_image_voc/6721910137.jpg")</f>
        <v>https://azizstan.net/student_image_voc/6721910137.jpg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</row>
    <row r="2538">
      <c r="A2538" s="3" t="str">
        <f>IFERROR(__xludf.DUMMYFUNCTION("""COMPUTED_VALUE"""),"6721910138")</f>
        <v>6721910138</v>
      </c>
      <c r="B2538" s="3" t="str">
        <f>IFERROR(__xludf.DUMMYFUNCTION("""COMPUTED_VALUE"""),"นายภูวนารถ บาเหม")</f>
        <v>นายภูวนารถ บาเหม</v>
      </c>
      <c r="C2538" s="3" t="str">
        <f>IFERROR(__xludf.DUMMYFUNCTION("""COMPUTED_VALUE"""),"ปวช.2/1")</f>
        <v>ปวช.2/1</v>
      </c>
      <c r="D2538" s="3" t="str">
        <f>IFERROR(__xludf.DUMMYFUNCTION("""COMPUTED_VALUE"""),"อก.ปวช.2/1")</f>
        <v>อก.ปวช.2/1</v>
      </c>
      <c r="E2538" s="2" t="str">
        <f>IFERROR(__xludf.DUMMYFUNCTION("""COMPUTED_VALUE"""),"ชาย")</f>
        <v>ชาย</v>
      </c>
      <c r="F2538" s="5" t="str">
        <f>IFERROR(__xludf.DUMMYFUNCTION("""COMPUTED_VALUE"""),"https://azizstan.net/student_image_voc/6721910138.jpg")</f>
        <v>https://azizstan.net/student_image_voc/6721910138.jpg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</row>
    <row r="2539">
      <c r="A2539" s="3" t="str">
        <f>IFERROR(__xludf.DUMMYFUNCTION("""COMPUTED_VALUE"""),"6721910143")</f>
        <v>6721910143</v>
      </c>
      <c r="B2539" s="3" t="str">
        <f>IFERROR(__xludf.DUMMYFUNCTION("""COMPUTED_VALUE"""),"นายมูฮัมหมัดบีลาล์ สะนิ")</f>
        <v>นายมูฮัมหมัดบีลาล์ สะนิ</v>
      </c>
      <c r="C2539" s="3" t="str">
        <f>IFERROR(__xludf.DUMMYFUNCTION("""COMPUTED_VALUE"""),"ปวช.2/1")</f>
        <v>ปวช.2/1</v>
      </c>
      <c r="D2539" s="3" t="str">
        <f>IFERROR(__xludf.DUMMYFUNCTION("""COMPUTED_VALUE"""),"อก.ปวช.2/1")</f>
        <v>อก.ปวช.2/1</v>
      </c>
      <c r="E2539" s="2" t="str">
        <f>IFERROR(__xludf.DUMMYFUNCTION("""COMPUTED_VALUE"""),"ชาย")</f>
        <v>ชาย</v>
      </c>
      <c r="F2539" s="5" t="str">
        <f>IFERROR(__xludf.DUMMYFUNCTION("""COMPUTED_VALUE"""),"https://azizstan.net/student_image_voc/6721910143.jpg")</f>
        <v>https://azizstan.net/student_image_voc/6721910143.jpg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</row>
    <row r="2540">
      <c r="A2540" s="3" t="str">
        <f>IFERROR(__xludf.DUMMYFUNCTION("""COMPUTED_VALUE"""),"6721910149")</f>
        <v>6721910149</v>
      </c>
      <c r="B2540" s="3" t="str">
        <f>IFERROR(__xludf.DUMMYFUNCTION("""COMPUTED_VALUE"""),"นายอานัส ดาโอะ")</f>
        <v>นายอานัส ดาโอะ</v>
      </c>
      <c r="C2540" s="3" t="str">
        <f>IFERROR(__xludf.DUMMYFUNCTION("""COMPUTED_VALUE"""),"ปวช.2/1")</f>
        <v>ปวช.2/1</v>
      </c>
      <c r="D2540" s="3" t="str">
        <f>IFERROR(__xludf.DUMMYFUNCTION("""COMPUTED_VALUE"""),"อก.ปวช.2/1")</f>
        <v>อก.ปวช.2/1</v>
      </c>
      <c r="E2540" s="2" t="str">
        <f>IFERROR(__xludf.DUMMYFUNCTION("""COMPUTED_VALUE"""),"ชาย")</f>
        <v>ชาย</v>
      </c>
      <c r="F2540" s="5" t="str">
        <f>IFERROR(__xludf.DUMMYFUNCTION("""COMPUTED_VALUE"""),"https://azizstan.net/student_image_voc/6721910149.jpg")</f>
        <v>https://azizstan.net/student_image_voc/6721910149.jpg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</row>
    <row r="2541">
      <c r="A2541" s="3" t="str">
        <f>IFERROR(__xludf.DUMMYFUNCTION("""COMPUTED_VALUE"""),"6721910150")</f>
        <v>6721910150</v>
      </c>
      <c r="B2541" s="3" t="str">
        <f>IFERROR(__xludf.DUMMYFUNCTION("""COMPUTED_VALUE"""),"นายอามีรัน มามุ")</f>
        <v>นายอามีรัน มามุ</v>
      </c>
      <c r="C2541" s="3" t="str">
        <f>IFERROR(__xludf.DUMMYFUNCTION("""COMPUTED_VALUE"""),"ปวช.2/1")</f>
        <v>ปวช.2/1</v>
      </c>
      <c r="D2541" s="3" t="str">
        <f>IFERROR(__xludf.DUMMYFUNCTION("""COMPUTED_VALUE"""),"อก.ปวช.2/1")</f>
        <v>อก.ปวช.2/1</v>
      </c>
      <c r="E2541" s="2" t="str">
        <f>IFERROR(__xludf.DUMMYFUNCTION("""COMPUTED_VALUE"""),"ชาย")</f>
        <v>ชาย</v>
      </c>
      <c r="F2541" s="5" t="str">
        <f>IFERROR(__xludf.DUMMYFUNCTION("""COMPUTED_VALUE"""),"https://azizstan.net/student_image_voc/6721910150.jpg")</f>
        <v>https://azizstan.net/student_image_voc/6721910150.jpg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>
      <c r="A2542" s="3" t="str">
        <f>IFERROR(__xludf.DUMMYFUNCTION("""COMPUTED_VALUE"""),"6721910153")</f>
        <v>6721910153</v>
      </c>
      <c r="B2542" s="3" t="str">
        <f>IFERROR(__xludf.DUMMYFUNCTION("""COMPUTED_VALUE"""),"นายศุภมาศ สาและอาแร")</f>
        <v>นายศุภมาศ สาและอาแร</v>
      </c>
      <c r="C2542" s="3" t="str">
        <f>IFERROR(__xludf.DUMMYFUNCTION("""COMPUTED_VALUE"""),"ปวช.2/1")</f>
        <v>ปวช.2/1</v>
      </c>
      <c r="D2542" s="3" t="str">
        <f>IFERROR(__xludf.DUMMYFUNCTION("""COMPUTED_VALUE"""),"อก.ปวช.2/1")</f>
        <v>อก.ปวช.2/1</v>
      </c>
      <c r="E2542" s="2" t="str">
        <f>IFERROR(__xludf.DUMMYFUNCTION("""COMPUTED_VALUE"""),"ชาย")</f>
        <v>ชาย</v>
      </c>
      <c r="F2542" s="5" t="str">
        <f>IFERROR(__xludf.DUMMYFUNCTION("""COMPUTED_VALUE"""),"https://azizstan.net/student_image_voc/6721910153.jpg")</f>
        <v>https://azizstan.net/student_image_voc/6721910153.jpg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>
      <c r="A2543" s="3" t="str">
        <f>IFERROR(__xludf.DUMMYFUNCTION("""COMPUTED_VALUE"""),"6721910155")</f>
        <v>6721910155</v>
      </c>
      <c r="B2543" s="3" t="str">
        <f>IFERROR(__xludf.DUMMYFUNCTION("""COMPUTED_VALUE"""),"นายฟิรฮาน หะยีสาแม")</f>
        <v>นายฟิรฮาน หะยีสาแม</v>
      </c>
      <c r="C2543" s="3" t="str">
        <f>IFERROR(__xludf.DUMMYFUNCTION("""COMPUTED_VALUE"""),"ปวช.2/1")</f>
        <v>ปวช.2/1</v>
      </c>
      <c r="D2543" s="3" t="str">
        <f>IFERROR(__xludf.DUMMYFUNCTION("""COMPUTED_VALUE"""),"อก.ปวช.2/1")</f>
        <v>อก.ปวช.2/1</v>
      </c>
      <c r="E2543" s="2" t="str">
        <f>IFERROR(__xludf.DUMMYFUNCTION("""COMPUTED_VALUE"""),"ชาย")</f>
        <v>ชาย</v>
      </c>
      <c r="F2543" s="5" t="str">
        <f>IFERROR(__xludf.DUMMYFUNCTION("""COMPUTED_VALUE"""),"https://azizstan.net/student_image_voc/6721910155.jpg")</f>
        <v>https://azizstan.net/student_image_voc/6721910155.jpg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>
      <c r="A2544" s="3" t="str">
        <f>IFERROR(__xludf.DUMMYFUNCTION("""COMPUTED_VALUE"""),"6721910167")</f>
        <v>6721910167</v>
      </c>
      <c r="B2544" s="3" t="str">
        <f>IFERROR(__xludf.DUMMYFUNCTION("""COMPUTED_VALUE"""),"นายคุณากร เกื้อกูล")</f>
        <v>นายคุณากร เกื้อกูล</v>
      </c>
      <c r="C2544" s="3" t="str">
        <f>IFERROR(__xludf.DUMMYFUNCTION("""COMPUTED_VALUE"""),"ปวช.2/1")</f>
        <v>ปวช.2/1</v>
      </c>
      <c r="D2544" s="3" t="str">
        <f>IFERROR(__xludf.DUMMYFUNCTION("""COMPUTED_VALUE"""),"อก.ปวช.2/1")</f>
        <v>อก.ปวช.2/1</v>
      </c>
      <c r="E2544" s="2" t="str">
        <f>IFERROR(__xludf.DUMMYFUNCTION("""COMPUTED_VALUE"""),"ชาย")</f>
        <v>ชาย</v>
      </c>
      <c r="F2544" s="5" t="str">
        <f>IFERROR(__xludf.DUMMYFUNCTION("""COMPUTED_VALUE"""),"https://azizstan.net/student_image_voc/6721910167.jpg")</f>
        <v>https://azizstan.net/student_image_voc/6721910167.jpg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>
      <c r="A2545" s="3" t="str">
        <f>IFERROR(__xludf.DUMMYFUNCTION("""COMPUTED_VALUE"""),"6721910168")</f>
        <v>6721910168</v>
      </c>
      <c r="B2545" s="3" t="str">
        <f>IFERROR(__xludf.DUMMYFUNCTION("""COMPUTED_VALUE"""),"นายนิเตาฟิต สาและ")</f>
        <v>นายนิเตาฟิต สาและ</v>
      </c>
      <c r="C2545" s="3" t="str">
        <f>IFERROR(__xludf.DUMMYFUNCTION("""COMPUTED_VALUE"""),"ปวช.2/1")</f>
        <v>ปวช.2/1</v>
      </c>
      <c r="D2545" s="3" t="str">
        <f>IFERROR(__xludf.DUMMYFUNCTION("""COMPUTED_VALUE"""),"อก.ปวช.2/1")</f>
        <v>อก.ปวช.2/1</v>
      </c>
      <c r="E2545" s="2" t="str">
        <f>IFERROR(__xludf.DUMMYFUNCTION("""COMPUTED_VALUE"""),"ชาย")</f>
        <v>ชาย</v>
      </c>
      <c r="F2545" s="5" t="str">
        <f>IFERROR(__xludf.DUMMYFUNCTION("""COMPUTED_VALUE"""),"https://azizstan.net/student_image_voc/6721910168.jpg")</f>
        <v>https://azizstan.net/student_image_voc/6721910168.jpg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>
      <c r="A2546" s="3" t="str">
        <f>IFERROR(__xludf.DUMMYFUNCTION("""COMPUTED_VALUE"""),"6721910180")</f>
        <v>6721910180</v>
      </c>
      <c r="B2546" s="3" t="str">
        <f>IFERROR(__xludf.DUMMYFUNCTION("""COMPUTED_VALUE"""),"นายมูฮัมหมัดไฟซอล มูเซะ")</f>
        <v>นายมูฮัมหมัดไฟซอล มูเซะ</v>
      </c>
      <c r="C2546" s="3" t="str">
        <f>IFERROR(__xludf.DUMMYFUNCTION("""COMPUTED_VALUE"""),"ปวช.2/1")</f>
        <v>ปวช.2/1</v>
      </c>
      <c r="D2546" s="3" t="str">
        <f>IFERROR(__xludf.DUMMYFUNCTION("""COMPUTED_VALUE"""),"อก.ปวช.2/1")</f>
        <v>อก.ปวช.2/1</v>
      </c>
      <c r="E2546" s="2" t="str">
        <f>IFERROR(__xludf.DUMMYFUNCTION("""COMPUTED_VALUE"""),"ชาย")</f>
        <v>ชาย</v>
      </c>
      <c r="F2546" s="5" t="str">
        <f>IFERROR(__xludf.DUMMYFUNCTION("""COMPUTED_VALUE"""),"https://azizstan.net/student_image_voc/6721910180.jpg")</f>
        <v>https://azizstan.net/student_image_voc/6721910180.jpg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</row>
    <row r="2547">
      <c r="A2547" s="3" t="str">
        <f>IFERROR(__xludf.DUMMYFUNCTION("""COMPUTED_VALUE"""),"6721910182")</f>
        <v>6721910182</v>
      </c>
      <c r="B2547" s="3" t="str">
        <f>IFERROR(__xludf.DUMMYFUNCTION("""COMPUTED_VALUE"""),"นายมูฮัมหมัดอัซรอฟ เดหนิ")</f>
        <v>นายมูฮัมหมัดอัซรอฟ เดหนิ</v>
      </c>
      <c r="C2547" s="3" t="str">
        <f>IFERROR(__xludf.DUMMYFUNCTION("""COMPUTED_VALUE"""),"ปวช.2/1")</f>
        <v>ปวช.2/1</v>
      </c>
      <c r="D2547" s="3" t="str">
        <f>IFERROR(__xludf.DUMMYFUNCTION("""COMPUTED_VALUE"""),"อก.ปวช.2/1")</f>
        <v>อก.ปวช.2/1</v>
      </c>
      <c r="E2547" s="2" t="str">
        <f>IFERROR(__xludf.DUMMYFUNCTION("""COMPUTED_VALUE"""),"ชาย")</f>
        <v>ชาย</v>
      </c>
      <c r="F2547" s="5" t="str">
        <f>IFERROR(__xludf.DUMMYFUNCTION("""COMPUTED_VALUE"""),"https://azizstan.net/student_image_voc/6721910182.jpg")</f>
        <v>https://azizstan.net/student_image_voc/6721910182.jpg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>
      <c r="A2548" s="3" t="str">
        <f>IFERROR(__xludf.DUMMYFUNCTION("""COMPUTED_VALUE"""),"6721910183")</f>
        <v>6721910183</v>
      </c>
      <c r="B2548" s="3" t="str">
        <f>IFERROR(__xludf.DUMMYFUNCTION("""COMPUTED_VALUE"""),"นายฟารุก สาหลำมะ")</f>
        <v>นายฟารุก สาหลำมะ</v>
      </c>
      <c r="C2548" s="3" t="str">
        <f>IFERROR(__xludf.DUMMYFUNCTION("""COMPUTED_VALUE"""),"ปวช.2/1")</f>
        <v>ปวช.2/1</v>
      </c>
      <c r="D2548" s="3" t="str">
        <f>IFERROR(__xludf.DUMMYFUNCTION("""COMPUTED_VALUE"""),"อก.ปวช.2/1")</f>
        <v>อก.ปวช.2/1</v>
      </c>
      <c r="E2548" s="2" t="str">
        <f>IFERROR(__xludf.DUMMYFUNCTION("""COMPUTED_VALUE"""),"ชาย")</f>
        <v>ชาย</v>
      </c>
      <c r="F2548" s="5" t="str">
        <f>IFERROR(__xludf.DUMMYFUNCTION("""COMPUTED_VALUE"""),"https://azizstan.net/student_image_voc/6721910183.jpg")</f>
        <v>https://azizstan.net/student_image_voc/6721910183.jpg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>
      <c r="A2549" s="3" t="str">
        <f>IFERROR(__xludf.DUMMYFUNCTION("""COMPUTED_VALUE"""),"6721910185")</f>
        <v>6721910185</v>
      </c>
      <c r="B2549" s="3" t="str">
        <f>IFERROR(__xludf.DUMMYFUNCTION("""COMPUTED_VALUE"""),"นายอิสมาแอล สะแม")</f>
        <v>นายอิสมาแอล สะแม</v>
      </c>
      <c r="C2549" s="3" t="str">
        <f>IFERROR(__xludf.DUMMYFUNCTION("""COMPUTED_VALUE"""),"ปวช.2/1")</f>
        <v>ปวช.2/1</v>
      </c>
      <c r="D2549" s="3" t="str">
        <f>IFERROR(__xludf.DUMMYFUNCTION("""COMPUTED_VALUE"""),"อก.ปวช.2/1")</f>
        <v>อก.ปวช.2/1</v>
      </c>
      <c r="E2549" s="2" t="str">
        <f>IFERROR(__xludf.DUMMYFUNCTION("""COMPUTED_VALUE"""),"ชาย")</f>
        <v>ชาย</v>
      </c>
      <c r="F2549" s="5" t="str">
        <f>IFERROR(__xludf.DUMMYFUNCTION("""COMPUTED_VALUE"""),"https://azizstan.net/student_image_voc/6721910185.jpg")</f>
        <v>https://azizstan.net/student_image_voc/6721910185.jpg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>
      <c r="A2550" s="3" t="str">
        <f>IFERROR(__xludf.DUMMYFUNCTION("""COMPUTED_VALUE"""),"6721910122")</f>
        <v>6721910122</v>
      </c>
      <c r="B2550" s="3" t="str">
        <f>IFERROR(__xludf.DUMMYFUNCTION("""COMPUTED_VALUE"""),"น.ส.มาดีฮะห์ ฮามะ")</f>
        <v>น.ส.มาดีฮะห์ ฮามะ</v>
      </c>
      <c r="C2550" s="3" t="str">
        <f>IFERROR(__xludf.DUMMYFUNCTION("""COMPUTED_VALUE"""),"ปวช.2/2")</f>
        <v>ปวช.2/2</v>
      </c>
      <c r="D2550" s="3" t="str">
        <f>IFERROR(__xludf.DUMMYFUNCTION("""COMPUTED_VALUE"""),"อก.ปวช.2/2")</f>
        <v>อก.ปวช.2/2</v>
      </c>
      <c r="E2550" s="2" t="str">
        <f>IFERROR(__xludf.DUMMYFUNCTION("""COMPUTED_VALUE"""),"หญิง")</f>
        <v>หญิง</v>
      </c>
      <c r="F2550" s="5" t="str">
        <f>IFERROR(__xludf.DUMMYFUNCTION("""COMPUTED_VALUE"""),"https://azizstan.net/student_image_voc/6721910122.jpg")</f>
        <v>https://azizstan.net/student_image_voc/6721910122.jpg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>
      <c r="A2551" s="3" t="str">
        <f>IFERROR(__xludf.DUMMYFUNCTION("""COMPUTED_VALUE"""),"6721910123")</f>
        <v>6721910123</v>
      </c>
      <c r="B2551" s="3" t="str">
        <f>IFERROR(__xludf.DUMMYFUNCTION("""COMPUTED_VALUE"""),"น.ส.อัรดานี ดอเลาะ")</f>
        <v>น.ส.อัรดานี ดอเลาะ</v>
      </c>
      <c r="C2551" s="3" t="str">
        <f>IFERROR(__xludf.DUMMYFUNCTION("""COMPUTED_VALUE"""),"ปวช.2/2")</f>
        <v>ปวช.2/2</v>
      </c>
      <c r="D2551" s="3" t="str">
        <f>IFERROR(__xludf.DUMMYFUNCTION("""COMPUTED_VALUE"""),"อก.ปวช.2/2")</f>
        <v>อก.ปวช.2/2</v>
      </c>
      <c r="E2551" s="2" t="str">
        <f>IFERROR(__xludf.DUMMYFUNCTION("""COMPUTED_VALUE"""),"หญิง")</f>
        <v>หญิง</v>
      </c>
      <c r="F2551" s="5" t="str">
        <f>IFERROR(__xludf.DUMMYFUNCTION("""COMPUTED_VALUE"""),"https://azizstan.net/student_image_voc/6721910123.jpg")</f>
        <v>https://azizstan.net/student_image_voc/6721910123.jpg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>
      <c r="A2552" s="3" t="str">
        <f>IFERROR(__xludf.DUMMYFUNCTION("""COMPUTED_VALUE"""),"6721910124")</f>
        <v>6721910124</v>
      </c>
      <c r="B2552" s="3" t="str">
        <f>IFERROR(__xludf.DUMMYFUNCTION("""COMPUTED_VALUE"""),"น.ส.นุสยาตี สันเต๊ะ")</f>
        <v>น.ส.นุสยาตี สันเต๊ะ</v>
      </c>
      <c r="C2552" s="3" t="str">
        <f>IFERROR(__xludf.DUMMYFUNCTION("""COMPUTED_VALUE"""),"ปวช.2/2")</f>
        <v>ปวช.2/2</v>
      </c>
      <c r="D2552" s="3" t="str">
        <f>IFERROR(__xludf.DUMMYFUNCTION("""COMPUTED_VALUE"""),"อก.ปวช.2/2")</f>
        <v>อก.ปวช.2/2</v>
      </c>
      <c r="E2552" s="2" t="str">
        <f>IFERROR(__xludf.DUMMYFUNCTION("""COMPUTED_VALUE"""),"หญิง")</f>
        <v>หญิง</v>
      </c>
      <c r="F2552" s="5" t="str">
        <f>IFERROR(__xludf.DUMMYFUNCTION("""COMPUTED_VALUE"""),"https://azizstan.net/student_image_voc/6721910124.jpg")</f>
        <v>https://azizstan.net/student_image_voc/6721910124.jpg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>
      <c r="A2553" s="3" t="str">
        <f>IFERROR(__xludf.DUMMYFUNCTION("""COMPUTED_VALUE"""),"6721910127")</f>
        <v>6721910127</v>
      </c>
      <c r="B2553" s="3" t="str">
        <f>IFERROR(__xludf.DUMMYFUNCTION("""COMPUTED_VALUE"""),"น.ส.ซีตีรอกีเยาะห์ เจะเละ")</f>
        <v>น.ส.ซีตีรอกีเยาะห์ เจะเละ</v>
      </c>
      <c r="C2553" s="3" t="str">
        <f>IFERROR(__xludf.DUMMYFUNCTION("""COMPUTED_VALUE"""),"ปวช.2/2")</f>
        <v>ปวช.2/2</v>
      </c>
      <c r="D2553" s="3" t="str">
        <f>IFERROR(__xludf.DUMMYFUNCTION("""COMPUTED_VALUE"""),"อก.ปวช.2/2")</f>
        <v>อก.ปวช.2/2</v>
      </c>
      <c r="E2553" s="2" t="str">
        <f>IFERROR(__xludf.DUMMYFUNCTION("""COMPUTED_VALUE"""),"หญิง")</f>
        <v>หญิง</v>
      </c>
      <c r="F2553" s="5" t="str">
        <f>IFERROR(__xludf.DUMMYFUNCTION("""COMPUTED_VALUE"""),"https://azizstan.net/student_image_voc/6721910127.jpg")</f>
        <v>https://azizstan.net/student_image_voc/6721910127.jpg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>
      <c r="A2554" s="3" t="str">
        <f>IFERROR(__xludf.DUMMYFUNCTION("""COMPUTED_VALUE"""),"6721910128")</f>
        <v>6721910128</v>
      </c>
      <c r="B2554" s="3" t="str">
        <f>IFERROR(__xludf.DUMMYFUNCTION("""COMPUTED_VALUE"""),"น.ส.บุษรินทร์ มะสาอิ")</f>
        <v>น.ส.บุษรินทร์ มะสาอิ</v>
      </c>
      <c r="C2554" s="3" t="str">
        <f>IFERROR(__xludf.DUMMYFUNCTION("""COMPUTED_VALUE"""),"ปวช.2/2")</f>
        <v>ปวช.2/2</v>
      </c>
      <c r="D2554" s="3" t="str">
        <f>IFERROR(__xludf.DUMMYFUNCTION("""COMPUTED_VALUE"""),"อก.ปวช.2/2")</f>
        <v>อก.ปวช.2/2</v>
      </c>
      <c r="E2554" s="2" t="str">
        <f>IFERROR(__xludf.DUMMYFUNCTION("""COMPUTED_VALUE"""),"หญิง")</f>
        <v>หญิง</v>
      </c>
      <c r="F2554" s="5" t="str">
        <f>IFERROR(__xludf.DUMMYFUNCTION("""COMPUTED_VALUE"""),"https://azizstan.net/student_image_voc/6721910128.jpg")</f>
        <v>https://azizstan.net/student_image_voc/6721910128.jpg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>
      <c r="A2555" s="3" t="str">
        <f>IFERROR(__xludf.DUMMYFUNCTION("""COMPUTED_VALUE"""),"6721910129")</f>
        <v>6721910129</v>
      </c>
      <c r="B2555" s="3" t="str">
        <f>IFERROR(__xludf.DUMMYFUNCTION("""COMPUTED_VALUE"""),"น.ส.อามีนา มะเซ็ง")</f>
        <v>น.ส.อามีนา มะเซ็ง</v>
      </c>
      <c r="C2555" s="3" t="str">
        <f>IFERROR(__xludf.DUMMYFUNCTION("""COMPUTED_VALUE"""),"ปวช.2/2")</f>
        <v>ปวช.2/2</v>
      </c>
      <c r="D2555" s="3" t="str">
        <f>IFERROR(__xludf.DUMMYFUNCTION("""COMPUTED_VALUE"""),"อก.ปวช.2/2")</f>
        <v>อก.ปวช.2/2</v>
      </c>
      <c r="E2555" s="2" t="str">
        <f>IFERROR(__xludf.DUMMYFUNCTION("""COMPUTED_VALUE"""),"หญิง")</f>
        <v>หญิง</v>
      </c>
      <c r="F2555" s="5" t="str">
        <f>IFERROR(__xludf.DUMMYFUNCTION("""COMPUTED_VALUE"""),"https://azizstan.net/student_image_voc/6721910129.jpg")</f>
        <v>https://azizstan.net/student_image_voc/6721910129.jpg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>
      <c r="A2556" s="3" t="str">
        <f>IFERROR(__xludf.DUMMYFUNCTION("""COMPUTED_VALUE"""),"6721910130")</f>
        <v>6721910130</v>
      </c>
      <c r="B2556" s="3" t="str">
        <f>IFERROR(__xludf.DUMMYFUNCTION("""COMPUTED_VALUE"""),"น.ส.นูรอัยณี อาแว")</f>
        <v>น.ส.นูรอัยณี อาแว</v>
      </c>
      <c r="C2556" s="3" t="str">
        <f>IFERROR(__xludf.DUMMYFUNCTION("""COMPUTED_VALUE"""),"ปวช.2/2")</f>
        <v>ปวช.2/2</v>
      </c>
      <c r="D2556" s="3" t="str">
        <f>IFERROR(__xludf.DUMMYFUNCTION("""COMPUTED_VALUE"""),"อก.ปวช.2/2")</f>
        <v>อก.ปวช.2/2</v>
      </c>
      <c r="E2556" s="2" t="str">
        <f>IFERROR(__xludf.DUMMYFUNCTION("""COMPUTED_VALUE"""),"หญิง")</f>
        <v>หญิง</v>
      </c>
      <c r="F2556" s="5" t="str">
        <f>IFERROR(__xludf.DUMMYFUNCTION("""COMPUTED_VALUE"""),"https://azizstan.net/student_image_voc/6721910130.jpg")</f>
        <v>https://azizstan.net/student_image_voc/6721910130.jpg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>
      <c r="A2557" s="3" t="str">
        <f>IFERROR(__xludf.DUMMYFUNCTION("""COMPUTED_VALUE"""),"6721910131")</f>
        <v>6721910131</v>
      </c>
      <c r="B2557" s="3" t="str">
        <f>IFERROR(__xludf.DUMMYFUNCTION("""COMPUTED_VALUE"""),"น.ส.นูรฟาซีหะฮ์ อุมา")</f>
        <v>น.ส.นูรฟาซีหะฮ์ อุมา</v>
      </c>
      <c r="C2557" s="3" t="str">
        <f>IFERROR(__xludf.DUMMYFUNCTION("""COMPUTED_VALUE"""),"ปวช.2/2")</f>
        <v>ปวช.2/2</v>
      </c>
      <c r="D2557" s="3" t="str">
        <f>IFERROR(__xludf.DUMMYFUNCTION("""COMPUTED_VALUE"""),"อก.ปวช.2/2")</f>
        <v>อก.ปวช.2/2</v>
      </c>
      <c r="E2557" s="2" t="str">
        <f>IFERROR(__xludf.DUMMYFUNCTION("""COMPUTED_VALUE"""),"หญิง")</f>
        <v>หญิง</v>
      </c>
      <c r="F2557" s="5" t="str">
        <f>IFERROR(__xludf.DUMMYFUNCTION("""COMPUTED_VALUE"""),"https://azizstan.net/student_image_voc/6721910131.jpg")</f>
        <v>https://azizstan.net/student_image_voc/6721910131.jpg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>
      <c r="A2558" s="3" t="str">
        <f>IFERROR(__xludf.DUMMYFUNCTION("""COMPUTED_VALUE"""),"6721910133")</f>
        <v>6721910133</v>
      </c>
      <c r="B2558" s="3" t="str">
        <f>IFERROR(__xludf.DUMMYFUNCTION("""COMPUTED_VALUE"""),"น.ส.นูรีย๊ะ มะเซ็ง")</f>
        <v>น.ส.นูรีย๊ะ มะเซ็ง</v>
      </c>
      <c r="C2558" s="3" t="str">
        <f>IFERROR(__xludf.DUMMYFUNCTION("""COMPUTED_VALUE"""),"ปวช.2/2")</f>
        <v>ปวช.2/2</v>
      </c>
      <c r="D2558" s="3" t="str">
        <f>IFERROR(__xludf.DUMMYFUNCTION("""COMPUTED_VALUE"""),"อก.ปวช.2/2")</f>
        <v>อก.ปวช.2/2</v>
      </c>
      <c r="E2558" s="2" t="str">
        <f>IFERROR(__xludf.DUMMYFUNCTION("""COMPUTED_VALUE"""),"หญิง")</f>
        <v>หญิง</v>
      </c>
      <c r="F2558" s="5" t="str">
        <f>IFERROR(__xludf.DUMMYFUNCTION("""COMPUTED_VALUE"""),"https://azizstan.net/student_image_voc/6721910133.jpg")</f>
        <v>https://azizstan.net/student_image_voc/6721910133.jpg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>
      <c r="A2559" s="3" t="str">
        <f>IFERROR(__xludf.DUMMYFUNCTION("""COMPUTED_VALUE"""),"6721910134")</f>
        <v>6721910134</v>
      </c>
      <c r="B2559" s="3" t="str">
        <f>IFERROR(__xludf.DUMMYFUNCTION("""COMPUTED_VALUE"""),"น.ส.วชิรญาณ์ กามา")</f>
        <v>น.ส.วชิรญาณ์ กามา</v>
      </c>
      <c r="C2559" s="3" t="str">
        <f>IFERROR(__xludf.DUMMYFUNCTION("""COMPUTED_VALUE"""),"ปวช.2/2")</f>
        <v>ปวช.2/2</v>
      </c>
      <c r="D2559" s="3" t="str">
        <f>IFERROR(__xludf.DUMMYFUNCTION("""COMPUTED_VALUE"""),"อก.ปวช.2/2")</f>
        <v>อก.ปวช.2/2</v>
      </c>
      <c r="E2559" s="2" t="str">
        <f>IFERROR(__xludf.DUMMYFUNCTION("""COMPUTED_VALUE"""),"หญิง")</f>
        <v>หญิง</v>
      </c>
      <c r="F2559" s="5" t="str">
        <f>IFERROR(__xludf.DUMMYFUNCTION("""COMPUTED_VALUE"""),"https://azizstan.net/student_image_voc/6721910134.jpg")</f>
        <v>https://azizstan.net/student_image_voc/6721910134.jpg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>
      <c r="A2560" s="3" t="str">
        <f>IFERROR(__xludf.DUMMYFUNCTION("""COMPUTED_VALUE"""),"6721910136")</f>
        <v>6721910136</v>
      </c>
      <c r="B2560" s="3" t="str">
        <f>IFERROR(__xludf.DUMMYFUNCTION("""COMPUTED_VALUE"""),"น.ส.สุไรดาห์ อาแซ")</f>
        <v>น.ส.สุไรดาห์ อาแซ</v>
      </c>
      <c r="C2560" s="3" t="str">
        <f>IFERROR(__xludf.DUMMYFUNCTION("""COMPUTED_VALUE"""),"ปวช.2/2")</f>
        <v>ปวช.2/2</v>
      </c>
      <c r="D2560" s="3" t="str">
        <f>IFERROR(__xludf.DUMMYFUNCTION("""COMPUTED_VALUE"""),"อก.ปวช.2/2")</f>
        <v>อก.ปวช.2/2</v>
      </c>
      <c r="E2560" s="2" t="str">
        <f>IFERROR(__xludf.DUMMYFUNCTION("""COMPUTED_VALUE"""),"หญิง")</f>
        <v>หญิง</v>
      </c>
      <c r="F2560" s="5" t="str">
        <f>IFERROR(__xludf.DUMMYFUNCTION("""COMPUTED_VALUE"""),"https://azizstan.net/student_image_voc/6721910136.jpg")</f>
        <v>https://azizstan.net/student_image_voc/6721910136.jpg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>
      <c r="A2561" s="3" t="str">
        <f>IFERROR(__xludf.DUMMYFUNCTION("""COMPUTED_VALUE"""),"6721910139")</f>
        <v>6721910139</v>
      </c>
      <c r="B2561" s="3" t="str">
        <f>IFERROR(__xludf.DUMMYFUNCTION("""COMPUTED_VALUE"""),"น.ส.ซัลวา สีบู้")</f>
        <v>น.ส.ซัลวา สีบู้</v>
      </c>
      <c r="C2561" s="3" t="str">
        <f>IFERROR(__xludf.DUMMYFUNCTION("""COMPUTED_VALUE"""),"ปวช.2/2")</f>
        <v>ปวช.2/2</v>
      </c>
      <c r="D2561" s="3" t="str">
        <f>IFERROR(__xludf.DUMMYFUNCTION("""COMPUTED_VALUE"""),"อก.ปวช.2/2")</f>
        <v>อก.ปวช.2/2</v>
      </c>
      <c r="E2561" s="2" t="str">
        <f>IFERROR(__xludf.DUMMYFUNCTION("""COMPUTED_VALUE"""),"หญิง")</f>
        <v>หญิง</v>
      </c>
      <c r="F2561" s="5" t="str">
        <f>IFERROR(__xludf.DUMMYFUNCTION("""COMPUTED_VALUE"""),"https://azizstan.net/student_image_voc/6721910139.jpg")</f>
        <v>https://azizstan.net/student_image_voc/6721910139.jpg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</row>
    <row r="2562">
      <c r="A2562" s="3" t="str">
        <f>IFERROR(__xludf.DUMMYFUNCTION("""COMPUTED_VALUE"""),"6721910140")</f>
        <v>6721910140</v>
      </c>
      <c r="B2562" s="3" t="str">
        <f>IFERROR(__xludf.DUMMYFUNCTION("""COMPUTED_VALUE"""),"น.ส.นาซีเราะ แวสุหลง")</f>
        <v>น.ส.นาซีเราะ แวสุหลง</v>
      </c>
      <c r="C2562" s="3" t="str">
        <f>IFERROR(__xludf.DUMMYFUNCTION("""COMPUTED_VALUE"""),"ปวช.2/2")</f>
        <v>ปวช.2/2</v>
      </c>
      <c r="D2562" s="3" t="str">
        <f>IFERROR(__xludf.DUMMYFUNCTION("""COMPUTED_VALUE"""),"อก.ปวช.2/2")</f>
        <v>อก.ปวช.2/2</v>
      </c>
      <c r="E2562" s="2" t="str">
        <f>IFERROR(__xludf.DUMMYFUNCTION("""COMPUTED_VALUE"""),"หญิง")</f>
        <v>หญิง</v>
      </c>
      <c r="F2562" s="5" t="str">
        <f>IFERROR(__xludf.DUMMYFUNCTION("""COMPUTED_VALUE"""),"https://azizstan.net/student_image_voc/6721910140.jpg")</f>
        <v>https://azizstan.net/student_image_voc/6721910140.jpg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>
      <c r="A2563" s="3" t="str">
        <f>IFERROR(__xludf.DUMMYFUNCTION("""COMPUTED_VALUE"""),"6721910141")</f>
        <v>6721910141</v>
      </c>
      <c r="B2563" s="3" t="str">
        <f>IFERROR(__xludf.DUMMYFUNCTION("""COMPUTED_VALUE"""),"น.ส.สุนิษา อาลี")</f>
        <v>น.ส.สุนิษา อาลี</v>
      </c>
      <c r="C2563" s="3" t="str">
        <f>IFERROR(__xludf.DUMMYFUNCTION("""COMPUTED_VALUE"""),"ปวช.2/2")</f>
        <v>ปวช.2/2</v>
      </c>
      <c r="D2563" s="3" t="str">
        <f>IFERROR(__xludf.DUMMYFUNCTION("""COMPUTED_VALUE"""),"อก.ปวช.2/2")</f>
        <v>อก.ปวช.2/2</v>
      </c>
      <c r="E2563" s="2" t="str">
        <f>IFERROR(__xludf.DUMMYFUNCTION("""COMPUTED_VALUE"""),"หญิง")</f>
        <v>หญิง</v>
      </c>
      <c r="F2563" s="5" t="str">
        <f>IFERROR(__xludf.DUMMYFUNCTION("""COMPUTED_VALUE"""),"https://azizstan.net/student_image_voc/6721910141.jpg")</f>
        <v>https://azizstan.net/student_image_voc/6721910141.jpg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>
      <c r="A2564" s="3" t="str">
        <f>IFERROR(__xludf.DUMMYFUNCTION("""COMPUTED_VALUE"""),"6721910145")</f>
        <v>6721910145</v>
      </c>
      <c r="B2564" s="3" t="str">
        <f>IFERROR(__xludf.DUMMYFUNCTION("""COMPUTED_VALUE"""),"น.ส.ภัทรลดา หลีมะพรรณ")</f>
        <v>น.ส.ภัทรลดา หลีมะพรรณ</v>
      </c>
      <c r="C2564" s="3" t="str">
        <f>IFERROR(__xludf.DUMMYFUNCTION("""COMPUTED_VALUE"""),"ปวช.2/2")</f>
        <v>ปวช.2/2</v>
      </c>
      <c r="D2564" s="3" t="str">
        <f>IFERROR(__xludf.DUMMYFUNCTION("""COMPUTED_VALUE"""),"อก.ปวช.2/2")</f>
        <v>อก.ปวช.2/2</v>
      </c>
      <c r="E2564" s="2" t="str">
        <f>IFERROR(__xludf.DUMMYFUNCTION("""COMPUTED_VALUE"""),"หญิง")</f>
        <v>หญิง</v>
      </c>
      <c r="F2564" s="5" t="str">
        <f>IFERROR(__xludf.DUMMYFUNCTION("""COMPUTED_VALUE"""),"https://azizstan.net/student_image_voc/6721910145.jpg")</f>
        <v>https://azizstan.net/student_image_voc/6721910145.jpg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>
      <c r="A2565" s="3" t="str">
        <f>IFERROR(__xludf.DUMMYFUNCTION("""COMPUTED_VALUE"""),"6721910147")</f>
        <v>6721910147</v>
      </c>
      <c r="B2565" s="3" t="str">
        <f>IFERROR(__xludf.DUMMYFUNCTION("""COMPUTED_VALUE"""),"น.ส.นัตตาฟาห์ สะอะ")</f>
        <v>น.ส.นัตตาฟาห์ สะอะ</v>
      </c>
      <c r="C2565" s="3" t="str">
        <f>IFERROR(__xludf.DUMMYFUNCTION("""COMPUTED_VALUE"""),"ปวช.2/2")</f>
        <v>ปวช.2/2</v>
      </c>
      <c r="D2565" s="3" t="str">
        <f>IFERROR(__xludf.DUMMYFUNCTION("""COMPUTED_VALUE"""),"อก.ปวช.2/2")</f>
        <v>อก.ปวช.2/2</v>
      </c>
      <c r="E2565" s="2" t="str">
        <f>IFERROR(__xludf.DUMMYFUNCTION("""COMPUTED_VALUE"""),"หญิง")</f>
        <v>หญิง</v>
      </c>
      <c r="F2565" s="5" t="str">
        <f>IFERROR(__xludf.DUMMYFUNCTION("""COMPUTED_VALUE"""),"https://azizstan.net/student_image_voc/6721910147.jpg")</f>
        <v>https://azizstan.net/student_image_voc/6721910147.jpg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</row>
    <row r="2566">
      <c r="A2566" s="3" t="str">
        <f>IFERROR(__xludf.DUMMYFUNCTION("""COMPUTED_VALUE"""),"6721910148")</f>
        <v>6721910148</v>
      </c>
      <c r="B2566" s="3" t="str">
        <f>IFERROR(__xludf.DUMMYFUNCTION("""COMPUTED_VALUE"""),"น.ส.นาซีเราะ เงาะ")</f>
        <v>น.ส.นาซีเราะ เงาะ</v>
      </c>
      <c r="C2566" s="3" t="str">
        <f>IFERROR(__xludf.DUMMYFUNCTION("""COMPUTED_VALUE"""),"ปวช.2/2")</f>
        <v>ปวช.2/2</v>
      </c>
      <c r="D2566" s="3" t="str">
        <f>IFERROR(__xludf.DUMMYFUNCTION("""COMPUTED_VALUE"""),"อก.ปวช.2/2")</f>
        <v>อก.ปวช.2/2</v>
      </c>
      <c r="E2566" s="2" t="str">
        <f>IFERROR(__xludf.DUMMYFUNCTION("""COMPUTED_VALUE"""),"หญิง")</f>
        <v>หญิง</v>
      </c>
      <c r="F2566" s="5" t="str">
        <f>IFERROR(__xludf.DUMMYFUNCTION("""COMPUTED_VALUE"""),"https://azizstan.net/student_image_voc/6721910148.jpg")</f>
        <v>https://azizstan.net/student_image_voc/6721910148.jpg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>
      <c r="A2567" s="3" t="str">
        <f>IFERROR(__xludf.DUMMYFUNCTION("""COMPUTED_VALUE"""),"6721910151")</f>
        <v>6721910151</v>
      </c>
      <c r="B2567" s="3" t="str">
        <f>IFERROR(__xludf.DUMMYFUNCTION("""COMPUTED_VALUE"""),"น.ส.บัรกิส ดือเระ")</f>
        <v>น.ส.บัรกิส ดือเระ</v>
      </c>
      <c r="C2567" s="3" t="str">
        <f>IFERROR(__xludf.DUMMYFUNCTION("""COMPUTED_VALUE"""),"ปวช.2/2")</f>
        <v>ปวช.2/2</v>
      </c>
      <c r="D2567" s="3" t="str">
        <f>IFERROR(__xludf.DUMMYFUNCTION("""COMPUTED_VALUE"""),"อก.ปวช.2/2")</f>
        <v>อก.ปวช.2/2</v>
      </c>
      <c r="E2567" s="2" t="str">
        <f>IFERROR(__xludf.DUMMYFUNCTION("""COMPUTED_VALUE"""),"หญิง")</f>
        <v>หญิง</v>
      </c>
      <c r="F2567" s="5" t="str">
        <f>IFERROR(__xludf.DUMMYFUNCTION("""COMPUTED_VALUE"""),"https://azizstan.net/student_image_voc/6721910151.jpg")</f>
        <v>https://azizstan.net/student_image_voc/6721910151.jpg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>
      <c r="A2568" s="3" t="str">
        <f>IFERROR(__xludf.DUMMYFUNCTION("""COMPUTED_VALUE"""),"6721910152")</f>
        <v>6721910152</v>
      </c>
      <c r="B2568" s="3" t="str">
        <f>IFERROR(__xludf.DUMMYFUNCTION("""COMPUTED_VALUE"""),"น.ส.นูรอัยณี หวังแฉะ")</f>
        <v>น.ส.นูรอัยณี หวังแฉะ</v>
      </c>
      <c r="C2568" s="3" t="str">
        <f>IFERROR(__xludf.DUMMYFUNCTION("""COMPUTED_VALUE"""),"ปวช.2/2")</f>
        <v>ปวช.2/2</v>
      </c>
      <c r="D2568" s="3" t="str">
        <f>IFERROR(__xludf.DUMMYFUNCTION("""COMPUTED_VALUE"""),"อก.ปวช.2/2")</f>
        <v>อก.ปวช.2/2</v>
      </c>
      <c r="E2568" s="2" t="str">
        <f>IFERROR(__xludf.DUMMYFUNCTION("""COMPUTED_VALUE"""),"หญิง")</f>
        <v>หญิง</v>
      </c>
      <c r="F2568" s="5" t="str">
        <f>IFERROR(__xludf.DUMMYFUNCTION("""COMPUTED_VALUE"""),"https://azizstan.net/student_image_voc/6721910152.jpg")</f>
        <v>https://azizstan.net/student_image_voc/6721910152.jpg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</row>
    <row r="2569">
      <c r="A2569" s="3" t="str">
        <f>IFERROR(__xludf.DUMMYFUNCTION("""COMPUTED_VALUE"""),"6721910157")</f>
        <v>6721910157</v>
      </c>
      <c r="B2569" s="3" t="str">
        <f>IFERROR(__xludf.DUMMYFUNCTION("""COMPUTED_VALUE"""),"น.ส.อามีรา เตะแต")</f>
        <v>น.ส.อามีรา เตะแต</v>
      </c>
      <c r="C2569" s="3" t="str">
        <f>IFERROR(__xludf.DUMMYFUNCTION("""COMPUTED_VALUE"""),"ปวช.2/2")</f>
        <v>ปวช.2/2</v>
      </c>
      <c r="D2569" s="3" t="str">
        <f>IFERROR(__xludf.DUMMYFUNCTION("""COMPUTED_VALUE"""),"อก.ปวช.2/2")</f>
        <v>อก.ปวช.2/2</v>
      </c>
      <c r="E2569" s="2" t="str">
        <f>IFERROR(__xludf.DUMMYFUNCTION("""COMPUTED_VALUE"""),"หญิง")</f>
        <v>หญิง</v>
      </c>
      <c r="F2569" s="5" t="str">
        <f>IFERROR(__xludf.DUMMYFUNCTION("""COMPUTED_VALUE"""),"https://azizstan.net/student_image_voc/6721910157.jpg")</f>
        <v>https://azizstan.net/student_image_voc/6721910157.jpg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</row>
    <row r="2570">
      <c r="A2570" s="3" t="str">
        <f>IFERROR(__xludf.DUMMYFUNCTION("""COMPUTED_VALUE"""),"6721910160")</f>
        <v>6721910160</v>
      </c>
      <c r="B2570" s="3" t="str">
        <f>IFERROR(__xludf.DUMMYFUNCTION("""COMPUTED_VALUE"""),"น.ส.ซูนีรา มะสัน")</f>
        <v>น.ส.ซูนีรา มะสัน</v>
      </c>
      <c r="C2570" s="3" t="str">
        <f>IFERROR(__xludf.DUMMYFUNCTION("""COMPUTED_VALUE"""),"ปวช.2/2")</f>
        <v>ปวช.2/2</v>
      </c>
      <c r="D2570" s="3" t="str">
        <f>IFERROR(__xludf.DUMMYFUNCTION("""COMPUTED_VALUE"""),"อก.ปวช.2/2")</f>
        <v>อก.ปวช.2/2</v>
      </c>
      <c r="E2570" s="2" t="str">
        <f>IFERROR(__xludf.DUMMYFUNCTION("""COMPUTED_VALUE"""),"หญิง")</f>
        <v>หญิง</v>
      </c>
      <c r="F2570" s="5" t="str">
        <f>IFERROR(__xludf.DUMMYFUNCTION("""COMPUTED_VALUE"""),"https://azizstan.net/student_image_voc/6721910160.jpg")</f>
        <v>https://azizstan.net/student_image_voc/6721910160.jpg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>
      <c r="A2571" s="3" t="str">
        <f>IFERROR(__xludf.DUMMYFUNCTION("""COMPUTED_VALUE"""),"6721910161")</f>
        <v>6721910161</v>
      </c>
      <c r="B2571" s="3" t="str">
        <f>IFERROR(__xludf.DUMMYFUNCTION("""COMPUTED_VALUE"""),"น.ส.ซีตีนุรฮาลีซา ยูโซะ")</f>
        <v>น.ส.ซีตีนุรฮาลีซา ยูโซะ</v>
      </c>
      <c r="C2571" s="3" t="str">
        <f>IFERROR(__xludf.DUMMYFUNCTION("""COMPUTED_VALUE"""),"ปวช.2/2")</f>
        <v>ปวช.2/2</v>
      </c>
      <c r="D2571" s="3" t="str">
        <f>IFERROR(__xludf.DUMMYFUNCTION("""COMPUTED_VALUE"""),"อก.ปวช.2/2")</f>
        <v>อก.ปวช.2/2</v>
      </c>
      <c r="E2571" s="2" t="str">
        <f>IFERROR(__xludf.DUMMYFUNCTION("""COMPUTED_VALUE"""),"หญิง")</f>
        <v>หญิง</v>
      </c>
      <c r="F2571" s="5" t="str">
        <f>IFERROR(__xludf.DUMMYFUNCTION("""COMPUTED_VALUE"""),"https://azizstan.net/student_image_voc/6721910161.jpg")</f>
        <v>https://azizstan.net/student_image_voc/6721910161.jpg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>
      <c r="A2572" s="3" t="str">
        <f>IFERROR(__xludf.DUMMYFUNCTION("""COMPUTED_VALUE"""),"6721910165")</f>
        <v>6721910165</v>
      </c>
      <c r="B2572" s="3" t="str">
        <f>IFERROR(__xludf.DUMMYFUNCTION("""COMPUTED_VALUE"""),"น.ส.นูรฮานีฟา เจะอาลี")</f>
        <v>น.ส.นูรฮานีฟา เจะอาลี</v>
      </c>
      <c r="C2572" s="3" t="str">
        <f>IFERROR(__xludf.DUMMYFUNCTION("""COMPUTED_VALUE"""),"ปวช.2/2")</f>
        <v>ปวช.2/2</v>
      </c>
      <c r="D2572" s="3" t="str">
        <f>IFERROR(__xludf.DUMMYFUNCTION("""COMPUTED_VALUE"""),"อก.ปวช.2/2")</f>
        <v>อก.ปวช.2/2</v>
      </c>
      <c r="E2572" s="2" t="str">
        <f>IFERROR(__xludf.DUMMYFUNCTION("""COMPUTED_VALUE"""),"หญิง")</f>
        <v>หญิง</v>
      </c>
      <c r="F2572" s="5" t="str">
        <f>IFERROR(__xludf.DUMMYFUNCTION("""COMPUTED_VALUE"""),"https://azizstan.net/student_image_voc/6721910165.jpg")</f>
        <v>https://azizstan.net/student_image_voc/6721910165.jpg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</row>
    <row r="2573">
      <c r="A2573" s="3" t="str">
        <f>IFERROR(__xludf.DUMMYFUNCTION("""COMPUTED_VALUE"""),"6721910166")</f>
        <v>6721910166</v>
      </c>
      <c r="B2573" s="3" t="str">
        <f>IFERROR(__xludf.DUMMYFUNCTION("""COMPUTED_VALUE"""),"น.ส.มูนาดา ยะสารี")</f>
        <v>น.ส.มูนาดา ยะสารี</v>
      </c>
      <c r="C2573" s="3" t="str">
        <f>IFERROR(__xludf.DUMMYFUNCTION("""COMPUTED_VALUE"""),"ปวช.2/2")</f>
        <v>ปวช.2/2</v>
      </c>
      <c r="D2573" s="3" t="str">
        <f>IFERROR(__xludf.DUMMYFUNCTION("""COMPUTED_VALUE"""),"อก.ปวช.2/2")</f>
        <v>อก.ปวช.2/2</v>
      </c>
      <c r="E2573" s="2" t="str">
        <f>IFERROR(__xludf.DUMMYFUNCTION("""COMPUTED_VALUE"""),"หญิง")</f>
        <v>หญิง</v>
      </c>
      <c r="F2573" s="5" t="str">
        <f>IFERROR(__xludf.DUMMYFUNCTION("""COMPUTED_VALUE"""),"https://azizstan.net/student_image_voc/6721910166.jpg")</f>
        <v>https://azizstan.net/student_image_voc/6721910166.jpg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>
      <c r="A2574" s="3" t="str">
        <f>IFERROR(__xludf.DUMMYFUNCTION("""COMPUTED_VALUE"""),"6721910170")</f>
        <v>6721910170</v>
      </c>
      <c r="B2574" s="3" t="str">
        <f>IFERROR(__xludf.DUMMYFUNCTION("""COMPUTED_VALUE"""),"น.ส.โซฟีด๊ะห์ สะตามัน")</f>
        <v>น.ส.โซฟีด๊ะห์ สะตามัน</v>
      </c>
      <c r="C2574" s="3" t="str">
        <f>IFERROR(__xludf.DUMMYFUNCTION("""COMPUTED_VALUE"""),"ปวช.2/2")</f>
        <v>ปวช.2/2</v>
      </c>
      <c r="D2574" s="3" t="str">
        <f>IFERROR(__xludf.DUMMYFUNCTION("""COMPUTED_VALUE"""),"อก.ปวช.2/2")</f>
        <v>อก.ปวช.2/2</v>
      </c>
      <c r="E2574" s="2" t="str">
        <f>IFERROR(__xludf.DUMMYFUNCTION("""COMPUTED_VALUE"""),"หญิง")</f>
        <v>หญิง</v>
      </c>
      <c r="F2574" s="5" t="str">
        <f>IFERROR(__xludf.DUMMYFUNCTION("""COMPUTED_VALUE"""),"https://azizstan.net/student_image_voc/6721910170.jpg")</f>
        <v>https://azizstan.net/student_image_voc/6721910170.jpg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>
      <c r="A2575" s="3" t="str">
        <f>IFERROR(__xludf.DUMMYFUNCTION("""COMPUTED_VALUE"""),"6721910171")</f>
        <v>6721910171</v>
      </c>
      <c r="B2575" s="3" t="str">
        <f>IFERROR(__xludf.DUMMYFUNCTION("""COMPUTED_VALUE"""),"น.ส.ซูรีฮัน สาแม")</f>
        <v>น.ส.ซูรีฮัน สาแม</v>
      </c>
      <c r="C2575" s="3" t="str">
        <f>IFERROR(__xludf.DUMMYFUNCTION("""COMPUTED_VALUE"""),"ปวช.2/2")</f>
        <v>ปวช.2/2</v>
      </c>
      <c r="D2575" s="3" t="str">
        <f>IFERROR(__xludf.DUMMYFUNCTION("""COMPUTED_VALUE"""),"อก.ปวช.2/2")</f>
        <v>อก.ปวช.2/2</v>
      </c>
      <c r="E2575" s="2" t="str">
        <f>IFERROR(__xludf.DUMMYFUNCTION("""COMPUTED_VALUE"""),"หญิง")</f>
        <v>หญิง</v>
      </c>
      <c r="F2575" s="5" t="str">
        <f>IFERROR(__xludf.DUMMYFUNCTION("""COMPUTED_VALUE"""),"https://azizstan.net/student_image_voc/6721910171.jpg")</f>
        <v>https://azizstan.net/student_image_voc/6721910171.jpg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</row>
    <row r="2576">
      <c r="A2576" s="3" t="str">
        <f>IFERROR(__xludf.DUMMYFUNCTION("""COMPUTED_VALUE"""),"6721910173")</f>
        <v>6721910173</v>
      </c>
      <c r="B2576" s="3" t="str">
        <f>IFERROR(__xludf.DUMMYFUNCTION("""COMPUTED_VALUE"""),"น.ส.ฟาติน บ่อเตย")</f>
        <v>น.ส.ฟาติน บ่อเตย</v>
      </c>
      <c r="C2576" s="3" t="str">
        <f>IFERROR(__xludf.DUMMYFUNCTION("""COMPUTED_VALUE"""),"ปวช.2/2")</f>
        <v>ปวช.2/2</v>
      </c>
      <c r="D2576" s="3" t="str">
        <f>IFERROR(__xludf.DUMMYFUNCTION("""COMPUTED_VALUE"""),"อก.ปวช.2/2")</f>
        <v>อก.ปวช.2/2</v>
      </c>
      <c r="E2576" s="2" t="str">
        <f>IFERROR(__xludf.DUMMYFUNCTION("""COMPUTED_VALUE"""),"หญิง")</f>
        <v>หญิง</v>
      </c>
      <c r="F2576" s="5" t="str">
        <f>IFERROR(__xludf.DUMMYFUNCTION("""COMPUTED_VALUE"""),"https://azizstan.net/student_image_voc/6721910173.jpg")</f>
        <v>https://azizstan.net/student_image_voc/6721910173.jpg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</row>
    <row r="2577">
      <c r="A2577" s="3" t="str">
        <f>IFERROR(__xludf.DUMMYFUNCTION("""COMPUTED_VALUE"""),"6721910174")</f>
        <v>6721910174</v>
      </c>
      <c r="B2577" s="3" t="str">
        <f>IFERROR(__xludf.DUMMYFUNCTION("""COMPUTED_VALUE"""),"น.ส.ยุสรินดา แปแนะ")</f>
        <v>น.ส.ยุสรินดา แปแนะ</v>
      </c>
      <c r="C2577" s="3" t="str">
        <f>IFERROR(__xludf.DUMMYFUNCTION("""COMPUTED_VALUE"""),"ปวช.2/2")</f>
        <v>ปวช.2/2</v>
      </c>
      <c r="D2577" s="3" t="str">
        <f>IFERROR(__xludf.DUMMYFUNCTION("""COMPUTED_VALUE"""),"อก.ปวช.2/2")</f>
        <v>อก.ปวช.2/2</v>
      </c>
      <c r="E2577" s="2" t="str">
        <f>IFERROR(__xludf.DUMMYFUNCTION("""COMPUTED_VALUE"""),"หญิง")</f>
        <v>หญิง</v>
      </c>
      <c r="F2577" s="5" t="str">
        <f>IFERROR(__xludf.DUMMYFUNCTION("""COMPUTED_VALUE"""),"https://azizstan.net/student_image_voc/6721910174.jpg")</f>
        <v>https://azizstan.net/student_image_voc/6721910174.jpg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>
      <c r="A2578" s="3" t="str">
        <f>IFERROR(__xludf.DUMMYFUNCTION("""COMPUTED_VALUE"""),"6721910178")</f>
        <v>6721910178</v>
      </c>
      <c r="B2578" s="3" t="str">
        <f>IFERROR(__xludf.DUMMYFUNCTION("""COMPUTED_VALUE"""),"น.ส.ซาวานี สมสะ")</f>
        <v>น.ส.ซาวานี สมสะ</v>
      </c>
      <c r="C2578" s="3" t="str">
        <f>IFERROR(__xludf.DUMMYFUNCTION("""COMPUTED_VALUE"""),"ปวช.2/2")</f>
        <v>ปวช.2/2</v>
      </c>
      <c r="D2578" s="3" t="str">
        <f>IFERROR(__xludf.DUMMYFUNCTION("""COMPUTED_VALUE"""),"อก.ปวช.2/2")</f>
        <v>อก.ปวช.2/2</v>
      </c>
      <c r="E2578" s="2" t="str">
        <f>IFERROR(__xludf.DUMMYFUNCTION("""COMPUTED_VALUE"""),"หญิง")</f>
        <v>หญิง</v>
      </c>
      <c r="F2578" s="5" t="str">
        <f>IFERROR(__xludf.DUMMYFUNCTION("""COMPUTED_VALUE"""),"https://azizstan.net/student_image_voc/6721910178.jpg")</f>
        <v>https://azizstan.net/student_image_voc/6721910178.jpg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>
      <c r="A2579" s="3" t="str">
        <f>IFERROR(__xludf.DUMMYFUNCTION("""COMPUTED_VALUE"""),"6721910179")</f>
        <v>6721910179</v>
      </c>
      <c r="B2579" s="3" t="str">
        <f>IFERROR(__xludf.DUMMYFUNCTION("""COMPUTED_VALUE"""),"น.ส.อัสมะ อูเซ็ง")</f>
        <v>น.ส.อัสมะ อูเซ็ง</v>
      </c>
      <c r="C2579" s="3" t="str">
        <f>IFERROR(__xludf.DUMMYFUNCTION("""COMPUTED_VALUE"""),"ปวช.2/2")</f>
        <v>ปวช.2/2</v>
      </c>
      <c r="D2579" s="3" t="str">
        <f>IFERROR(__xludf.DUMMYFUNCTION("""COMPUTED_VALUE"""),"อก.ปวช.2/2")</f>
        <v>อก.ปวช.2/2</v>
      </c>
      <c r="E2579" s="2" t="str">
        <f>IFERROR(__xludf.DUMMYFUNCTION("""COMPUTED_VALUE"""),"หญิง")</f>
        <v>หญิง</v>
      </c>
      <c r="F2579" s="5" t="str">
        <f>IFERROR(__xludf.DUMMYFUNCTION("""COMPUTED_VALUE"""),"https://azizstan.net/student_image_voc/6721910179.jpg")</f>
        <v>https://azizstan.net/student_image_voc/6721910179.jpg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</row>
    <row r="2580">
      <c r="A2580" s="3" t="str">
        <f>IFERROR(__xludf.DUMMYFUNCTION("""COMPUTED_VALUE"""),"6721910181")</f>
        <v>6721910181</v>
      </c>
      <c r="B2580" s="3" t="str">
        <f>IFERROR(__xludf.DUMMYFUNCTION("""COMPUTED_VALUE"""),"น.ส.นูรสัน สาและ")</f>
        <v>น.ส.นูรสัน สาและ</v>
      </c>
      <c r="C2580" s="3" t="str">
        <f>IFERROR(__xludf.DUMMYFUNCTION("""COMPUTED_VALUE"""),"ปวช.2/2")</f>
        <v>ปวช.2/2</v>
      </c>
      <c r="D2580" s="3" t="str">
        <f>IFERROR(__xludf.DUMMYFUNCTION("""COMPUTED_VALUE"""),"อก.ปวช.2/2")</f>
        <v>อก.ปวช.2/2</v>
      </c>
      <c r="E2580" s="2" t="str">
        <f>IFERROR(__xludf.DUMMYFUNCTION("""COMPUTED_VALUE"""),"หญิง")</f>
        <v>หญิง</v>
      </c>
      <c r="F2580" s="5" t="str">
        <f>IFERROR(__xludf.DUMMYFUNCTION("""COMPUTED_VALUE"""),"https://azizstan.net/student_image_voc/6721910181.jpg")</f>
        <v>https://azizstan.net/student_image_voc/6721910181.jpg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</row>
    <row r="2581">
      <c r="A2581" s="3" t="str">
        <f>IFERROR(__xludf.DUMMYFUNCTION("""COMPUTED_VALUE"""),"6721910184")</f>
        <v>6721910184</v>
      </c>
      <c r="B2581" s="3" t="str">
        <f>IFERROR(__xludf.DUMMYFUNCTION("""COMPUTED_VALUE"""),"น.ส.ฮุสนา สันสนิ")</f>
        <v>น.ส.ฮุสนา สันสนิ</v>
      </c>
      <c r="C2581" s="3" t="str">
        <f>IFERROR(__xludf.DUMMYFUNCTION("""COMPUTED_VALUE"""),"ปวช.2/2")</f>
        <v>ปวช.2/2</v>
      </c>
      <c r="D2581" s="3" t="str">
        <f>IFERROR(__xludf.DUMMYFUNCTION("""COMPUTED_VALUE"""),"อก.ปวช.2/2")</f>
        <v>อก.ปวช.2/2</v>
      </c>
      <c r="E2581" s="2" t="str">
        <f>IFERROR(__xludf.DUMMYFUNCTION("""COMPUTED_VALUE"""),"หญิง")</f>
        <v>หญิง</v>
      </c>
      <c r="F2581" s="5" t="str">
        <f>IFERROR(__xludf.DUMMYFUNCTION("""COMPUTED_VALUE"""),"https://azizstan.net/student_image_voc/6721910184.jpg")</f>
        <v>https://azizstan.net/student_image_voc/6721910184.jpg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</row>
    <row r="2582">
      <c r="A2582" s="3" t="str">
        <f>IFERROR(__xludf.DUMMYFUNCTION("""COMPUTED_VALUE"""),"6721910187")</f>
        <v>6721910187</v>
      </c>
      <c r="B2582" s="3" t="str">
        <f>IFERROR(__xludf.DUMMYFUNCTION("""COMPUTED_VALUE"""),"น.ส.นุรกาซมี ยูนุ")</f>
        <v>น.ส.นุรกาซมี ยูนุ</v>
      </c>
      <c r="C2582" s="3" t="str">
        <f>IFERROR(__xludf.DUMMYFUNCTION("""COMPUTED_VALUE"""),"ปวช.2/2")</f>
        <v>ปวช.2/2</v>
      </c>
      <c r="D2582" s="3" t="str">
        <f>IFERROR(__xludf.DUMMYFUNCTION("""COMPUTED_VALUE"""),"อก.ปวช.2/2")</f>
        <v>อก.ปวช.2/2</v>
      </c>
      <c r="E2582" s="2" t="str">
        <f>IFERROR(__xludf.DUMMYFUNCTION("""COMPUTED_VALUE"""),"หญิง")</f>
        <v>หญิง</v>
      </c>
      <c r="F2582" s="5" t="str">
        <f>IFERROR(__xludf.DUMMYFUNCTION("""COMPUTED_VALUE"""),"https://azizstan.net/student_image_voc/6721910187.jpg")</f>
        <v>https://azizstan.net/student_image_voc/6721910187.jpg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>
      <c r="A2583" s="3" t="str">
        <f>IFERROR(__xludf.DUMMYFUNCTION("""COMPUTED_VALUE"""),"6721910188")</f>
        <v>6721910188</v>
      </c>
      <c r="B2583" s="3" t="str">
        <f>IFERROR(__xludf.DUMMYFUNCTION("""COMPUTED_VALUE"""),"น.ส.นุรอัฟฟา บาดง")</f>
        <v>น.ส.นุรอัฟฟา บาดง</v>
      </c>
      <c r="C2583" s="3" t="str">
        <f>IFERROR(__xludf.DUMMYFUNCTION("""COMPUTED_VALUE"""),"ปวช.2/2")</f>
        <v>ปวช.2/2</v>
      </c>
      <c r="D2583" s="3" t="str">
        <f>IFERROR(__xludf.DUMMYFUNCTION("""COMPUTED_VALUE"""),"อก.ปวช.2/2")</f>
        <v>อก.ปวช.2/2</v>
      </c>
      <c r="E2583" s="2" t="str">
        <f>IFERROR(__xludf.DUMMYFUNCTION("""COMPUTED_VALUE"""),"หญิง")</f>
        <v>หญิง</v>
      </c>
      <c r="F2583" s="5" t="str">
        <f>IFERROR(__xludf.DUMMYFUNCTION("""COMPUTED_VALUE"""),"https://azizstan.net/student_image_voc/6721910188.jpg")</f>
        <v>https://azizstan.net/student_image_voc/6721910188.jpg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>
      <c r="A2584" s="3" t="str">
        <f>IFERROR(__xludf.DUMMYFUNCTION("""COMPUTED_VALUE"""),"6620204012")</f>
        <v>6620204012</v>
      </c>
      <c r="B2584" s="3" t="str">
        <f>IFERROR(__xludf.DUMMYFUNCTION("""COMPUTED_VALUE"""),"น.ส.เดียร์น่า สะมาแอ")</f>
        <v>น.ส.เดียร์น่า สะมาแอ</v>
      </c>
      <c r="C2584" s="3" t="str">
        <f>IFERROR(__xludf.DUMMYFUNCTION("""COMPUTED_VALUE"""),"ปวช.3/1")</f>
        <v>ปวช.3/1</v>
      </c>
      <c r="D2584" s="3" t="str">
        <f>IFERROR(__xludf.DUMMYFUNCTION("""COMPUTED_VALUE"""),"อก.ปวช.3/1")</f>
        <v>อก.ปวช.3/1</v>
      </c>
      <c r="E2584" s="2" t="str">
        <f>IFERROR(__xludf.DUMMYFUNCTION("""COMPUTED_VALUE"""),"หญิง")</f>
        <v>หญิง</v>
      </c>
      <c r="F2584" s="5" t="str">
        <f>IFERROR(__xludf.DUMMYFUNCTION("""COMPUTED_VALUE"""),"https://azizstan.net/student_image_voc/6620204012.jpg")</f>
        <v>https://azizstan.net/student_image_voc/6620204012.jpg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>
      <c r="A2585" s="3" t="str">
        <f>IFERROR(__xludf.DUMMYFUNCTION("""COMPUTED_VALUE"""),"6620204014")</f>
        <v>6620204014</v>
      </c>
      <c r="B2585" s="3" t="str">
        <f>IFERROR(__xludf.DUMMYFUNCTION("""COMPUTED_VALUE"""),"นายฮัมดัน ลอสะ")</f>
        <v>นายฮัมดัน ลอสะ</v>
      </c>
      <c r="C2585" s="3" t="str">
        <f>IFERROR(__xludf.DUMMYFUNCTION("""COMPUTED_VALUE"""),"ปวช.3/1")</f>
        <v>ปวช.3/1</v>
      </c>
      <c r="D2585" s="3" t="str">
        <f>IFERROR(__xludf.DUMMYFUNCTION("""COMPUTED_VALUE"""),"อก.ปวช.3/1")</f>
        <v>อก.ปวช.3/1</v>
      </c>
      <c r="E2585" s="2" t="str">
        <f>IFERROR(__xludf.DUMMYFUNCTION("""COMPUTED_VALUE"""),"ชาย")</f>
        <v>ชาย</v>
      </c>
      <c r="F2585" s="5" t="str">
        <f>IFERROR(__xludf.DUMMYFUNCTION("""COMPUTED_VALUE"""),"https://azizstan.net/student_image_voc/6620204014.jpg")</f>
        <v>https://azizstan.net/student_image_voc/6620204014.jpg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>
      <c r="A2586" s="3" t="str">
        <f>IFERROR(__xludf.DUMMYFUNCTION("""COMPUTED_VALUE"""),"6620204015")</f>
        <v>6620204015</v>
      </c>
      <c r="B2586" s="3" t="str">
        <f>IFERROR(__xludf.DUMMYFUNCTION("""COMPUTED_VALUE"""),"นายซัยดาร์น คาเร็ง")</f>
        <v>นายซัยดาร์น คาเร็ง</v>
      </c>
      <c r="C2586" s="3" t="str">
        <f>IFERROR(__xludf.DUMMYFUNCTION("""COMPUTED_VALUE"""),"ปวช.3/1")</f>
        <v>ปวช.3/1</v>
      </c>
      <c r="D2586" s="3" t="str">
        <f>IFERROR(__xludf.DUMMYFUNCTION("""COMPUTED_VALUE"""),"อก.ปวช.3/1")</f>
        <v>อก.ปวช.3/1</v>
      </c>
      <c r="E2586" s="2" t="str">
        <f>IFERROR(__xludf.DUMMYFUNCTION("""COMPUTED_VALUE"""),"ชาย")</f>
        <v>ชาย</v>
      </c>
      <c r="F2586" s="5" t="str">
        <f>IFERROR(__xludf.DUMMYFUNCTION("""COMPUTED_VALUE"""),"https://azizstan.net/student_image_voc/6620204015.jpg")</f>
        <v>https://azizstan.net/student_image_voc/6620204015.jpg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>
      <c r="A2587" s="3" t="str">
        <f>IFERROR(__xludf.DUMMYFUNCTION("""COMPUTED_VALUE"""),"6620204016")</f>
        <v>6620204016</v>
      </c>
      <c r="B2587" s="3" t="str">
        <f>IFERROR(__xludf.DUMMYFUNCTION("""COMPUTED_VALUE"""),"นายนาอีฟ ปาโห๊ะ")</f>
        <v>นายนาอีฟ ปาโห๊ะ</v>
      </c>
      <c r="C2587" s="3" t="str">
        <f>IFERROR(__xludf.DUMMYFUNCTION("""COMPUTED_VALUE"""),"ปวช.3/1")</f>
        <v>ปวช.3/1</v>
      </c>
      <c r="D2587" s="3" t="str">
        <f>IFERROR(__xludf.DUMMYFUNCTION("""COMPUTED_VALUE"""),"อก.ปวช.3/1")</f>
        <v>อก.ปวช.3/1</v>
      </c>
      <c r="E2587" s="2" t="str">
        <f>IFERROR(__xludf.DUMMYFUNCTION("""COMPUTED_VALUE"""),"ชาย")</f>
        <v>ชาย</v>
      </c>
      <c r="F2587" s="5" t="str">
        <f>IFERROR(__xludf.DUMMYFUNCTION("""COMPUTED_VALUE"""),"https://azizstan.net/student_image_voc/6620204016.jpg")</f>
        <v>https://azizstan.net/student_image_voc/6620204016.jpg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>
      <c r="A2588" s="3" t="str">
        <f>IFERROR(__xludf.DUMMYFUNCTION("""COMPUTED_VALUE"""),"6620204017")</f>
        <v>6620204017</v>
      </c>
      <c r="B2588" s="3" t="str">
        <f>IFERROR(__xludf.DUMMYFUNCTION("""COMPUTED_VALUE"""),"นายฮัมรัน หยีมะยิ")</f>
        <v>นายฮัมรัน หยีมะยิ</v>
      </c>
      <c r="C2588" s="3" t="str">
        <f>IFERROR(__xludf.DUMMYFUNCTION("""COMPUTED_VALUE"""),"ปวช.3/1")</f>
        <v>ปวช.3/1</v>
      </c>
      <c r="D2588" s="3" t="str">
        <f>IFERROR(__xludf.DUMMYFUNCTION("""COMPUTED_VALUE"""),"อก.ปวช.3/1")</f>
        <v>อก.ปวช.3/1</v>
      </c>
      <c r="E2588" s="2" t="str">
        <f>IFERROR(__xludf.DUMMYFUNCTION("""COMPUTED_VALUE"""),"ชาย")</f>
        <v>ชาย</v>
      </c>
      <c r="F2588" s="5" t="str">
        <f>IFERROR(__xludf.DUMMYFUNCTION("""COMPUTED_VALUE"""),"https://azizstan.net/student_image_voc/6620204017.jpg")</f>
        <v>https://azizstan.net/student_image_voc/6620204017.jpg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>
      <c r="A2589" s="3" t="str">
        <f>IFERROR(__xludf.DUMMYFUNCTION("""COMPUTED_VALUE"""),"6620204018")</f>
        <v>6620204018</v>
      </c>
      <c r="B2589" s="3" t="str">
        <f>IFERROR(__xludf.DUMMYFUNCTION("""COMPUTED_VALUE"""),"นายมุสิทชัย มุสอหัด")</f>
        <v>นายมุสิทชัย มุสอหัด</v>
      </c>
      <c r="C2589" s="3" t="str">
        <f>IFERROR(__xludf.DUMMYFUNCTION("""COMPUTED_VALUE"""),"ปวช.3/1")</f>
        <v>ปวช.3/1</v>
      </c>
      <c r="D2589" s="3" t="str">
        <f>IFERROR(__xludf.DUMMYFUNCTION("""COMPUTED_VALUE"""),"อก.ปวช.3/1")</f>
        <v>อก.ปวช.3/1</v>
      </c>
      <c r="E2589" s="2" t="str">
        <f>IFERROR(__xludf.DUMMYFUNCTION("""COMPUTED_VALUE"""),"ชาย")</f>
        <v>ชาย</v>
      </c>
      <c r="F2589" s="5" t="str">
        <f>IFERROR(__xludf.DUMMYFUNCTION("""COMPUTED_VALUE"""),"https://azizstan.net/student_image_voc/6620204018.jpg")</f>
        <v>https://azizstan.net/student_image_voc/6620204018.jpg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>
      <c r="A2590" s="3" t="str">
        <f>IFERROR(__xludf.DUMMYFUNCTION("""COMPUTED_VALUE"""),"6620204021")</f>
        <v>6620204021</v>
      </c>
      <c r="B2590" s="3" t="str">
        <f>IFERROR(__xludf.DUMMYFUNCTION("""COMPUTED_VALUE"""),"นายรอมดัน เจะหลง")</f>
        <v>นายรอมดัน เจะหลง</v>
      </c>
      <c r="C2590" s="3" t="str">
        <f>IFERROR(__xludf.DUMMYFUNCTION("""COMPUTED_VALUE"""),"ปวช.3/1")</f>
        <v>ปวช.3/1</v>
      </c>
      <c r="D2590" s="3" t="str">
        <f>IFERROR(__xludf.DUMMYFUNCTION("""COMPUTED_VALUE"""),"อก.ปวช.3/1")</f>
        <v>อก.ปวช.3/1</v>
      </c>
      <c r="E2590" s="2" t="str">
        <f>IFERROR(__xludf.DUMMYFUNCTION("""COMPUTED_VALUE"""),"ชาย")</f>
        <v>ชาย</v>
      </c>
      <c r="F2590" s="5" t="str">
        <f>IFERROR(__xludf.DUMMYFUNCTION("""COMPUTED_VALUE"""),"https://azizstan.net/student_image_voc/6620204021.jpg")</f>
        <v>https://azizstan.net/student_image_voc/6620204021.jpg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>
      <c r="A2591" s="3" t="str">
        <f>IFERROR(__xludf.DUMMYFUNCTION("""COMPUTED_VALUE"""),"6620204025")</f>
        <v>6620204025</v>
      </c>
      <c r="B2591" s="3" t="str">
        <f>IFERROR(__xludf.DUMMYFUNCTION("""COMPUTED_VALUE"""),"นายอาดือนันต์ อาลี")</f>
        <v>นายอาดือนันต์ อาลี</v>
      </c>
      <c r="C2591" s="3" t="str">
        <f>IFERROR(__xludf.DUMMYFUNCTION("""COMPUTED_VALUE"""),"ปวช.3/1")</f>
        <v>ปวช.3/1</v>
      </c>
      <c r="D2591" s="3" t="str">
        <f>IFERROR(__xludf.DUMMYFUNCTION("""COMPUTED_VALUE"""),"อก.ปวช.3/1")</f>
        <v>อก.ปวช.3/1</v>
      </c>
      <c r="E2591" s="2" t="str">
        <f>IFERROR(__xludf.DUMMYFUNCTION("""COMPUTED_VALUE"""),"ชาย")</f>
        <v>ชาย</v>
      </c>
      <c r="F2591" s="5" t="str">
        <f>IFERROR(__xludf.DUMMYFUNCTION("""COMPUTED_VALUE"""),"https://azizstan.net/student_image_voc/6620204025.jpg")</f>
        <v>https://azizstan.net/student_image_voc/6620204025.jpg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>
      <c r="A2592" s="3" t="str">
        <f>IFERROR(__xludf.DUMMYFUNCTION("""COMPUTED_VALUE"""),"6620204026")</f>
        <v>6620204026</v>
      </c>
      <c r="B2592" s="3" t="str">
        <f>IFERROR(__xludf.DUMMYFUNCTION("""COMPUTED_VALUE"""),"นายอิกรอม บาฮอ")</f>
        <v>นายอิกรอม บาฮอ</v>
      </c>
      <c r="C2592" s="3" t="str">
        <f>IFERROR(__xludf.DUMMYFUNCTION("""COMPUTED_VALUE"""),"ปวช.3/1")</f>
        <v>ปวช.3/1</v>
      </c>
      <c r="D2592" s="3" t="str">
        <f>IFERROR(__xludf.DUMMYFUNCTION("""COMPUTED_VALUE"""),"อก.ปวช.3/1")</f>
        <v>อก.ปวช.3/1</v>
      </c>
      <c r="E2592" s="2" t="str">
        <f>IFERROR(__xludf.DUMMYFUNCTION("""COMPUTED_VALUE"""),"ชาย")</f>
        <v>ชาย</v>
      </c>
      <c r="F2592" s="5" t="str">
        <f>IFERROR(__xludf.DUMMYFUNCTION("""COMPUTED_VALUE"""),"https://azizstan.net/student_image_voc/6620204026.jpg")</f>
        <v>https://azizstan.net/student_image_voc/6620204026.jpg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>
      <c r="A2593" s="3" t="str">
        <f>IFERROR(__xludf.DUMMYFUNCTION("""COMPUTED_VALUE"""),"6620204027")</f>
        <v>6620204027</v>
      </c>
      <c r="B2593" s="3" t="str">
        <f>IFERROR(__xludf.DUMMYFUNCTION("""COMPUTED_VALUE"""),"นายอัฟฟาน ชายแผะ")</f>
        <v>นายอัฟฟาน ชายแผะ</v>
      </c>
      <c r="C2593" s="3" t="str">
        <f>IFERROR(__xludf.DUMMYFUNCTION("""COMPUTED_VALUE"""),"ปวช.3/1")</f>
        <v>ปวช.3/1</v>
      </c>
      <c r="D2593" s="3" t="str">
        <f>IFERROR(__xludf.DUMMYFUNCTION("""COMPUTED_VALUE"""),"อก.ปวช.3/1")</f>
        <v>อก.ปวช.3/1</v>
      </c>
      <c r="E2593" s="2" t="str">
        <f>IFERROR(__xludf.DUMMYFUNCTION("""COMPUTED_VALUE"""),"ชาย")</f>
        <v>ชาย</v>
      </c>
      <c r="F2593" s="5" t="str">
        <f>IFERROR(__xludf.DUMMYFUNCTION("""COMPUTED_VALUE"""),"https://azizstan.net/student_image_voc/6620204027.jpg")</f>
        <v>https://azizstan.net/student_image_voc/6620204027.jpg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>
      <c r="A2594" s="3" t="str">
        <f>IFERROR(__xludf.DUMMYFUNCTION("""COMPUTED_VALUE"""),"6620204031")</f>
        <v>6620204031</v>
      </c>
      <c r="B2594" s="3" t="str">
        <f>IFERROR(__xludf.DUMMYFUNCTION("""COMPUTED_VALUE"""),"นายอัฟฟาน ดอแนเลาะ")</f>
        <v>นายอัฟฟาน ดอแนเลาะ</v>
      </c>
      <c r="C2594" s="3" t="str">
        <f>IFERROR(__xludf.DUMMYFUNCTION("""COMPUTED_VALUE"""),"ปวช.3/1")</f>
        <v>ปวช.3/1</v>
      </c>
      <c r="D2594" s="3" t="str">
        <f>IFERROR(__xludf.DUMMYFUNCTION("""COMPUTED_VALUE"""),"อก.ปวช.3/1")</f>
        <v>อก.ปวช.3/1</v>
      </c>
      <c r="E2594" s="2" t="str">
        <f>IFERROR(__xludf.DUMMYFUNCTION("""COMPUTED_VALUE"""),"ชาย")</f>
        <v>ชาย</v>
      </c>
      <c r="F2594" s="5" t="str">
        <f>IFERROR(__xludf.DUMMYFUNCTION("""COMPUTED_VALUE"""),"https://azizstan.net/student_image_voc/6620204031.jpg")</f>
        <v>https://azizstan.net/student_image_voc/6620204031.jpg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>
      <c r="A2595" s="3" t="str">
        <f>IFERROR(__xludf.DUMMYFUNCTION("""COMPUTED_VALUE"""),"6620204036")</f>
        <v>6620204036</v>
      </c>
      <c r="B2595" s="3" t="str">
        <f>IFERROR(__xludf.DUMMYFUNCTION("""COMPUTED_VALUE"""),"นายอาดัม ดานิ")</f>
        <v>นายอาดัม ดานิ</v>
      </c>
      <c r="C2595" s="3" t="str">
        <f>IFERROR(__xludf.DUMMYFUNCTION("""COMPUTED_VALUE"""),"ปวช.3/1")</f>
        <v>ปวช.3/1</v>
      </c>
      <c r="D2595" s="3" t="str">
        <f>IFERROR(__xludf.DUMMYFUNCTION("""COMPUTED_VALUE"""),"อก.ปวช.3/1")</f>
        <v>อก.ปวช.3/1</v>
      </c>
      <c r="E2595" s="2" t="str">
        <f>IFERROR(__xludf.DUMMYFUNCTION("""COMPUTED_VALUE"""),"ชาย")</f>
        <v>ชาย</v>
      </c>
      <c r="F2595" s="5" t="str">
        <f>IFERROR(__xludf.DUMMYFUNCTION("""COMPUTED_VALUE"""),"https://azizstan.net/student_image_voc/6620204036.jpg")</f>
        <v>https://azizstan.net/student_image_voc/6620204036.jpg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>
      <c r="A2596" s="3" t="str">
        <f>IFERROR(__xludf.DUMMYFUNCTION("""COMPUTED_VALUE"""),"6620204049")</f>
        <v>6620204049</v>
      </c>
      <c r="B2596" s="3" t="str">
        <f>IFERROR(__xludf.DUMMYFUNCTION("""COMPUTED_VALUE"""),"นายมูฮำหมัดฮานาฟี ปะดอมะ")</f>
        <v>นายมูฮำหมัดฮานาฟี ปะดอมะ</v>
      </c>
      <c r="C2596" s="3" t="str">
        <f>IFERROR(__xludf.DUMMYFUNCTION("""COMPUTED_VALUE"""),"ปวช.3/1")</f>
        <v>ปวช.3/1</v>
      </c>
      <c r="D2596" s="3" t="str">
        <f>IFERROR(__xludf.DUMMYFUNCTION("""COMPUTED_VALUE"""),"อก.ปวช.3/1")</f>
        <v>อก.ปวช.3/1</v>
      </c>
      <c r="E2596" s="2" t="str">
        <f>IFERROR(__xludf.DUMMYFUNCTION("""COMPUTED_VALUE"""),"ชาย")</f>
        <v>ชาย</v>
      </c>
      <c r="F2596" s="5" t="str">
        <f>IFERROR(__xludf.DUMMYFUNCTION("""COMPUTED_VALUE"""),"https://azizstan.net/student_image_voc/6620204049.jpg")</f>
        <v>https://azizstan.net/student_image_voc/6620204049.jpg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>
      <c r="A2597" s="3" t="str">
        <f>IFERROR(__xludf.DUMMYFUNCTION("""COMPUTED_VALUE"""),"6620204053")</f>
        <v>6620204053</v>
      </c>
      <c r="B2597" s="3" t="str">
        <f>IFERROR(__xludf.DUMMYFUNCTION("""COMPUTED_VALUE"""),"นายอมีรุณ แมเดาะ")</f>
        <v>นายอมีรุณ แมเดาะ</v>
      </c>
      <c r="C2597" s="3" t="str">
        <f>IFERROR(__xludf.DUMMYFUNCTION("""COMPUTED_VALUE"""),"ปวช.3/1")</f>
        <v>ปวช.3/1</v>
      </c>
      <c r="D2597" s="3" t="str">
        <f>IFERROR(__xludf.DUMMYFUNCTION("""COMPUTED_VALUE"""),"อก.ปวช.3/1")</f>
        <v>อก.ปวช.3/1</v>
      </c>
      <c r="E2597" s="2" t="str">
        <f>IFERROR(__xludf.DUMMYFUNCTION("""COMPUTED_VALUE"""),"ชาย")</f>
        <v>ชาย</v>
      </c>
      <c r="F2597" s="5" t="str">
        <f>IFERROR(__xludf.DUMMYFUNCTION("""COMPUTED_VALUE"""),"https://azizstan.net/student_image_voc/6620204053.jpg")</f>
        <v>https://azizstan.net/student_image_voc/6620204053.jpg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>
      <c r="A2598" s="3" t="str">
        <f>IFERROR(__xludf.DUMMYFUNCTION("""COMPUTED_VALUE"""),"6620204056")</f>
        <v>6620204056</v>
      </c>
      <c r="B2598" s="3" t="str">
        <f>IFERROR(__xludf.DUMMYFUNCTION("""COMPUTED_VALUE"""),"นายอานัส จิใจ")</f>
        <v>นายอานัส จิใจ</v>
      </c>
      <c r="C2598" s="3" t="str">
        <f>IFERROR(__xludf.DUMMYFUNCTION("""COMPUTED_VALUE"""),"ปวช.3/1")</f>
        <v>ปวช.3/1</v>
      </c>
      <c r="D2598" s="3" t="str">
        <f>IFERROR(__xludf.DUMMYFUNCTION("""COMPUTED_VALUE"""),"อก.ปวช.3/1")</f>
        <v>อก.ปวช.3/1</v>
      </c>
      <c r="E2598" s="2" t="str">
        <f>IFERROR(__xludf.DUMMYFUNCTION("""COMPUTED_VALUE"""),"ชาย")</f>
        <v>ชาย</v>
      </c>
      <c r="F2598" s="5" t="str">
        <f>IFERROR(__xludf.DUMMYFUNCTION("""COMPUTED_VALUE"""),"https://azizstan.net/student_image_voc/6620204056.jpg")</f>
        <v>https://azizstan.net/student_image_voc/6620204056.jpg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>
      <c r="A2599" s="3" t="str">
        <f>IFERROR(__xludf.DUMMYFUNCTION("""COMPUTED_VALUE"""),"6620204057")</f>
        <v>6620204057</v>
      </c>
      <c r="B2599" s="3" t="str">
        <f>IFERROR(__xludf.DUMMYFUNCTION("""COMPUTED_VALUE"""),"นายรอฮิม เจะเด็ง")</f>
        <v>นายรอฮิม เจะเด็ง</v>
      </c>
      <c r="C2599" s="3" t="str">
        <f>IFERROR(__xludf.DUMMYFUNCTION("""COMPUTED_VALUE"""),"ปวช.3/1")</f>
        <v>ปวช.3/1</v>
      </c>
      <c r="D2599" s="3" t="str">
        <f>IFERROR(__xludf.DUMMYFUNCTION("""COMPUTED_VALUE"""),"อก.ปวช.3/1")</f>
        <v>อก.ปวช.3/1</v>
      </c>
      <c r="E2599" s="2" t="str">
        <f>IFERROR(__xludf.DUMMYFUNCTION("""COMPUTED_VALUE"""),"ชาย")</f>
        <v>ชาย</v>
      </c>
      <c r="F2599" s="5" t="str">
        <f>IFERROR(__xludf.DUMMYFUNCTION("""COMPUTED_VALUE"""),"https://azizstan.net/student_image_voc/6620204057.jpg")</f>
        <v>https://azizstan.net/student_image_voc/6620204057.jpg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>
      <c r="A2600" s="3" t="str">
        <f>IFERROR(__xludf.DUMMYFUNCTION("""COMPUTED_VALUE"""),"6620204058")</f>
        <v>6620204058</v>
      </c>
      <c r="B2600" s="3" t="str">
        <f>IFERROR(__xludf.DUMMYFUNCTION("""COMPUTED_VALUE"""),"น.ส.นุรเดียนีย์ หะยีสาแม")</f>
        <v>น.ส.นุรเดียนีย์ หะยีสาแม</v>
      </c>
      <c r="C2600" s="3" t="str">
        <f>IFERROR(__xludf.DUMMYFUNCTION("""COMPUTED_VALUE"""),"ปวช.3/1")</f>
        <v>ปวช.3/1</v>
      </c>
      <c r="D2600" s="3" t="str">
        <f>IFERROR(__xludf.DUMMYFUNCTION("""COMPUTED_VALUE"""),"อก.ปวช.3/1")</f>
        <v>อก.ปวช.3/1</v>
      </c>
      <c r="E2600" s="2" t="str">
        <f>IFERROR(__xludf.DUMMYFUNCTION("""COMPUTED_VALUE"""),"หญิง")</f>
        <v>หญิง</v>
      </c>
      <c r="F2600" s="5" t="str">
        <f>IFERROR(__xludf.DUMMYFUNCTION("""COMPUTED_VALUE"""),"https://azizstan.net/student_image_voc/6620204058.jpg")</f>
        <v>https://azizstan.net/student_image_voc/6620204058.jpg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>
      <c r="A2601" s="3" t="str">
        <f>IFERROR(__xludf.DUMMYFUNCTION("""COMPUTED_VALUE"""),"6620204066")</f>
        <v>6620204066</v>
      </c>
      <c r="B2601" s="3" t="str">
        <f>IFERROR(__xludf.DUMMYFUNCTION("""COMPUTED_VALUE"""),"นายมะอามีรูน มะสัน")</f>
        <v>นายมะอามีรูน มะสัน</v>
      </c>
      <c r="C2601" s="3" t="str">
        <f>IFERROR(__xludf.DUMMYFUNCTION("""COMPUTED_VALUE"""),"ปวช.3/1")</f>
        <v>ปวช.3/1</v>
      </c>
      <c r="D2601" s="3" t="str">
        <f>IFERROR(__xludf.DUMMYFUNCTION("""COMPUTED_VALUE"""),"อก.ปวช.3/1")</f>
        <v>อก.ปวช.3/1</v>
      </c>
      <c r="E2601" s="2" t="str">
        <f>IFERROR(__xludf.DUMMYFUNCTION("""COMPUTED_VALUE"""),"ชาย")</f>
        <v>ชาย</v>
      </c>
      <c r="F2601" s="5" t="str">
        <f>IFERROR(__xludf.DUMMYFUNCTION("""COMPUTED_VALUE"""),"https://azizstan.net/student_image_voc/6620204066.jpg")</f>
        <v>https://azizstan.net/student_image_voc/6620204066.jpg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>
      <c r="A2602" s="3" t="str">
        <f>IFERROR(__xludf.DUMMYFUNCTION("""COMPUTED_VALUE"""),"6620204067")</f>
        <v>6620204067</v>
      </c>
      <c r="B2602" s="3" t="str">
        <f>IFERROR(__xludf.DUMMYFUNCTION("""COMPUTED_VALUE"""),"น.ส.ชญานุช บิงดอเลาะ")</f>
        <v>น.ส.ชญานุช บิงดอเลาะ</v>
      </c>
      <c r="C2602" s="3" t="str">
        <f>IFERROR(__xludf.DUMMYFUNCTION("""COMPUTED_VALUE"""),"ปวช.3/1")</f>
        <v>ปวช.3/1</v>
      </c>
      <c r="D2602" s="3" t="str">
        <f>IFERROR(__xludf.DUMMYFUNCTION("""COMPUTED_VALUE"""),"อก.ปวช.3/1")</f>
        <v>อก.ปวช.3/1</v>
      </c>
      <c r="E2602" s="2" t="str">
        <f>IFERROR(__xludf.DUMMYFUNCTION("""COMPUTED_VALUE"""),"หญิง")</f>
        <v>หญิง</v>
      </c>
      <c r="F2602" s="5" t="str">
        <f>IFERROR(__xludf.DUMMYFUNCTION("""COMPUTED_VALUE"""),"https://azizstan.net/student_image_voc/6620204067.jpg")</f>
        <v>https://azizstan.net/student_image_voc/6620204067.jpg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>
      <c r="A2603" s="3" t="str">
        <f>IFERROR(__xludf.DUMMYFUNCTION("""COMPUTED_VALUE"""),"6620204073")</f>
        <v>6620204073</v>
      </c>
      <c r="B2603" s="3" t="str">
        <f>IFERROR(__xludf.DUMMYFUNCTION("""COMPUTED_VALUE"""),"น.ส.นูรฟาซีลา อะแด")</f>
        <v>น.ส.นูรฟาซีลา อะแด</v>
      </c>
      <c r="C2603" s="3" t="str">
        <f>IFERROR(__xludf.DUMMYFUNCTION("""COMPUTED_VALUE"""),"ปวช.3/1")</f>
        <v>ปวช.3/1</v>
      </c>
      <c r="D2603" s="3" t="str">
        <f>IFERROR(__xludf.DUMMYFUNCTION("""COMPUTED_VALUE"""),"อก.ปวช.3/1")</f>
        <v>อก.ปวช.3/1</v>
      </c>
      <c r="E2603" s="2" t="str">
        <f>IFERROR(__xludf.DUMMYFUNCTION("""COMPUTED_VALUE"""),"หญิง")</f>
        <v>หญิง</v>
      </c>
      <c r="F2603" s="5" t="str">
        <f>IFERROR(__xludf.DUMMYFUNCTION("""COMPUTED_VALUE"""),"https://azizstan.net/student_image_voc/6620204073.jpg")</f>
        <v>https://azizstan.net/student_image_voc/6620204073.jpg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</row>
    <row r="2604">
      <c r="A2604" s="3" t="str">
        <f>IFERROR(__xludf.DUMMYFUNCTION("""COMPUTED_VALUE"""),"6620204076")</f>
        <v>6620204076</v>
      </c>
      <c r="B2604" s="3" t="str">
        <f>IFERROR(__xludf.DUMMYFUNCTION("""COMPUTED_VALUE"""),"น.ส.ศอลวีญะห์ มะโระ")</f>
        <v>น.ส.ศอลวีญะห์ มะโระ</v>
      </c>
      <c r="C2604" s="3" t="str">
        <f>IFERROR(__xludf.DUMMYFUNCTION("""COMPUTED_VALUE"""),"ปวช.3/1")</f>
        <v>ปวช.3/1</v>
      </c>
      <c r="D2604" s="3" t="str">
        <f>IFERROR(__xludf.DUMMYFUNCTION("""COMPUTED_VALUE"""),"อก.ปวช.3/1")</f>
        <v>อก.ปวช.3/1</v>
      </c>
      <c r="E2604" s="2" t="str">
        <f>IFERROR(__xludf.DUMMYFUNCTION("""COMPUTED_VALUE"""),"หญิง")</f>
        <v>หญิง</v>
      </c>
      <c r="F2604" s="5" t="str">
        <f>IFERROR(__xludf.DUMMYFUNCTION("""COMPUTED_VALUE"""),"https://azizstan.net/student_image_voc/6620204076.jpg")</f>
        <v>https://azizstan.net/student_image_voc/6620204076.jpg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>
      <c r="A2605" s="3" t="str">
        <f>IFERROR(__xludf.DUMMYFUNCTION("""COMPUTED_VALUE"""),"6620204079")</f>
        <v>6620204079</v>
      </c>
      <c r="B2605" s="3" t="str">
        <f>IFERROR(__xludf.DUMMYFUNCTION("""COMPUTED_VALUE"""),"นายนัศรุน สาแม็ง")</f>
        <v>นายนัศรุน สาแม็ง</v>
      </c>
      <c r="C2605" s="3" t="str">
        <f>IFERROR(__xludf.DUMMYFUNCTION("""COMPUTED_VALUE"""),"ปวช.3/1")</f>
        <v>ปวช.3/1</v>
      </c>
      <c r="D2605" s="3" t="str">
        <f>IFERROR(__xludf.DUMMYFUNCTION("""COMPUTED_VALUE"""),"อก.ปวช.3/1")</f>
        <v>อก.ปวช.3/1</v>
      </c>
      <c r="E2605" s="2" t="str">
        <f>IFERROR(__xludf.DUMMYFUNCTION("""COMPUTED_VALUE"""),"ชาย")</f>
        <v>ชาย</v>
      </c>
      <c r="F2605" s="5" t="str">
        <f>IFERROR(__xludf.DUMMYFUNCTION("""COMPUTED_VALUE"""),"https://azizstan.net/student_image_voc/6620204079.jpg")</f>
        <v>https://azizstan.net/student_image_voc/6620204079.jpg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>
      <c r="A2606" s="3" t="str">
        <f>IFERROR(__xludf.DUMMYFUNCTION("""COMPUTED_VALUE"""),"6620204081")</f>
        <v>6620204081</v>
      </c>
      <c r="B2606" s="3" t="str">
        <f>IFERROR(__xludf.DUMMYFUNCTION("""COMPUTED_VALUE"""),"น.ส.วารีน่า คงจินดามณี")</f>
        <v>น.ส.วารีน่า คงจินดามณี</v>
      </c>
      <c r="C2606" s="3" t="str">
        <f>IFERROR(__xludf.DUMMYFUNCTION("""COMPUTED_VALUE"""),"ปวช.3/1")</f>
        <v>ปวช.3/1</v>
      </c>
      <c r="D2606" s="3" t="str">
        <f>IFERROR(__xludf.DUMMYFUNCTION("""COMPUTED_VALUE"""),"อก.ปวช.3/1")</f>
        <v>อก.ปวช.3/1</v>
      </c>
      <c r="E2606" s="2" t="str">
        <f>IFERROR(__xludf.DUMMYFUNCTION("""COMPUTED_VALUE"""),"หญิง")</f>
        <v>หญิง</v>
      </c>
      <c r="F2606" s="5" t="str">
        <f>IFERROR(__xludf.DUMMYFUNCTION("""COMPUTED_VALUE"""),"https://azizstan.net/student_image_voc/6620204081.jpg")</f>
        <v>https://azizstan.net/student_image_voc/6620204081.jpg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>
      <c r="A2607" s="3" t="str">
        <f>IFERROR(__xludf.DUMMYFUNCTION("""COMPUTED_VALUE"""),"6620204082")</f>
        <v>6620204082</v>
      </c>
      <c r="B2607" s="3" t="str">
        <f>IFERROR(__xludf.DUMMYFUNCTION("""COMPUTED_VALUE"""),"น.ส.อานีซา โชโด")</f>
        <v>น.ส.อานีซา โชโด</v>
      </c>
      <c r="C2607" s="3" t="str">
        <f>IFERROR(__xludf.DUMMYFUNCTION("""COMPUTED_VALUE"""),"ปวช.3/1")</f>
        <v>ปวช.3/1</v>
      </c>
      <c r="D2607" s="3" t="str">
        <f>IFERROR(__xludf.DUMMYFUNCTION("""COMPUTED_VALUE"""),"อก.ปวช.3/1")</f>
        <v>อก.ปวช.3/1</v>
      </c>
      <c r="E2607" s="2" t="str">
        <f>IFERROR(__xludf.DUMMYFUNCTION("""COMPUTED_VALUE"""),"หญิง")</f>
        <v>หญิง</v>
      </c>
      <c r="F2607" s="5" t="str">
        <f>IFERROR(__xludf.DUMMYFUNCTION("""COMPUTED_VALUE"""),"https://azizstan.net/student_image_voc/6620204082.jpg")</f>
        <v>https://azizstan.net/student_image_voc/6620204082.jpg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>
      <c r="A2608" s="3" t="str">
        <f>IFERROR(__xludf.DUMMYFUNCTION("""COMPUTED_VALUE"""),"6620204084")</f>
        <v>6620204084</v>
      </c>
      <c r="B2608" s="3" t="str">
        <f>IFERROR(__xludf.DUMMYFUNCTION("""COMPUTED_VALUE"""),"นายมูฮัมหมัดอีรฟาน สาลีเนาะ")</f>
        <v>นายมูฮัมหมัดอีรฟาน สาลีเนาะ</v>
      </c>
      <c r="C2608" s="3" t="str">
        <f>IFERROR(__xludf.DUMMYFUNCTION("""COMPUTED_VALUE"""),"ปวช.3/1")</f>
        <v>ปวช.3/1</v>
      </c>
      <c r="D2608" s="3" t="str">
        <f>IFERROR(__xludf.DUMMYFUNCTION("""COMPUTED_VALUE"""),"อก.ปวช.3/1")</f>
        <v>อก.ปวช.3/1</v>
      </c>
      <c r="E2608" s="2" t="str">
        <f>IFERROR(__xludf.DUMMYFUNCTION("""COMPUTED_VALUE"""),"ชาย")</f>
        <v>ชาย</v>
      </c>
      <c r="F2608" s="5" t="str">
        <f>IFERROR(__xludf.DUMMYFUNCTION("""COMPUTED_VALUE"""),"https://azizstan.net/student_image_voc/6620204084.jpg")</f>
        <v>https://azizstan.net/student_image_voc/6620204084.jpg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>
      <c r="A2609" s="3" t="str">
        <f>IFERROR(__xludf.DUMMYFUNCTION("""COMPUTED_VALUE"""),"6620204088")</f>
        <v>6620204088</v>
      </c>
      <c r="B2609" s="3" t="str">
        <f>IFERROR(__xludf.DUMMYFUNCTION("""COMPUTED_VALUE"""),"น.ส.สุนิสา บือซา")</f>
        <v>น.ส.สุนิสา บือซา</v>
      </c>
      <c r="C2609" s="3" t="str">
        <f>IFERROR(__xludf.DUMMYFUNCTION("""COMPUTED_VALUE"""),"ปวช.3/1")</f>
        <v>ปวช.3/1</v>
      </c>
      <c r="D2609" s="3" t="str">
        <f>IFERROR(__xludf.DUMMYFUNCTION("""COMPUTED_VALUE"""),"อก.ปวช.3/1")</f>
        <v>อก.ปวช.3/1</v>
      </c>
      <c r="E2609" s="2" t="str">
        <f>IFERROR(__xludf.DUMMYFUNCTION("""COMPUTED_VALUE"""),"หญิง")</f>
        <v>หญิง</v>
      </c>
      <c r="F2609" s="5" t="str">
        <f>IFERROR(__xludf.DUMMYFUNCTION("""COMPUTED_VALUE"""),"https://azizstan.net/student_image_voc/6620204088.jpg")</f>
        <v>https://azizstan.net/student_image_voc/6620204088.jpg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>
      <c r="A2610" s="3" t="str">
        <f>IFERROR(__xludf.DUMMYFUNCTION("""COMPUTED_VALUE"""),"6620204089")</f>
        <v>6620204089</v>
      </c>
      <c r="B2610" s="3" t="str">
        <f>IFERROR(__xludf.DUMMYFUNCTION("""COMPUTED_VALUE"""),"น.ส.ไซนี มะดีเยาะ")</f>
        <v>น.ส.ไซนี มะดีเยาะ</v>
      </c>
      <c r="C2610" s="3" t="str">
        <f>IFERROR(__xludf.DUMMYFUNCTION("""COMPUTED_VALUE"""),"ปวช.3/1")</f>
        <v>ปวช.3/1</v>
      </c>
      <c r="D2610" s="3" t="str">
        <f>IFERROR(__xludf.DUMMYFUNCTION("""COMPUTED_VALUE"""),"อก.ปวช.3/1")</f>
        <v>อก.ปวช.3/1</v>
      </c>
      <c r="E2610" s="2" t="str">
        <f>IFERROR(__xludf.DUMMYFUNCTION("""COMPUTED_VALUE"""),"หญิง")</f>
        <v>หญิง</v>
      </c>
      <c r="F2610" s="5" t="str">
        <f>IFERROR(__xludf.DUMMYFUNCTION("""COMPUTED_VALUE"""),"https://azizstan.net/student_image_voc/6620204089.jpg")</f>
        <v>https://azizstan.net/student_image_voc/6620204089.jpg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>
      <c r="A2611" s="3" t="str">
        <f>IFERROR(__xludf.DUMMYFUNCTION("""COMPUTED_VALUE"""),"6620204091")</f>
        <v>6620204091</v>
      </c>
      <c r="B2611" s="3" t="str">
        <f>IFERROR(__xludf.DUMMYFUNCTION("""COMPUTED_VALUE"""),"นายดานิช อายิ")</f>
        <v>นายดานิช อายิ</v>
      </c>
      <c r="C2611" s="3" t="str">
        <f>IFERROR(__xludf.DUMMYFUNCTION("""COMPUTED_VALUE"""),"ปวช.3/1")</f>
        <v>ปวช.3/1</v>
      </c>
      <c r="D2611" s="3" t="str">
        <f>IFERROR(__xludf.DUMMYFUNCTION("""COMPUTED_VALUE"""),"อก.ปวช.3/1")</f>
        <v>อก.ปวช.3/1</v>
      </c>
      <c r="E2611" s="2" t="str">
        <f>IFERROR(__xludf.DUMMYFUNCTION("""COMPUTED_VALUE"""),"ชาย")</f>
        <v>ชาย</v>
      </c>
      <c r="F2611" s="5" t="str">
        <f>IFERROR(__xludf.DUMMYFUNCTION("""COMPUTED_VALUE"""),"https://azizstan.net/student_image_voc/6620204091.jpg")</f>
        <v>https://azizstan.net/student_image_voc/6620204091.jpg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</row>
    <row r="2612">
      <c r="A2612" s="3" t="str">
        <f>IFERROR(__xludf.DUMMYFUNCTION("""COMPUTED_VALUE"""),"6620204092")</f>
        <v>6620204092</v>
      </c>
      <c r="B2612" s="3" t="str">
        <f>IFERROR(__xludf.DUMMYFUNCTION("""COMPUTED_VALUE"""),"น.ส.อวาติฟ ดือเร๊ะ")</f>
        <v>น.ส.อวาติฟ ดือเร๊ะ</v>
      </c>
      <c r="C2612" s="3" t="str">
        <f>IFERROR(__xludf.DUMMYFUNCTION("""COMPUTED_VALUE"""),"ปวช.3/1")</f>
        <v>ปวช.3/1</v>
      </c>
      <c r="D2612" s="3" t="str">
        <f>IFERROR(__xludf.DUMMYFUNCTION("""COMPUTED_VALUE"""),"อก.ปวช.3/1")</f>
        <v>อก.ปวช.3/1</v>
      </c>
      <c r="E2612" s="2" t="str">
        <f>IFERROR(__xludf.DUMMYFUNCTION("""COMPUTED_VALUE"""),"หญิง")</f>
        <v>หญิง</v>
      </c>
      <c r="F2612" s="5" t="str">
        <f>IFERROR(__xludf.DUMMYFUNCTION("""COMPUTED_VALUE"""),"https://azizstan.net/student_image_voc/6620204092.jpg")</f>
        <v>https://azizstan.net/student_image_voc/6620204092.jpg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>
      <c r="A2613" s="3" t="str">
        <f>IFERROR(__xludf.DUMMYFUNCTION("""COMPUTED_VALUE"""),"6620204098")</f>
        <v>6620204098</v>
      </c>
      <c r="B2613" s="3" t="str">
        <f>IFERROR(__xludf.DUMMYFUNCTION("""COMPUTED_VALUE"""),"น.ส.นูรีซ่า รอดเด็น")</f>
        <v>น.ส.นูรีซ่า รอดเด็น</v>
      </c>
      <c r="C2613" s="3" t="str">
        <f>IFERROR(__xludf.DUMMYFUNCTION("""COMPUTED_VALUE"""),"ปวช.3/1")</f>
        <v>ปวช.3/1</v>
      </c>
      <c r="D2613" s="3" t="str">
        <f>IFERROR(__xludf.DUMMYFUNCTION("""COMPUTED_VALUE"""),"อก.ปวช.3/1")</f>
        <v>อก.ปวช.3/1</v>
      </c>
      <c r="E2613" s="2" t="str">
        <f>IFERROR(__xludf.DUMMYFUNCTION("""COMPUTED_VALUE"""),"หญิง")</f>
        <v>หญิง</v>
      </c>
      <c r="F2613" s="5" t="str">
        <f>IFERROR(__xludf.DUMMYFUNCTION("""COMPUTED_VALUE"""),"https://azizstan.net/student_image_voc/6620204098.jpg")</f>
        <v>https://azizstan.net/student_image_voc/6620204098.jpg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>
      <c r="A2614" s="3" t="str">
        <f>IFERROR(__xludf.DUMMYFUNCTION("""COMPUTED_VALUE"""),"6620204099")</f>
        <v>6620204099</v>
      </c>
      <c r="B2614" s="3" t="str">
        <f>IFERROR(__xludf.DUMMYFUNCTION("""COMPUTED_VALUE"""),"น.ส.นูรุลฟิรดาวส์ แวหะยี")</f>
        <v>น.ส.นูรุลฟิรดาวส์ แวหะยี</v>
      </c>
      <c r="C2614" s="3" t="str">
        <f>IFERROR(__xludf.DUMMYFUNCTION("""COMPUTED_VALUE"""),"ปวช.3/1")</f>
        <v>ปวช.3/1</v>
      </c>
      <c r="D2614" s="3" t="str">
        <f>IFERROR(__xludf.DUMMYFUNCTION("""COMPUTED_VALUE"""),"อก.ปวช.3/1")</f>
        <v>อก.ปวช.3/1</v>
      </c>
      <c r="E2614" s="2" t="str">
        <f>IFERROR(__xludf.DUMMYFUNCTION("""COMPUTED_VALUE"""),"หญิง")</f>
        <v>หญิง</v>
      </c>
      <c r="F2614" s="5" t="str">
        <f>IFERROR(__xludf.DUMMYFUNCTION("""COMPUTED_VALUE"""),"https://azizstan.net/student_image_voc/6620204099.jpg")</f>
        <v>https://azizstan.net/student_image_voc/6620204099.jpg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</row>
    <row r="2615">
      <c r="A2615" s="3" t="str">
        <f>IFERROR(__xludf.DUMMYFUNCTION("""COMPUTED_VALUE"""),"6620204102")</f>
        <v>6620204102</v>
      </c>
      <c r="B2615" s="3" t="str">
        <f>IFERROR(__xludf.DUMMYFUNCTION("""COMPUTED_VALUE"""),"น.ส.นาซีรา เลาะเฮง")</f>
        <v>น.ส.นาซีรา เลาะเฮง</v>
      </c>
      <c r="C2615" s="3" t="str">
        <f>IFERROR(__xludf.DUMMYFUNCTION("""COMPUTED_VALUE"""),"ปวช.3/1")</f>
        <v>ปวช.3/1</v>
      </c>
      <c r="D2615" s="3" t="str">
        <f>IFERROR(__xludf.DUMMYFUNCTION("""COMPUTED_VALUE"""),"อก.ปวช.3/1")</f>
        <v>อก.ปวช.3/1</v>
      </c>
      <c r="E2615" s="2" t="str">
        <f>IFERROR(__xludf.DUMMYFUNCTION("""COMPUTED_VALUE"""),"หญิง")</f>
        <v>หญิง</v>
      </c>
      <c r="F2615" s="5" t="str">
        <f>IFERROR(__xludf.DUMMYFUNCTION("""COMPUTED_VALUE"""),"https://azizstan.net/student_image_voc/6620204102.jpg")</f>
        <v>https://azizstan.net/student_image_voc/6620204102.jpg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</row>
    <row r="2616">
      <c r="A2616" s="3" t="str">
        <f>IFERROR(__xludf.DUMMYFUNCTION("""COMPUTED_VALUE"""),"6620204104")</f>
        <v>6620204104</v>
      </c>
      <c r="B2616" s="3" t="str">
        <f>IFERROR(__xludf.DUMMYFUNCTION("""COMPUTED_VALUE"""),"นายอับดุลเลาะห์ อิตำ")</f>
        <v>นายอับดุลเลาะห์ อิตำ</v>
      </c>
      <c r="C2616" s="3" t="str">
        <f>IFERROR(__xludf.DUMMYFUNCTION("""COMPUTED_VALUE"""),"ปวช.3/1")</f>
        <v>ปวช.3/1</v>
      </c>
      <c r="D2616" s="3" t="str">
        <f>IFERROR(__xludf.DUMMYFUNCTION("""COMPUTED_VALUE"""),"อก.ปวช.3/1")</f>
        <v>อก.ปวช.3/1</v>
      </c>
      <c r="E2616" s="2" t="str">
        <f>IFERROR(__xludf.DUMMYFUNCTION("""COMPUTED_VALUE"""),"ชาย")</f>
        <v>ชาย</v>
      </c>
      <c r="F2616" s="5" t="str">
        <f>IFERROR(__xludf.DUMMYFUNCTION("""COMPUTED_VALUE"""),"https://azizstan.net/student_image_voc/6620204104.jpg")</f>
        <v>https://azizstan.net/student_image_voc/6620204104.jpg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</row>
    <row r="2617">
      <c r="A2617" s="3" t="str">
        <f>IFERROR(__xludf.DUMMYFUNCTION("""COMPUTED_VALUE"""),"6620204106")</f>
        <v>6620204106</v>
      </c>
      <c r="B2617" s="3" t="str">
        <f>IFERROR(__xludf.DUMMYFUNCTION("""COMPUTED_VALUE"""),"น.ส.ซูลฟา ใบเย็มหมะ")</f>
        <v>น.ส.ซูลฟา ใบเย็มหมะ</v>
      </c>
      <c r="C2617" s="3" t="str">
        <f>IFERROR(__xludf.DUMMYFUNCTION("""COMPUTED_VALUE"""),"ปวช.3/1")</f>
        <v>ปวช.3/1</v>
      </c>
      <c r="D2617" s="3" t="str">
        <f>IFERROR(__xludf.DUMMYFUNCTION("""COMPUTED_VALUE"""),"อก.ปวช.3/1")</f>
        <v>อก.ปวช.3/1</v>
      </c>
      <c r="E2617" s="2" t="str">
        <f>IFERROR(__xludf.DUMMYFUNCTION("""COMPUTED_VALUE"""),"หญิง")</f>
        <v>หญิง</v>
      </c>
      <c r="F2617" s="5" t="str">
        <f>IFERROR(__xludf.DUMMYFUNCTION("""COMPUTED_VALUE"""),"https://azizstan.net/student_image_voc/6620204106.jpg")</f>
        <v>https://azizstan.net/student_image_voc/6620204106.jpg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</row>
    <row r="2618">
      <c r="A2618" s="3" t="str">
        <f>IFERROR(__xludf.DUMMYFUNCTION("""COMPUTED_VALUE"""),"6620204107")</f>
        <v>6620204107</v>
      </c>
      <c r="B2618" s="3" t="str">
        <f>IFERROR(__xludf.DUMMYFUNCTION("""COMPUTED_VALUE"""),"นายมะซายูตี มาหลี")</f>
        <v>นายมะซายูตี มาหลี</v>
      </c>
      <c r="C2618" s="3" t="str">
        <f>IFERROR(__xludf.DUMMYFUNCTION("""COMPUTED_VALUE"""),"ปวช.3/1")</f>
        <v>ปวช.3/1</v>
      </c>
      <c r="D2618" s="3" t="str">
        <f>IFERROR(__xludf.DUMMYFUNCTION("""COMPUTED_VALUE"""),"อก.ปวช.3/1")</f>
        <v>อก.ปวช.3/1</v>
      </c>
      <c r="E2618" s="2" t="str">
        <f>IFERROR(__xludf.DUMMYFUNCTION("""COMPUTED_VALUE"""),"ชาย")</f>
        <v>ชาย</v>
      </c>
      <c r="F2618" s="5" t="str">
        <f>IFERROR(__xludf.DUMMYFUNCTION("""COMPUTED_VALUE"""),"https://azizstan.net/student_image_voc/6620204107.jpg")</f>
        <v>https://azizstan.net/student_image_voc/6620204107.jpg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</row>
    <row r="2619">
      <c r="A2619" s="3" t="str">
        <f>IFERROR(__xludf.DUMMYFUNCTION("""COMPUTED_VALUE"""),"432")</f>
        <v>432</v>
      </c>
      <c r="B2619" s="3" t="str">
        <f>IFERROR(__xludf.DUMMYFUNCTION("""COMPUTED_VALUE"""),"นายสุเพียร อิสแม")</f>
        <v>นายสุเพียร อิสแม</v>
      </c>
      <c r="C2619" s="3" t="str">
        <f>IFERROR(__xludf.DUMMYFUNCTION("""COMPUTED_VALUE"""),"ปวช.3/2")</f>
        <v>ปวช.3/2</v>
      </c>
      <c r="D2619" s="3" t="str">
        <f>IFERROR(__xludf.DUMMYFUNCTION("""COMPUTED_VALUE"""),"อก.ปวช.3/2")</f>
        <v>อก.ปวช.3/2</v>
      </c>
      <c r="E2619" s="2" t="str">
        <f>IFERROR(__xludf.DUMMYFUNCTION("""COMPUTED_VALUE"""),"ชาย")</f>
        <v>ชาย</v>
      </c>
      <c r="F2619" s="5" t="str">
        <f>IFERROR(__xludf.DUMMYFUNCTION("""COMPUTED_VALUE"""),"https://azizstan.net/student_image_voc/432.jpg")</f>
        <v>https://azizstan.net/student_image_voc/432.jpg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</row>
    <row r="2620">
      <c r="A2620" s="3" t="str">
        <f>IFERROR(__xludf.DUMMYFUNCTION("""COMPUTED_VALUE"""),"6620204002")</f>
        <v>6620204002</v>
      </c>
      <c r="B2620" s="3" t="str">
        <f>IFERROR(__xludf.DUMMYFUNCTION("""COMPUTED_VALUE"""),"น.ส.บัลกิซ ฮามะ")</f>
        <v>น.ส.บัลกิซ ฮามะ</v>
      </c>
      <c r="C2620" s="3" t="str">
        <f>IFERROR(__xludf.DUMMYFUNCTION("""COMPUTED_VALUE"""),"ปวช.3/2")</f>
        <v>ปวช.3/2</v>
      </c>
      <c r="D2620" s="3" t="str">
        <f>IFERROR(__xludf.DUMMYFUNCTION("""COMPUTED_VALUE"""),"อก.ปวช.3/2")</f>
        <v>อก.ปวช.3/2</v>
      </c>
      <c r="E2620" s="2" t="str">
        <f>IFERROR(__xludf.DUMMYFUNCTION("""COMPUTED_VALUE"""),"หญิง")</f>
        <v>หญิง</v>
      </c>
      <c r="F2620" s="5" t="str">
        <f>IFERROR(__xludf.DUMMYFUNCTION("""COMPUTED_VALUE"""),"https://azizstan.net/student_image_voc/6620204002.jpg")</f>
        <v>https://azizstan.net/student_image_voc/6620204002.jpg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>
      <c r="A2621" s="3" t="str">
        <f>IFERROR(__xludf.DUMMYFUNCTION("""COMPUTED_VALUE"""),"6620204003")</f>
        <v>6620204003</v>
      </c>
      <c r="B2621" s="3" t="str">
        <f>IFERROR(__xludf.DUMMYFUNCTION("""COMPUTED_VALUE"""),"น.ส.อานิต้า สาเงาะ")</f>
        <v>น.ส.อานิต้า สาเงาะ</v>
      </c>
      <c r="C2621" s="3" t="str">
        <f>IFERROR(__xludf.DUMMYFUNCTION("""COMPUTED_VALUE"""),"ปวช.3/2")</f>
        <v>ปวช.3/2</v>
      </c>
      <c r="D2621" s="3" t="str">
        <f>IFERROR(__xludf.DUMMYFUNCTION("""COMPUTED_VALUE"""),"อก.ปวช.3/2")</f>
        <v>อก.ปวช.3/2</v>
      </c>
      <c r="E2621" s="2" t="str">
        <f>IFERROR(__xludf.DUMMYFUNCTION("""COMPUTED_VALUE"""),"หญิง")</f>
        <v>หญิง</v>
      </c>
      <c r="F2621" s="5" t="str">
        <f>IFERROR(__xludf.DUMMYFUNCTION("""COMPUTED_VALUE"""),"https://azizstan.net/student_image_voc/6620204003.jpg")</f>
        <v>https://azizstan.net/student_image_voc/6620204003.jpg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</row>
    <row r="2622">
      <c r="A2622" s="3" t="str">
        <f>IFERROR(__xludf.DUMMYFUNCTION("""COMPUTED_VALUE"""),"6620204005")</f>
        <v>6620204005</v>
      </c>
      <c r="B2622" s="3" t="str">
        <f>IFERROR(__xludf.DUMMYFUNCTION("""COMPUTED_VALUE"""),"น.ส.อารียา ดาราโชติ")</f>
        <v>น.ส.อารียา ดาราโชติ</v>
      </c>
      <c r="C2622" s="3" t="str">
        <f>IFERROR(__xludf.DUMMYFUNCTION("""COMPUTED_VALUE"""),"ปวช.3/2")</f>
        <v>ปวช.3/2</v>
      </c>
      <c r="D2622" s="3" t="str">
        <f>IFERROR(__xludf.DUMMYFUNCTION("""COMPUTED_VALUE"""),"อก.ปวช.3/2")</f>
        <v>อก.ปวช.3/2</v>
      </c>
      <c r="E2622" s="2" t="str">
        <f>IFERROR(__xludf.DUMMYFUNCTION("""COMPUTED_VALUE"""),"หญิง")</f>
        <v>หญิง</v>
      </c>
      <c r="F2622" s="5" t="str">
        <f>IFERROR(__xludf.DUMMYFUNCTION("""COMPUTED_VALUE"""),"https://azizstan.net/student_image_voc/6620204005.jpg")</f>
        <v>https://azizstan.net/student_image_voc/6620204005.jpg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</row>
    <row r="2623">
      <c r="A2623" s="3" t="str">
        <f>IFERROR(__xludf.DUMMYFUNCTION("""COMPUTED_VALUE"""),"6620204006")</f>
        <v>6620204006</v>
      </c>
      <c r="B2623" s="3" t="str">
        <f>IFERROR(__xludf.DUMMYFUNCTION("""COMPUTED_VALUE"""),"น.ส.นูรมา วาโซะ")</f>
        <v>น.ส.นูรมา วาโซะ</v>
      </c>
      <c r="C2623" s="3" t="str">
        <f>IFERROR(__xludf.DUMMYFUNCTION("""COMPUTED_VALUE"""),"ปวช.3/2")</f>
        <v>ปวช.3/2</v>
      </c>
      <c r="D2623" s="3" t="str">
        <f>IFERROR(__xludf.DUMMYFUNCTION("""COMPUTED_VALUE"""),"อก.ปวช.3/2")</f>
        <v>อก.ปวช.3/2</v>
      </c>
      <c r="E2623" s="2" t="str">
        <f>IFERROR(__xludf.DUMMYFUNCTION("""COMPUTED_VALUE"""),"หญิง")</f>
        <v>หญิง</v>
      </c>
      <c r="F2623" s="5" t="str">
        <f>IFERROR(__xludf.DUMMYFUNCTION("""COMPUTED_VALUE"""),"https://azizstan.net/student_image_voc/6620204006.jpg")</f>
        <v>https://azizstan.net/student_image_voc/6620204006.jpg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</row>
    <row r="2624">
      <c r="A2624" s="3" t="str">
        <f>IFERROR(__xludf.DUMMYFUNCTION("""COMPUTED_VALUE"""),"6620204007")</f>
        <v>6620204007</v>
      </c>
      <c r="B2624" s="3" t="str">
        <f>IFERROR(__xludf.DUMMYFUNCTION("""COMPUTED_VALUE"""),"น.ส.นูรอาลิซษา มะบูเกะ")</f>
        <v>น.ส.นูรอาลิซษา มะบูเกะ</v>
      </c>
      <c r="C2624" s="3" t="str">
        <f>IFERROR(__xludf.DUMMYFUNCTION("""COMPUTED_VALUE"""),"ปวช.3/2")</f>
        <v>ปวช.3/2</v>
      </c>
      <c r="D2624" s="3" t="str">
        <f>IFERROR(__xludf.DUMMYFUNCTION("""COMPUTED_VALUE"""),"อก.ปวช.3/2")</f>
        <v>อก.ปวช.3/2</v>
      </c>
      <c r="E2624" s="2" t="str">
        <f>IFERROR(__xludf.DUMMYFUNCTION("""COMPUTED_VALUE"""),"หญิง")</f>
        <v>หญิง</v>
      </c>
      <c r="F2624" s="5" t="str">
        <f>IFERROR(__xludf.DUMMYFUNCTION("""COMPUTED_VALUE"""),"https://azizstan.net/student_image_voc/6620204007.jpg")</f>
        <v>https://azizstan.net/student_image_voc/6620204007.jpg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>
      <c r="A2625" s="3" t="str">
        <f>IFERROR(__xludf.DUMMYFUNCTION("""COMPUTED_VALUE"""),"6620204009")</f>
        <v>6620204009</v>
      </c>
      <c r="B2625" s="3" t="str">
        <f>IFERROR(__xludf.DUMMYFUNCTION("""COMPUTED_VALUE"""),"น.ส.ฟาร์เดีย นิเดหะ")</f>
        <v>น.ส.ฟาร์เดีย นิเดหะ</v>
      </c>
      <c r="C2625" s="3" t="str">
        <f>IFERROR(__xludf.DUMMYFUNCTION("""COMPUTED_VALUE"""),"ปวช.3/2")</f>
        <v>ปวช.3/2</v>
      </c>
      <c r="D2625" s="3" t="str">
        <f>IFERROR(__xludf.DUMMYFUNCTION("""COMPUTED_VALUE"""),"อก.ปวช.3/2")</f>
        <v>อก.ปวช.3/2</v>
      </c>
      <c r="E2625" s="2" t="str">
        <f>IFERROR(__xludf.DUMMYFUNCTION("""COMPUTED_VALUE"""),"หญิง")</f>
        <v>หญิง</v>
      </c>
      <c r="F2625" s="5" t="str">
        <f>IFERROR(__xludf.DUMMYFUNCTION("""COMPUTED_VALUE"""),"https://azizstan.net/student_image_voc/6620204009.jpg")</f>
        <v>https://azizstan.net/student_image_voc/6620204009.jpg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>
      <c r="A2626" s="3" t="str">
        <f>IFERROR(__xludf.DUMMYFUNCTION("""COMPUTED_VALUE"""),"6620204010")</f>
        <v>6620204010</v>
      </c>
      <c r="B2626" s="3" t="str">
        <f>IFERROR(__xludf.DUMMYFUNCTION("""COMPUTED_VALUE"""),"น.ส.นูรฮัม แวนายี")</f>
        <v>น.ส.นูรฮัม แวนายี</v>
      </c>
      <c r="C2626" s="3" t="str">
        <f>IFERROR(__xludf.DUMMYFUNCTION("""COMPUTED_VALUE"""),"ปวช.3/2")</f>
        <v>ปวช.3/2</v>
      </c>
      <c r="D2626" s="3" t="str">
        <f>IFERROR(__xludf.DUMMYFUNCTION("""COMPUTED_VALUE"""),"อก.ปวช.3/2")</f>
        <v>อก.ปวช.3/2</v>
      </c>
      <c r="E2626" s="2" t="str">
        <f>IFERROR(__xludf.DUMMYFUNCTION("""COMPUTED_VALUE"""),"หญิง")</f>
        <v>หญิง</v>
      </c>
      <c r="F2626" s="5" t="str">
        <f>IFERROR(__xludf.DUMMYFUNCTION("""COMPUTED_VALUE"""),"https://azizstan.net/student_image_voc/6620204010.jpg")</f>
        <v>https://azizstan.net/student_image_voc/6620204010.jpg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>
      <c r="A2627" s="3" t="str">
        <f>IFERROR(__xludf.DUMMYFUNCTION("""COMPUTED_VALUE"""),"6620204011")</f>
        <v>6620204011</v>
      </c>
      <c r="B2627" s="3" t="str">
        <f>IFERROR(__xludf.DUMMYFUNCTION("""COMPUTED_VALUE"""),"น.ส.นูรมา ยูบง")</f>
        <v>น.ส.นูรมา ยูบง</v>
      </c>
      <c r="C2627" s="3" t="str">
        <f>IFERROR(__xludf.DUMMYFUNCTION("""COMPUTED_VALUE"""),"ปวช.3/2")</f>
        <v>ปวช.3/2</v>
      </c>
      <c r="D2627" s="3" t="str">
        <f>IFERROR(__xludf.DUMMYFUNCTION("""COMPUTED_VALUE"""),"อก.ปวช.3/2")</f>
        <v>อก.ปวช.3/2</v>
      </c>
      <c r="E2627" s="2" t="str">
        <f>IFERROR(__xludf.DUMMYFUNCTION("""COMPUTED_VALUE"""),"หญิง")</f>
        <v>หญิง</v>
      </c>
      <c r="F2627" s="5" t="str">
        <f>IFERROR(__xludf.DUMMYFUNCTION("""COMPUTED_VALUE"""),"https://azizstan.net/student_image_voc/6620204011.jpg")</f>
        <v>https://azizstan.net/student_image_voc/6620204011.jpg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>
      <c r="A2628" s="3" t="str">
        <f>IFERROR(__xludf.DUMMYFUNCTION("""COMPUTED_VALUE"""),"6620204019")</f>
        <v>6620204019</v>
      </c>
      <c r="B2628" s="3" t="str">
        <f>IFERROR(__xludf.DUMMYFUNCTION("""COMPUTED_VALUE"""),"นายอิรฟาน อาหวัง")</f>
        <v>นายอิรฟาน อาหวัง</v>
      </c>
      <c r="C2628" s="3" t="str">
        <f>IFERROR(__xludf.DUMMYFUNCTION("""COMPUTED_VALUE"""),"ปวช.3/2")</f>
        <v>ปวช.3/2</v>
      </c>
      <c r="D2628" s="3" t="str">
        <f>IFERROR(__xludf.DUMMYFUNCTION("""COMPUTED_VALUE"""),"อก.ปวช.3/2")</f>
        <v>อก.ปวช.3/2</v>
      </c>
      <c r="E2628" s="2" t="str">
        <f>IFERROR(__xludf.DUMMYFUNCTION("""COMPUTED_VALUE"""),"ชาย")</f>
        <v>ชาย</v>
      </c>
      <c r="F2628" s="5" t="str">
        <f>IFERROR(__xludf.DUMMYFUNCTION("""COMPUTED_VALUE"""),"https://azizstan.net/student_image_voc/6620204019.jpg")</f>
        <v>https://azizstan.net/student_image_voc/6620204019.jpg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>
      <c r="A2629" s="3" t="str">
        <f>IFERROR(__xludf.DUMMYFUNCTION("""COMPUTED_VALUE"""),"6620204024")</f>
        <v>6620204024</v>
      </c>
      <c r="B2629" s="3" t="str">
        <f>IFERROR(__xludf.DUMMYFUNCTION("""COMPUTED_VALUE"""),"นายซิดดิก ดอเล๊าะ")</f>
        <v>นายซิดดิก ดอเล๊าะ</v>
      </c>
      <c r="C2629" s="3" t="str">
        <f>IFERROR(__xludf.DUMMYFUNCTION("""COMPUTED_VALUE"""),"ปวช.3/2")</f>
        <v>ปวช.3/2</v>
      </c>
      <c r="D2629" s="3" t="str">
        <f>IFERROR(__xludf.DUMMYFUNCTION("""COMPUTED_VALUE"""),"อก.ปวช.3/2")</f>
        <v>อก.ปวช.3/2</v>
      </c>
      <c r="E2629" s="2" t="str">
        <f>IFERROR(__xludf.DUMMYFUNCTION("""COMPUTED_VALUE"""),"ชาย")</f>
        <v>ชาย</v>
      </c>
      <c r="F2629" s="5" t="str">
        <f>IFERROR(__xludf.DUMMYFUNCTION("""COMPUTED_VALUE"""),"https://azizstan.net/student_image_voc/6620204024.jpg")</f>
        <v>https://azizstan.net/student_image_voc/6620204024.jpg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</row>
    <row r="2630">
      <c r="A2630" s="3" t="str">
        <f>IFERROR(__xludf.DUMMYFUNCTION("""COMPUTED_VALUE"""),"6620204032")</f>
        <v>6620204032</v>
      </c>
      <c r="B2630" s="3" t="str">
        <f>IFERROR(__xludf.DUMMYFUNCTION("""COMPUTED_VALUE"""),"นายนัสรี สะนิ")</f>
        <v>นายนัสรี สะนิ</v>
      </c>
      <c r="C2630" s="3" t="str">
        <f>IFERROR(__xludf.DUMMYFUNCTION("""COMPUTED_VALUE"""),"ปวช.3/2")</f>
        <v>ปวช.3/2</v>
      </c>
      <c r="D2630" s="3" t="str">
        <f>IFERROR(__xludf.DUMMYFUNCTION("""COMPUTED_VALUE"""),"อก.ปวช.3/2")</f>
        <v>อก.ปวช.3/2</v>
      </c>
      <c r="E2630" s="2" t="str">
        <f>IFERROR(__xludf.DUMMYFUNCTION("""COMPUTED_VALUE"""),"ชาย")</f>
        <v>ชาย</v>
      </c>
      <c r="F2630" s="5" t="str">
        <f>IFERROR(__xludf.DUMMYFUNCTION("""COMPUTED_VALUE"""),"https://azizstan.net/student_image_voc/6620204032.jpg")</f>
        <v>https://azizstan.net/student_image_voc/6620204032.jpg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>
      <c r="A2631" s="3" t="str">
        <f>IFERROR(__xludf.DUMMYFUNCTION("""COMPUTED_VALUE"""),"6620204033")</f>
        <v>6620204033</v>
      </c>
      <c r="B2631" s="3" t="str">
        <f>IFERROR(__xludf.DUMMYFUNCTION("""COMPUTED_VALUE"""),"นายมูฮัมหมัดซอฟา บือราเฮง")</f>
        <v>นายมูฮัมหมัดซอฟา บือราเฮง</v>
      </c>
      <c r="C2631" s="3" t="str">
        <f>IFERROR(__xludf.DUMMYFUNCTION("""COMPUTED_VALUE"""),"ปวช.3/2")</f>
        <v>ปวช.3/2</v>
      </c>
      <c r="D2631" s="3" t="str">
        <f>IFERROR(__xludf.DUMMYFUNCTION("""COMPUTED_VALUE"""),"อก.ปวช.3/2")</f>
        <v>อก.ปวช.3/2</v>
      </c>
      <c r="E2631" s="2" t="str">
        <f>IFERROR(__xludf.DUMMYFUNCTION("""COMPUTED_VALUE"""),"ชาย")</f>
        <v>ชาย</v>
      </c>
      <c r="F2631" s="5" t="str">
        <f>IFERROR(__xludf.DUMMYFUNCTION("""COMPUTED_VALUE"""),"https://azizstan.net/student_image_voc/6620204033.jpg")</f>
        <v>https://azizstan.net/student_image_voc/6620204033.jpg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>
      <c r="A2632" s="3" t="str">
        <f>IFERROR(__xludf.DUMMYFUNCTION("""COMPUTED_VALUE"""),"6620204038")</f>
        <v>6620204038</v>
      </c>
      <c r="B2632" s="3" t="str">
        <f>IFERROR(__xludf.DUMMYFUNCTION("""COMPUTED_VALUE"""),"นายนิฮัมดี นิจิ")</f>
        <v>นายนิฮัมดี นิจิ</v>
      </c>
      <c r="C2632" s="3" t="str">
        <f>IFERROR(__xludf.DUMMYFUNCTION("""COMPUTED_VALUE"""),"ปวช.3/2")</f>
        <v>ปวช.3/2</v>
      </c>
      <c r="D2632" s="3" t="str">
        <f>IFERROR(__xludf.DUMMYFUNCTION("""COMPUTED_VALUE"""),"อก.ปวช.3/2")</f>
        <v>อก.ปวช.3/2</v>
      </c>
      <c r="E2632" s="2" t="str">
        <f>IFERROR(__xludf.DUMMYFUNCTION("""COMPUTED_VALUE"""),"ชาย")</f>
        <v>ชาย</v>
      </c>
      <c r="F2632" s="5" t="str">
        <f>IFERROR(__xludf.DUMMYFUNCTION("""COMPUTED_VALUE"""),"https://azizstan.net/student_image_voc/6620204038.jpg")</f>
        <v>https://azizstan.net/student_image_voc/6620204038.jpg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>
      <c r="A2633" s="3" t="str">
        <f>IFERROR(__xludf.DUMMYFUNCTION("""COMPUTED_VALUE"""),"6620204042")</f>
        <v>6620204042</v>
      </c>
      <c r="B2633" s="3" t="str">
        <f>IFERROR(__xludf.DUMMYFUNCTION("""COMPUTED_VALUE"""),"น.ส.นูรูล สุหลง")</f>
        <v>น.ส.นูรูล สุหลง</v>
      </c>
      <c r="C2633" s="3" t="str">
        <f>IFERROR(__xludf.DUMMYFUNCTION("""COMPUTED_VALUE"""),"ปวช.3/2")</f>
        <v>ปวช.3/2</v>
      </c>
      <c r="D2633" s="3" t="str">
        <f>IFERROR(__xludf.DUMMYFUNCTION("""COMPUTED_VALUE"""),"อก.ปวช.3/2")</f>
        <v>อก.ปวช.3/2</v>
      </c>
      <c r="E2633" s="2" t="str">
        <f>IFERROR(__xludf.DUMMYFUNCTION("""COMPUTED_VALUE"""),"หญิง")</f>
        <v>หญิง</v>
      </c>
      <c r="F2633" s="5" t="str">
        <f>IFERROR(__xludf.DUMMYFUNCTION("""COMPUTED_VALUE"""),"https://azizstan.net/student_image_voc/6620204042.jpg")</f>
        <v>https://azizstan.net/student_image_voc/6620204042.jpg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>
      <c r="A2634" s="3" t="str">
        <f>IFERROR(__xludf.DUMMYFUNCTION("""COMPUTED_VALUE"""),"6620204054")</f>
        <v>6620204054</v>
      </c>
      <c r="B2634" s="3" t="str">
        <f>IFERROR(__xludf.DUMMYFUNCTION("""COMPUTED_VALUE"""),"นายเจะซาฟีอี เจ๊ะอาแว")</f>
        <v>นายเจะซาฟีอี เจ๊ะอาแว</v>
      </c>
      <c r="C2634" s="3" t="str">
        <f>IFERROR(__xludf.DUMMYFUNCTION("""COMPUTED_VALUE"""),"ปวช.3/2")</f>
        <v>ปวช.3/2</v>
      </c>
      <c r="D2634" s="3" t="str">
        <f>IFERROR(__xludf.DUMMYFUNCTION("""COMPUTED_VALUE"""),"อก.ปวช.3/2")</f>
        <v>อก.ปวช.3/2</v>
      </c>
      <c r="E2634" s="2" t="str">
        <f>IFERROR(__xludf.DUMMYFUNCTION("""COMPUTED_VALUE"""),"ชาย")</f>
        <v>ชาย</v>
      </c>
      <c r="F2634" s="5" t="str">
        <f>IFERROR(__xludf.DUMMYFUNCTION("""COMPUTED_VALUE"""),"https://azizstan.net/student_image_voc/6620204054.jpg")</f>
        <v>https://azizstan.net/student_image_voc/6620204054.jpg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>
      <c r="A2635" s="3" t="str">
        <f>IFERROR(__xludf.DUMMYFUNCTION("""COMPUTED_VALUE"""),"6620204055")</f>
        <v>6620204055</v>
      </c>
      <c r="B2635" s="3" t="str">
        <f>IFERROR(__xludf.DUMMYFUNCTION("""COMPUTED_VALUE"""),"นายฮิลมัน มะ")</f>
        <v>นายฮิลมัน มะ</v>
      </c>
      <c r="C2635" s="3" t="str">
        <f>IFERROR(__xludf.DUMMYFUNCTION("""COMPUTED_VALUE"""),"ปวช.3/2")</f>
        <v>ปวช.3/2</v>
      </c>
      <c r="D2635" s="3" t="str">
        <f>IFERROR(__xludf.DUMMYFUNCTION("""COMPUTED_VALUE"""),"อก.ปวช.3/2")</f>
        <v>อก.ปวช.3/2</v>
      </c>
      <c r="E2635" s="2" t="str">
        <f>IFERROR(__xludf.DUMMYFUNCTION("""COMPUTED_VALUE"""),"ชาย")</f>
        <v>ชาย</v>
      </c>
      <c r="F2635" s="5" t="str">
        <f>IFERROR(__xludf.DUMMYFUNCTION("""COMPUTED_VALUE"""),"https://azizstan.net/student_image_voc/6620204055.jpg")</f>
        <v>https://azizstan.net/student_image_voc/6620204055.jpg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>
      <c r="A2636" s="3" t="str">
        <f>IFERROR(__xludf.DUMMYFUNCTION("""COMPUTED_VALUE"""),"6620204065")</f>
        <v>6620204065</v>
      </c>
      <c r="B2636" s="3" t="str">
        <f>IFERROR(__xludf.DUMMYFUNCTION("""COMPUTED_VALUE"""),"นายอิสมะแอ สาหมะ")</f>
        <v>นายอิสมะแอ สาหมะ</v>
      </c>
      <c r="C2636" s="3" t="str">
        <f>IFERROR(__xludf.DUMMYFUNCTION("""COMPUTED_VALUE"""),"ปวช.3/2")</f>
        <v>ปวช.3/2</v>
      </c>
      <c r="D2636" s="3" t="str">
        <f>IFERROR(__xludf.DUMMYFUNCTION("""COMPUTED_VALUE"""),"อก.ปวช.3/2")</f>
        <v>อก.ปวช.3/2</v>
      </c>
      <c r="E2636" s="2" t="str">
        <f>IFERROR(__xludf.DUMMYFUNCTION("""COMPUTED_VALUE"""),"ชาย")</f>
        <v>ชาย</v>
      </c>
      <c r="F2636" s="5" t="str">
        <f>IFERROR(__xludf.DUMMYFUNCTION("""COMPUTED_VALUE"""),"https://azizstan.net/student_image_voc/6620204065.jpg")</f>
        <v>https://azizstan.net/student_image_voc/6620204065.jpg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>
      <c r="A2637" s="3" t="str">
        <f>IFERROR(__xludf.DUMMYFUNCTION("""COMPUTED_VALUE"""),"6620204068")</f>
        <v>6620204068</v>
      </c>
      <c r="B2637" s="3" t="str">
        <f>IFERROR(__xludf.DUMMYFUNCTION("""COMPUTED_VALUE"""),"นายมูฮาหมัดฮาลีม ฮาแว")</f>
        <v>นายมูฮาหมัดฮาลีม ฮาแว</v>
      </c>
      <c r="C2637" s="3" t="str">
        <f>IFERROR(__xludf.DUMMYFUNCTION("""COMPUTED_VALUE"""),"ปวช.3/2")</f>
        <v>ปวช.3/2</v>
      </c>
      <c r="D2637" s="3" t="str">
        <f>IFERROR(__xludf.DUMMYFUNCTION("""COMPUTED_VALUE"""),"อก.ปวช.3/2")</f>
        <v>อก.ปวช.3/2</v>
      </c>
      <c r="E2637" s="2" t="str">
        <f>IFERROR(__xludf.DUMMYFUNCTION("""COMPUTED_VALUE"""),"ชาย")</f>
        <v>ชาย</v>
      </c>
      <c r="F2637" s="5" t="str">
        <f>IFERROR(__xludf.DUMMYFUNCTION("""COMPUTED_VALUE"""),"https://azizstan.net/student_image_voc/6620204068.jpg")</f>
        <v>https://azizstan.net/student_image_voc/6620204068.jpg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>
      <c r="A2638" s="3" t="str">
        <f>IFERROR(__xludf.DUMMYFUNCTION("""COMPUTED_VALUE"""),"6620204069")</f>
        <v>6620204069</v>
      </c>
      <c r="B2638" s="3" t="str">
        <f>IFERROR(__xludf.DUMMYFUNCTION("""COMPUTED_VALUE"""),"นายฮานาฟี อีสอปุเต๊ะ")</f>
        <v>นายฮานาฟี อีสอปุเต๊ะ</v>
      </c>
      <c r="C2638" s="3" t="str">
        <f>IFERROR(__xludf.DUMMYFUNCTION("""COMPUTED_VALUE"""),"ปวช.3/2")</f>
        <v>ปวช.3/2</v>
      </c>
      <c r="D2638" s="3" t="str">
        <f>IFERROR(__xludf.DUMMYFUNCTION("""COMPUTED_VALUE"""),"อก.ปวช.3/2")</f>
        <v>อก.ปวช.3/2</v>
      </c>
      <c r="E2638" s="2" t="str">
        <f>IFERROR(__xludf.DUMMYFUNCTION("""COMPUTED_VALUE"""),"ชาย")</f>
        <v>ชาย</v>
      </c>
      <c r="F2638" s="5" t="str">
        <f>IFERROR(__xludf.DUMMYFUNCTION("""COMPUTED_VALUE"""),"https://azizstan.net/student_image_voc/6620204069.jpg")</f>
        <v>https://azizstan.net/student_image_voc/6620204069.jpg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>
      <c r="A2639" s="3" t="str">
        <f>IFERROR(__xludf.DUMMYFUNCTION("""COMPUTED_VALUE"""),"6620204075")</f>
        <v>6620204075</v>
      </c>
      <c r="B2639" s="3" t="str">
        <f>IFERROR(__xludf.DUMMYFUNCTION("""COMPUTED_VALUE"""),"น.ส.ยัสมี สะนิ")</f>
        <v>น.ส.ยัสมี สะนิ</v>
      </c>
      <c r="C2639" s="3" t="str">
        <f>IFERROR(__xludf.DUMMYFUNCTION("""COMPUTED_VALUE"""),"ปวช.3/2")</f>
        <v>ปวช.3/2</v>
      </c>
      <c r="D2639" s="3" t="str">
        <f>IFERROR(__xludf.DUMMYFUNCTION("""COMPUTED_VALUE"""),"อก.ปวช.3/2")</f>
        <v>อก.ปวช.3/2</v>
      </c>
      <c r="E2639" s="2" t="str">
        <f>IFERROR(__xludf.DUMMYFUNCTION("""COMPUTED_VALUE"""),"หญิง")</f>
        <v>หญิง</v>
      </c>
      <c r="F2639" s="5" t="str">
        <f>IFERROR(__xludf.DUMMYFUNCTION("""COMPUTED_VALUE"""),"https://azizstan.net/student_image_voc/6620204075.jpg")</f>
        <v>https://azizstan.net/student_image_voc/6620204075.jpg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>
      <c r="A2640" s="3" t="str">
        <f>IFERROR(__xludf.DUMMYFUNCTION("""COMPUTED_VALUE"""),"6620204080")</f>
        <v>6620204080</v>
      </c>
      <c r="B2640" s="3" t="str">
        <f>IFERROR(__xludf.DUMMYFUNCTION("""COMPUTED_VALUE"""),"นายมูฮัมมัดอาลาวี เต็มหลง")</f>
        <v>นายมูฮัมมัดอาลาวี เต็มหลง</v>
      </c>
      <c r="C2640" s="3" t="str">
        <f>IFERROR(__xludf.DUMMYFUNCTION("""COMPUTED_VALUE"""),"ปวช.3/2")</f>
        <v>ปวช.3/2</v>
      </c>
      <c r="D2640" s="3" t="str">
        <f>IFERROR(__xludf.DUMMYFUNCTION("""COMPUTED_VALUE"""),"อก.ปวช.3/2")</f>
        <v>อก.ปวช.3/2</v>
      </c>
      <c r="E2640" s="2" t="str">
        <f>IFERROR(__xludf.DUMMYFUNCTION("""COMPUTED_VALUE"""),"ชาย")</f>
        <v>ชาย</v>
      </c>
      <c r="F2640" s="5" t="str">
        <f>IFERROR(__xludf.DUMMYFUNCTION("""COMPUTED_VALUE"""),"https://azizstan.net/student_image_voc/6620204080.jpg")</f>
        <v>https://azizstan.net/student_image_voc/6620204080.jpg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>
      <c r="A2641" s="3" t="str">
        <f>IFERROR(__xludf.DUMMYFUNCTION("""COMPUTED_VALUE"""),"6620204087")</f>
        <v>6620204087</v>
      </c>
      <c r="B2641" s="3" t="str">
        <f>IFERROR(__xludf.DUMMYFUNCTION("""COMPUTED_VALUE"""),"น.ส.ศัสศาบีลา สาลำ")</f>
        <v>น.ส.ศัสศาบีลา สาลำ</v>
      </c>
      <c r="C2641" s="3" t="str">
        <f>IFERROR(__xludf.DUMMYFUNCTION("""COMPUTED_VALUE"""),"ปวช.3/2")</f>
        <v>ปวช.3/2</v>
      </c>
      <c r="D2641" s="3" t="str">
        <f>IFERROR(__xludf.DUMMYFUNCTION("""COMPUTED_VALUE"""),"อก.ปวช.3/2")</f>
        <v>อก.ปวช.3/2</v>
      </c>
      <c r="E2641" s="2" t="str">
        <f>IFERROR(__xludf.DUMMYFUNCTION("""COMPUTED_VALUE"""),"หญิง")</f>
        <v>หญิง</v>
      </c>
      <c r="F2641" s="5" t="str">
        <f>IFERROR(__xludf.DUMMYFUNCTION("""COMPUTED_VALUE"""),"https://azizstan.net/student_image_voc/6620204087.jpg")</f>
        <v>https://azizstan.net/student_image_voc/6620204087.jpg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>
      <c r="A2642" s="3" t="str">
        <f>IFERROR(__xludf.DUMMYFUNCTION("""COMPUTED_VALUE"""),"6620204090")</f>
        <v>6620204090</v>
      </c>
      <c r="B2642" s="3" t="str">
        <f>IFERROR(__xludf.DUMMYFUNCTION("""COMPUTED_VALUE"""),"นายอับดุลฮากิม มามะ")</f>
        <v>นายอับดุลฮากิม มามะ</v>
      </c>
      <c r="C2642" s="3" t="str">
        <f>IFERROR(__xludf.DUMMYFUNCTION("""COMPUTED_VALUE"""),"ปวช.3/2")</f>
        <v>ปวช.3/2</v>
      </c>
      <c r="D2642" s="3" t="str">
        <f>IFERROR(__xludf.DUMMYFUNCTION("""COMPUTED_VALUE"""),"อก.ปวช.3/2")</f>
        <v>อก.ปวช.3/2</v>
      </c>
      <c r="E2642" s="2" t="str">
        <f>IFERROR(__xludf.DUMMYFUNCTION("""COMPUTED_VALUE"""),"ชาย")</f>
        <v>ชาย</v>
      </c>
      <c r="F2642" s="5" t="str">
        <f>IFERROR(__xludf.DUMMYFUNCTION("""COMPUTED_VALUE"""),"https://azizstan.net/student_image_voc/6620204090.jpg")</f>
        <v>https://azizstan.net/student_image_voc/6620204090.jpg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</row>
    <row r="2643">
      <c r="A2643" s="3" t="str">
        <f>IFERROR(__xludf.DUMMYFUNCTION("""COMPUTED_VALUE"""),"6620204094")</f>
        <v>6620204094</v>
      </c>
      <c r="B2643" s="3" t="str">
        <f>IFERROR(__xludf.DUMMYFUNCTION("""COMPUTED_VALUE"""),"นายอัซรอบฮ์ สิดิ")</f>
        <v>นายอัซรอบฮ์ สิดิ</v>
      </c>
      <c r="C2643" s="3" t="str">
        <f>IFERROR(__xludf.DUMMYFUNCTION("""COMPUTED_VALUE"""),"ปวช.3/2")</f>
        <v>ปวช.3/2</v>
      </c>
      <c r="D2643" s="3" t="str">
        <f>IFERROR(__xludf.DUMMYFUNCTION("""COMPUTED_VALUE"""),"อก.ปวช.3/2")</f>
        <v>อก.ปวช.3/2</v>
      </c>
      <c r="E2643" s="2" t="str">
        <f>IFERROR(__xludf.DUMMYFUNCTION("""COMPUTED_VALUE"""),"ชาย")</f>
        <v>ชาย</v>
      </c>
      <c r="F2643" s="5" t="str">
        <f>IFERROR(__xludf.DUMMYFUNCTION("""COMPUTED_VALUE"""),"https://azizstan.net/student_image_voc/6620204094.jpg")</f>
        <v>https://azizstan.net/student_image_voc/6620204094.jpg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</row>
    <row r="2644">
      <c r="A2644" s="3" t="str">
        <f>IFERROR(__xludf.DUMMYFUNCTION("""COMPUTED_VALUE"""),"6620204097")</f>
        <v>6620204097</v>
      </c>
      <c r="B2644" s="3" t="str">
        <f>IFERROR(__xludf.DUMMYFUNCTION("""COMPUTED_VALUE"""),"นายอาลิฟ ลอสะ")</f>
        <v>นายอาลิฟ ลอสะ</v>
      </c>
      <c r="C2644" s="3" t="str">
        <f>IFERROR(__xludf.DUMMYFUNCTION("""COMPUTED_VALUE"""),"ปวช.3/2")</f>
        <v>ปวช.3/2</v>
      </c>
      <c r="D2644" s="3" t="str">
        <f>IFERROR(__xludf.DUMMYFUNCTION("""COMPUTED_VALUE"""),"อก.ปวช.3/2")</f>
        <v>อก.ปวช.3/2</v>
      </c>
      <c r="E2644" s="2" t="str">
        <f>IFERROR(__xludf.DUMMYFUNCTION("""COMPUTED_VALUE"""),"ชาย")</f>
        <v>ชาย</v>
      </c>
      <c r="F2644" s="5" t="str">
        <f>IFERROR(__xludf.DUMMYFUNCTION("""COMPUTED_VALUE"""),"https://azizstan.net/student_image_voc/6620204097.jpg")</f>
        <v>https://azizstan.net/student_image_voc/6620204097.jpg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</row>
    <row r="2645">
      <c r="A2645" s="3" t="str">
        <f>IFERROR(__xludf.DUMMYFUNCTION("""COMPUTED_VALUE"""),"6620204100")</f>
        <v>6620204100</v>
      </c>
      <c r="B2645" s="3" t="str">
        <f>IFERROR(__xludf.DUMMYFUNCTION("""COMPUTED_VALUE"""),"น.ส.บิลกิซ หลงเส็น")</f>
        <v>น.ส.บิลกิซ หลงเส็น</v>
      </c>
      <c r="C2645" s="3" t="str">
        <f>IFERROR(__xludf.DUMMYFUNCTION("""COMPUTED_VALUE"""),"ปวช.3/2")</f>
        <v>ปวช.3/2</v>
      </c>
      <c r="D2645" s="3" t="str">
        <f>IFERROR(__xludf.DUMMYFUNCTION("""COMPUTED_VALUE"""),"อก.ปวช.3/2")</f>
        <v>อก.ปวช.3/2</v>
      </c>
      <c r="E2645" s="2" t="str">
        <f>IFERROR(__xludf.DUMMYFUNCTION("""COMPUTED_VALUE"""),"หญิง")</f>
        <v>หญิง</v>
      </c>
      <c r="F2645" s="5" t="str">
        <f>IFERROR(__xludf.DUMMYFUNCTION("""COMPUTED_VALUE"""),"https://azizstan.net/student_image_voc/6620204100.jpg")</f>
        <v>https://azizstan.net/student_image_voc/6620204100.jpg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>
      <c r="A2646" s="3" t="str">
        <f>IFERROR(__xludf.DUMMYFUNCTION("""COMPUTED_VALUE"""),"6620204105")</f>
        <v>6620204105</v>
      </c>
      <c r="B2646" s="3" t="str">
        <f>IFERROR(__xludf.DUMMYFUNCTION("""COMPUTED_VALUE"""),"นายอิบรอเฮม มะเส็น")</f>
        <v>นายอิบรอเฮม มะเส็น</v>
      </c>
      <c r="C2646" s="3" t="str">
        <f>IFERROR(__xludf.DUMMYFUNCTION("""COMPUTED_VALUE"""),"ปวช.3/2")</f>
        <v>ปวช.3/2</v>
      </c>
      <c r="D2646" s="3" t="str">
        <f>IFERROR(__xludf.DUMMYFUNCTION("""COMPUTED_VALUE"""),"อก.ปวช.3/2")</f>
        <v>อก.ปวช.3/2</v>
      </c>
      <c r="E2646" s="2" t="str">
        <f>IFERROR(__xludf.DUMMYFUNCTION("""COMPUTED_VALUE"""),"ชาย")</f>
        <v>ชาย</v>
      </c>
      <c r="F2646" s="5" t="str">
        <f>IFERROR(__xludf.DUMMYFUNCTION("""COMPUTED_VALUE"""),"https://azizstan.net/student_image_voc/6620204105.jpg")</f>
        <v>https://azizstan.net/student_image_voc/6620204105.jpg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</row>
    <row r="2647">
      <c r="A2647" s="3" t="str">
        <f>IFERROR(__xludf.DUMMYFUNCTION("""COMPUTED_VALUE"""),"6620204110")</f>
        <v>6620204110</v>
      </c>
      <c r="B2647" s="3" t="str">
        <f>IFERROR(__xludf.DUMMYFUNCTION("""COMPUTED_VALUE"""),"น.ส.นาซูฮา บือราเฮง")</f>
        <v>น.ส.นาซูฮา บือราเฮง</v>
      </c>
      <c r="C2647" s="3" t="str">
        <f>IFERROR(__xludf.DUMMYFUNCTION("""COMPUTED_VALUE"""),"ปวช.3/2")</f>
        <v>ปวช.3/2</v>
      </c>
      <c r="D2647" s="3" t="str">
        <f>IFERROR(__xludf.DUMMYFUNCTION("""COMPUTED_VALUE"""),"อก.ปวช.3/2")</f>
        <v>อก.ปวช.3/2</v>
      </c>
      <c r="E2647" s="2" t="str">
        <f>IFERROR(__xludf.DUMMYFUNCTION("""COMPUTED_VALUE"""),"หญิง")</f>
        <v>หญิง</v>
      </c>
      <c r="F2647" s="5" t="str">
        <f>IFERROR(__xludf.DUMMYFUNCTION("""COMPUTED_VALUE"""),"https://azizstan.net/student_image_voc/6620204110.jpg")</f>
        <v>https://azizstan.net/student_image_voc/6620204110.jpg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</row>
    <row r="2648">
      <c r="A2648" s="3" t="str">
        <f>IFERROR(__xludf.DUMMYFUNCTION("""COMPUTED_VALUE"""),"6620204111")</f>
        <v>6620204111</v>
      </c>
      <c r="B2648" s="3" t="str">
        <f>IFERROR(__xludf.DUMMYFUNCTION("""COMPUTED_VALUE"""),"นายอานัส แวเด็ง")</f>
        <v>นายอานัส แวเด็ง</v>
      </c>
      <c r="C2648" s="3" t="str">
        <f>IFERROR(__xludf.DUMMYFUNCTION("""COMPUTED_VALUE"""),"ปวช.3/2")</f>
        <v>ปวช.3/2</v>
      </c>
      <c r="D2648" s="3" t="str">
        <f>IFERROR(__xludf.DUMMYFUNCTION("""COMPUTED_VALUE"""),"อก.ปวช.3/2")</f>
        <v>อก.ปวช.3/2</v>
      </c>
      <c r="E2648" s="2" t="str">
        <f>IFERROR(__xludf.DUMMYFUNCTION("""COMPUTED_VALUE"""),"ชาย")</f>
        <v>ชาย</v>
      </c>
      <c r="F2648" s="5" t="str">
        <f>IFERROR(__xludf.DUMMYFUNCTION("""COMPUTED_VALUE"""),"https://azizstan.net/student_image_voc/6620204111.jpg")</f>
        <v>https://azizstan.net/student_image_voc/6620204111.jpg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</row>
    <row r="2649">
      <c r="A2649" s="3" t="str">
        <f>IFERROR(__xludf.DUMMYFUNCTION("""COMPUTED_VALUE"""),"6620204112")</f>
        <v>6620204112</v>
      </c>
      <c r="B2649" s="3" t="str">
        <f>IFERROR(__xludf.DUMMYFUNCTION("""COMPUTED_VALUE"""),"น.ส.ฟาตอนะห์ ดอมะ")</f>
        <v>น.ส.ฟาตอนะห์ ดอมะ</v>
      </c>
      <c r="C2649" s="3" t="str">
        <f>IFERROR(__xludf.DUMMYFUNCTION("""COMPUTED_VALUE"""),"ปวช.3/2")</f>
        <v>ปวช.3/2</v>
      </c>
      <c r="D2649" s="3" t="str">
        <f>IFERROR(__xludf.DUMMYFUNCTION("""COMPUTED_VALUE"""),"อก.ปวช.3/2")</f>
        <v>อก.ปวช.3/2</v>
      </c>
      <c r="E2649" s="2" t="str">
        <f>IFERROR(__xludf.DUMMYFUNCTION("""COMPUTED_VALUE"""),"หญิง")</f>
        <v>หญิง</v>
      </c>
      <c r="F2649" s="5" t="str">
        <f>IFERROR(__xludf.DUMMYFUNCTION("""COMPUTED_VALUE"""),"https://azizstan.net/student_image_voc/6620204112.jpg")</f>
        <v>https://azizstan.net/student_image_voc/6620204112.jpg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>
      <c r="A2650" s="3" t="str">
        <f>IFERROR(__xludf.DUMMYFUNCTION("""COMPUTED_VALUE"""),"6620204113")</f>
        <v>6620204113</v>
      </c>
      <c r="B2650" s="3" t="str">
        <f>IFERROR(__xludf.DUMMYFUNCTION("""COMPUTED_VALUE"""),"น.ส.สุไรยา แวยูโซะ")</f>
        <v>น.ส.สุไรยา แวยูโซะ</v>
      </c>
      <c r="C2650" s="3" t="str">
        <f>IFERROR(__xludf.DUMMYFUNCTION("""COMPUTED_VALUE"""),"ปวช.3/2")</f>
        <v>ปวช.3/2</v>
      </c>
      <c r="D2650" s="3" t="str">
        <f>IFERROR(__xludf.DUMMYFUNCTION("""COMPUTED_VALUE"""),"อก.ปวช.3/2")</f>
        <v>อก.ปวช.3/2</v>
      </c>
      <c r="E2650" s="2" t="str">
        <f>IFERROR(__xludf.DUMMYFUNCTION("""COMPUTED_VALUE"""),"หญิง")</f>
        <v>หญิง</v>
      </c>
      <c r="F2650" s="5" t="str">
        <f>IFERROR(__xludf.DUMMYFUNCTION("""COMPUTED_VALUE"""),"https://azizstan.net/student_image_voc/6620204113.jpg")</f>
        <v>https://azizstan.net/student_image_voc/6620204113.jpg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>
      <c r="A2651" s="3" t="str">
        <f>IFERROR(__xludf.DUMMYFUNCTION("""COMPUTED_VALUE"""),"6620204117")</f>
        <v>6620204117</v>
      </c>
      <c r="B2651" s="3" t="str">
        <f>IFERROR(__xludf.DUMMYFUNCTION("""COMPUTED_VALUE"""),"น.ส.ฟาตอนีย๊ะ สาเมาะ")</f>
        <v>น.ส.ฟาตอนีย๊ะ สาเมาะ</v>
      </c>
      <c r="C2651" s="3" t="str">
        <f>IFERROR(__xludf.DUMMYFUNCTION("""COMPUTED_VALUE"""),"ปวช.3/2")</f>
        <v>ปวช.3/2</v>
      </c>
      <c r="D2651" s="3" t="str">
        <f>IFERROR(__xludf.DUMMYFUNCTION("""COMPUTED_VALUE"""),"อก.ปวช.3/2")</f>
        <v>อก.ปวช.3/2</v>
      </c>
      <c r="E2651" s="2" t="str">
        <f>IFERROR(__xludf.DUMMYFUNCTION("""COMPUTED_VALUE"""),"หญิง")</f>
        <v>หญิง</v>
      </c>
      <c r="F2651" s="5" t="str">
        <f>IFERROR(__xludf.DUMMYFUNCTION("""COMPUTED_VALUE"""),"https://azizstan.net/student_image_voc/6620204117.jpg")</f>
        <v>https://azizstan.net/student_image_voc/6620204117.jpg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>
      <c r="A2652" s="3" t="str">
        <f>IFERROR(__xludf.DUMMYFUNCTION("""COMPUTED_VALUE"""),"6620204121")</f>
        <v>6620204121</v>
      </c>
      <c r="B2652" s="3" t="str">
        <f>IFERROR(__xludf.DUMMYFUNCTION("""COMPUTED_VALUE"""),"น.ส.มารีนา กานางอ")</f>
        <v>น.ส.มารีนา กานางอ</v>
      </c>
      <c r="C2652" s="3" t="str">
        <f>IFERROR(__xludf.DUMMYFUNCTION("""COMPUTED_VALUE"""),"ปวช.3/2")</f>
        <v>ปวช.3/2</v>
      </c>
      <c r="D2652" s="3" t="str">
        <f>IFERROR(__xludf.DUMMYFUNCTION("""COMPUTED_VALUE"""),"อก.ปวช.3/2")</f>
        <v>อก.ปวช.3/2</v>
      </c>
      <c r="E2652" s="2" t="str">
        <f>IFERROR(__xludf.DUMMYFUNCTION("""COMPUTED_VALUE"""),"หญิง")</f>
        <v>หญิง</v>
      </c>
      <c r="F2652" s="5" t="str">
        <f>IFERROR(__xludf.DUMMYFUNCTION("""COMPUTED_VALUE"""),"https://azizstan.net/student_image_voc/6620204121.jpg")</f>
        <v>https://azizstan.net/student_image_voc/6620204121.jpg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</row>
    <row r="2653">
      <c r="A2653" s="3"/>
      <c r="B2653" s="3"/>
      <c r="C2653" s="3"/>
      <c r="D2653" s="3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</row>
    <row r="2654">
      <c r="A2654" s="3"/>
      <c r="B2654" s="3"/>
      <c r="C2654" s="3"/>
      <c r="D2654" s="3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</row>
    <row r="2655">
      <c r="A2655" s="3"/>
      <c r="B2655" s="3"/>
      <c r="C2655" s="3"/>
      <c r="D2655" s="3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>
      <c r="A2656" s="3"/>
      <c r="B2656" s="3"/>
      <c r="C2656" s="3"/>
      <c r="D2656" s="3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>
      <c r="A2657" s="3"/>
      <c r="B2657" s="3"/>
      <c r="C2657" s="3"/>
      <c r="D2657" s="3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>
      <c r="A2658" s="3"/>
      <c r="B2658" s="3"/>
      <c r="C2658" s="3"/>
      <c r="D2658" s="3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</row>
    <row r="2659">
      <c r="A2659" s="3"/>
      <c r="B2659" s="3"/>
      <c r="C2659" s="3"/>
      <c r="D2659" s="3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</row>
    <row r="2660">
      <c r="A2660" s="3"/>
      <c r="B2660" s="3"/>
      <c r="C2660" s="3"/>
      <c r="D2660" s="3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</row>
    <row r="2661">
      <c r="A2661" s="3"/>
      <c r="B2661" s="3"/>
      <c r="C2661" s="3"/>
      <c r="D2661" s="3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>
      <c r="A2662" s="3"/>
      <c r="B2662" s="3"/>
      <c r="C2662" s="3"/>
      <c r="D2662" s="3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>
      <c r="A2663" s="3"/>
      <c r="B2663" s="3"/>
      <c r="C2663" s="3"/>
      <c r="D2663" s="3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>
      <c r="A2664" s="3"/>
      <c r="B2664" s="3"/>
      <c r="C2664" s="3"/>
      <c r="D2664" s="3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</row>
    <row r="2665">
      <c r="A2665" s="3"/>
      <c r="B2665" s="3"/>
      <c r="C2665" s="3"/>
      <c r="D2665" s="3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>
      <c r="A2666" s="3"/>
      <c r="B2666" s="3"/>
      <c r="C2666" s="3"/>
      <c r="D2666" s="3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>
      <c r="A2667" s="3"/>
      <c r="B2667" s="3"/>
      <c r="C2667" s="3"/>
      <c r="D2667" s="3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>
      <c r="A2668" s="3"/>
      <c r="B2668" s="3"/>
      <c r="C2668" s="3"/>
      <c r="D2668" s="3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>
      <c r="A2669" s="3"/>
      <c r="B2669" s="3"/>
      <c r="C2669" s="3"/>
      <c r="D2669" s="3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>
      <c r="A2670" s="3"/>
      <c r="B2670" s="3"/>
      <c r="C2670" s="3"/>
      <c r="D2670" s="3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</row>
    <row r="2671">
      <c r="A2671" s="3"/>
      <c r="B2671" s="3"/>
      <c r="C2671" s="3"/>
      <c r="D2671" s="3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>
      <c r="A2672" s="3"/>
      <c r="B2672" s="3"/>
      <c r="C2672" s="3"/>
      <c r="D2672" s="3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</row>
    <row r="2673">
      <c r="A2673" s="3"/>
      <c r="B2673" s="3"/>
      <c r="C2673" s="3"/>
      <c r="D2673" s="3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>
      <c r="A2674" s="3"/>
      <c r="B2674" s="3"/>
      <c r="C2674" s="3"/>
      <c r="D2674" s="3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>
      <c r="A2675" s="3"/>
      <c r="B2675" s="3"/>
      <c r="C2675" s="3"/>
      <c r="D2675" s="3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</row>
    <row r="2676">
      <c r="A2676" s="3"/>
      <c r="B2676" s="3"/>
      <c r="C2676" s="3"/>
      <c r="D2676" s="3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>
      <c r="A2677" s="3"/>
      <c r="B2677" s="3"/>
      <c r="C2677" s="3"/>
      <c r="D2677" s="3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>
      <c r="A2678" s="3"/>
      <c r="B2678" s="3"/>
      <c r="C2678" s="3"/>
      <c r="D2678" s="3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>
      <c r="A2679" s="3"/>
      <c r="B2679" s="3"/>
      <c r="C2679" s="3"/>
      <c r="D2679" s="3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>
      <c r="A2680" s="3"/>
      <c r="B2680" s="3"/>
      <c r="C2680" s="3"/>
      <c r="D2680" s="3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>
      <c r="A2681" s="3"/>
      <c r="B2681" s="3"/>
      <c r="C2681" s="3"/>
      <c r="D2681" s="3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>
      <c r="A2682" s="3"/>
      <c r="B2682" s="3"/>
      <c r="C2682" s="3"/>
      <c r="D2682" s="3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>
      <c r="A2683" s="3"/>
      <c r="B2683" s="3"/>
      <c r="C2683" s="3"/>
      <c r="D2683" s="3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>
      <c r="A2684" s="3"/>
      <c r="B2684" s="3"/>
      <c r="C2684" s="3"/>
      <c r="D2684" s="3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>
      <c r="A2685" s="3"/>
      <c r="B2685" s="3"/>
      <c r="C2685" s="3"/>
      <c r="D2685" s="3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>
      <c r="A2686" s="3"/>
      <c r="B2686" s="3"/>
      <c r="C2686" s="3"/>
      <c r="D2686" s="3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>
      <c r="A2687" s="3"/>
      <c r="B2687" s="3"/>
      <c r="C2687" s="3"/>
      <c r="D2687" s="3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>
      <c r="A2688" s="3"/>
      <c r="B2688" s="3"/>
      <c r="C2688" s="3"/>
      <c r="D2688" s="3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>
      <c r="A2689" s="3"/>
      <c r="B2689" s="3"/>
      <c r="C2689" s="3"/>
      <c r="D2689" s="3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</row>
    <row r="2690">
      <c r="A2690" s="3"/>
      <c r="B2690" s="3"/>
      <c r="C2690" s="3"/>
      <c r="D2690" s="3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>
      <c r="A2691" s="3"/>
      <c r="B2691" s="3"/>
      <c r="C2691" s="3"/>
      <c r="D2691" s="3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>
      <c r="A2692" s="3"/>
      <c r="B2692" s="3"/>
      <c r="C2692" s="3"/>
      <c r="D2692" s="3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>
      <c r="A2693" s="3"/>
      <c r="B2693" s="3"/>
      <c r="C2693" s="3"/>
      <c r="D2693" s="3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</row>
    <row r="2694">
      <c r="A2694" s="3"/>
      <c r="B2694" s="3"/>
      <c r="C2694" s="3"/>
      <c r="D2694" s="3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>
      <c r="A2695" s="3"/>
      <c r="B2695" s="3"/>
      <c r="C2695" s="3"/>
      <c r="D2695" s="3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>
      <c r="A2696" s="3"/>
      <c r="B2696" s="3"/>
      <c r="C2696" s="3"/>
      <c r="D2696" s="3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</row>
    <row r="2697">
      <c r="A2697" s="3"/>
      <c r="B2697" s="3"/>
      <c r="C2697" s="3"/>
      <c r="D2697" s="3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>
      <c r="A2698" s="3"/>
      <c r="B2698" s="3"/>
      <c r="C2698" s="3"/>
      <c r="D2698" s="3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>
      <c r="A2699" s="3"/>
      <c r="B2699" s="3"/>
      <c r="C2699" s="3"/>
      <c r="D2699" s="3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>
      <c r="A2700" s="3"/>
      <c r="B2700" s="3"/>
      <c r="C2700" s="3"/>
      <c r="D2700" s="3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</row>
    <row r="2701">
      <c r="A2701" s="3"/>
      <c r="B2701" s="3"/>
      <c r="C2701" s="3"/>
      <c r="D2701" s="3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</row>
    <row r="2702">
      <c r="A2702" s="3"/>
      <c r="B2702" s="3"/>
      <c r="C2702" s="3"/>
      <c r="D2702" s="3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>
      <c r="A2703" s="3"/>
      <c r="B2703" s="3"/>
      <c r="C2703" s="3"/>
      <c r="D2703" s="3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>
      <c r="A2704" s="3"/>
      <c r="B2704" s="3"/>
      <c r="C2704" s="3"/>
      <c r="D2704" s="3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>
      <c r="A2705" s="3"/>
      <c r="B2705" s="3"/>
      <c r="C2705" s="3"/>
      <c r="D2705" s="3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>
      <c r="A2706" s="3"/>
      <c r="B2706" s="3"/>
      <c r="C2706" s="3"/>
      <c r="D2706" s="3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</row>
    <row r="2707">
      <c r="A2707" s="3"/>
      <c r="B2707" s="3"/>
      <c r="C2707" s="3"/>
      <c r="D2707" s="3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</row>
    <row r="2708">
      <c r="A2708" s="3"/>
      <c r="B2708" s="3"/>
      <c r="C2708" s="3"/>
      <c r="D2708" s="3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>
      <c r="A2709" s="3"/>
      <c r="B2709" s="3"/>
      <c r="C2709" s="3"/>
      <c r="D2709" s="3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</row>
    <row r="2710">
      <c r="A2710" s="3"/>
      <c r="B2710" s="3"/>
      <c r="C2710" s="3"/>
      <c r="D2710" s="3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>
      <c r="A2711" s="3"/>
      <c r="B2711" s="3"/>
      <c r="C2711" s="3"/>
      <c r="D2711" s="3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  <row r="2712">
      <c r="A2712" s="3"/>
      <c r="B2712" s="3"/>
      <c r="C2712" s="3"/>
      <c r="D2712" s="3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>
      <c r="A2713" s="3"/>
      <c r="B2713" s="3"/>
      <c r="C2713" s="3"/>
      <c r="D2713" s="3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>
      <c r="A2714" s="3"/>
      <c r="B2714" s="3"/>
      <c r="C2714" s="3"/>
      <c r="D2714" s="3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>
      <c r="A2715" s="3"/>
      <c r="B2715" s="3"/>
      <c r="C2715" s="3"/>
      <c r="D2715" s="3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>
      <c r="A2716" s="3"/>
      <c r="B2716" s="3"/>
      <c r="C2716" s="3"/>
      <c r="D2716" s="3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>
      <c r="A2717" s="3"/>
      <c r="B2717" s="3"/>
      <c r="C2717" s="3"/>
      <c r="D2717" s="3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</row>
    <row r="2718">
      <c r="A2718" s="3"/>
      <c r="B2718" s="3"/>
      <c r="C2718" s="3"/>
      <c r="D2718" s="3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>
      <c r="A2719" s="3"/>
      <c r="B2719" s="3"/>
      <c r="C2719" s="3"/>
      <c r="D2719" s="3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</row>
    <row r="2720">
      <c r="A2720" s="3"/>
      <c r="B2720" s="3"/>
      <c r="C2720" s="3"/>
      <c r="D2720" s="3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</row>
    <row r="2721">
      <c r="A2721" s="3"/>
      <c r="B2721" s="3"/>
      <c r="C2721" s="3"/>
      <c r="D2721" s="3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</row>
    <row r="2722">
      <c r="A2722" s="3"/>
      <c r="B2722" s="3"/>
      <c r="C2722" s="3"/>
      <c r="D2722" s="3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</row>
    <row r="2723">
      <c r="A2723" s="3"/>
      <c r="B2723" s="3"/>
      <c r="C2723" s="3"/>
      <c r="D2723" s="3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</row>
    <row r="2724">
      <c r="A2724" s="3"/>
      <c r="B2724" s="3"/>
      <c r="C2724" s="3"/>
      <c r="D2724" s="3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</row>
    <row r="2725">
      <c r="A2725" s="3"/>
      <c r="B2725" s="3"/>
      <c r="C2725" s="3"/>
      <c r="D2725" s="3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</row>
    <row r="2726">
      <c r="A2726" s="3"/>
      <c r="B2726" s="3"/>
      <c r="C2726" s="3"/>
      <c r="D2726" s="3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</row>
    <row r="2727">
      <c r="A2727" s="3"/>
      <c r="B2727" s="3"/>
      <c r="C2727" s="3"/>
      <c r="D2727" s="3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</row>
    <row r="2728">
      <c r="A2728" s="3"/>
      <c r="B2728" s="3"/>
      <c r="C2728" s="3"/>
      <c r="D2728" s="3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</row>
    <row r="2729">
      <c r="A2729" s="3"/>
      <c r="B2729" s="3"/>
      <c r="C2729" s="3"/>
      <c r="D2729" s="3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</row>
    <row r="2730">
      <c r="A2730" s="3"/>
      <c r="B2730" s="3"/>
      <c r="C2730" s="3"/>
      <c r="D2730" s="3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</row>
    <row r="2731">
      <c r="A2731" s="3"/>
      <c r="B2731" s="3"/>
      <c r="C2731" s="3"/>
      <c r="D2731" s="3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</row>
    <row r="2732">
      <c r="A2732" s="3"/>
      <c r="B2732" s="3"/>
      <c r="C2732" s="3"/>
      <c r="D2732" s="3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>
      <c r="A2733" s="3"/>
      <c r="B2733" s="3"/>
      <c r="C2733" s="3"/>
      <c r="D2733" s="3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>
      <c r="A2734" s="3"/>
      <c r="B2734" s="3"/>
      <c r="C2734" s="3"/>
      <c r="D2734" s="3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>
      <c r="A2735" s="3"/>
      <c r="B2735" s="3"/>
      <c r="C2735" s="3"/>
      <c r="D2735" s="3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>
      <c r="A2736" s="3"/>
      <c r="B2736" s="3"/>
      <c r="C2736" s="3"/>
      <c r="D2736" s="3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>
      <c r="A2737" s="3"/>
      <c r="B2737" s="3"/>
      <c r="C2737" s="3"/>
      <c r="D2737" s="3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</row>
    <row r="2738">
      <c r="A2738" s="3"/>
      <c r="B2738" s="3"/>
      <c r="C2738" s="3"/>
      <c r="D2738" s="3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</row>
    <row r="2739">
      <c r="A2739" s="3"/>
      <c r="B2739" s="3"/>
      <c r="C2739" s="3"/>
      <c r="D2739" s="3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>
      <c r="A2740" s="3"/>
      <c r="B2740" s="3"/>
      <c r="C2740" s="3"/>
      <c r="D2740" s="3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</row>
    <row r="2741">
      <c r="A2741" s="3"/>
      <c r="B2741" s="3"/>
      <c r="C2741" s="3"/>
      <c r="D2741" s="3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</row>
    <row r="2742">
      <c r="A2742" s="3"/>
      <c r="B2742" s="3"/>
      <c r="C2742" s="3"/>
      <c r="D2742" s="3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</row>
    <row r="2743">
      <c r="A2743" s="3"/>
      <c r="B2743" s="3"/>
      <c r="C2743" s="3"/>
      <c r="D2743" s="3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</row>
  </sheetData>
  <autoFilter ref="$J$1:$M$11">
    <sortState ref="J1:M11">
      <sortCondition descending="1" ref="K1:K11"/>
    </sortState>
  </autoFilter>
  <hyperlinks>
    <hyperlink r:id="rId1" ref="F2"/>
    <hyperlink r:id="rId2" ref="F3"/>
    <hyperlink r:id="rId3" ref="M3"/>
    <hyperlink r:id="rId4" ref="F4"/>
    <hyperlink r:id="rId5" ref="M4"/>
    <hyperlink r:id="rId6" ref="F5"/>
    <hyperlink r:id="rId7" ref="M5"/>
    <hyperlink r:id="rId8" ref="M6"/>
    <hyperlink r:id="rId9" ref="M7"/>
    <hyperlink r:id="rId10" ref="M8"/>
    <hyperlink r:id="rId11" ref="M9"/>
    <hyperlink r:id="rId12" ref="M10"/>
    <hyperlink r:id="rId13" ref="M11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0"/>
    <hyperlink r:id="rId318" ref="F321"/>
    <hyperlink r:id="rId319" ref="F322"/>
    <hyperlink r:id="rId320" ref="F323"/>
    <hyperlink r:id="rId321" ref="F324"/>
    <hyperlink r:id="rId322" ref="F325"/>
    <hyperlink r:id="rId323" ref="F326"/>
    <hyperlink r:id="rId324" ref="F327"/>
    <hyperlink r:id="rId325" ref="F328"/>
    <hyperlink r:id="rId326" ref="F329"/>
    <hyperlink r:id="rId327" ref="F330"/>
    <hyperlink r:id="rId328" ref="F331"/>
    <hyperlink r:id="rId329" ref="F332"/>
    <hyperlink r:id="rId330" ref="F333"/>
    <hyperlink r:id="rId331" ref="F334"/>
    <hyperlink r:id="rId332" ref="F335"/>
    <hyperlink r:id="rId333" ref="F336"/>
    <hyperlink r:id="rId334" ref="F337"/>
    <hyperlink r:id="rId335" ref="F338"/>
    <hyperlink r:id="rId336" ref="F339"/>
    <hyperlink r:id="rId337" ref="F340"/>
    <hyperlink r:id="rId338" ref="F341"/>
    <hyperlink r:id="rId339" ref="F342"/>
    <hyperlink r:id="rId340" ref="F343"/>
    <hyperlink r:id="rId341" ref="F344"/>
    <hyperlink r:id="rId342" ref="F345"/>
    <hyperlink r:id="rId343" ref="F346"/>
    <hyperlink r:id="rId344" ref="F347"/>
    <hyperlink r:id="rId345" ref="F348"/>
    <hyperlink r:id="rId346" ref="F349"/>
    <hyperlink r:id="rId347" ref="F350"/>
    <hyperlink r:id="rId348" ref="F351"/>
    <hyperlink r:id="rId349" ref="F352"/>
    <hyperlink r:id="rId350" ref="F353"/>
    <hyperlink r:id="rId351" ref="F354"/>
    <hyperlink r:id="rId352" ref="F355"/>
    <hyperlink r:id="rId353" ref="F356"/>
    <hyperlink r:id="rId354" ref="F357"/>
    <hyperlink r:id="rId355" ref="F358"/>
    <hyperlink r:id="rId356" ref="F359"/>
    <hyperlink r:id="rId357" ref="F360"/>
    <hyperlink r:id="rId358" ref="F361"/>
    <hyperlink r:id="rId359" ref="F362"/>
    <hyperlink r:id="rId360" ref="F363"/>
    <hyperlink r:id="rId361" ref="F364"/>
    <hyperlink r:id="rId362" ref="F365"/>
    <hyperlink r:id="rId363" ref="F366"/>
    <hyperlink r:id="rId364" ref="F367"/>
    <hyperlink r:id="rId365" ref="F368"/>
    <hyperlink r:id="rId366" ref="F369"/>
    <hyperlink r:id="rId367" ref="F370"/>
    <hyperlink r:id="rId368" ref="F371"/>
    <hyperlink r:id="rId369" ref="F372"/>
    <hyperlink r:id="rId370" ref="F373"/>
    <hyperlink r:id="rId371" ref="F374"/>
    <hyperlink r:id="rId372" ref="F375"/>
    <hyperlink r:id="rId373" ref="F376"/>
    <hyperlink r:id="rId374" ref="F377"/>
    <hyperlink r:id="rId375" ref="F378"/>
    <hyperlink r:id="rId376" ref="F379"/>
    <hyperlink r:id="rId377" ref="F380"/>
    <hyperlink r:id="rId378" ref="F381"/>
    <hyperlink r:id="rId379" ref="F382"/>
    <hyperlink r:id="rId380" ref="F383"/>
    <hyperlink r:id="rId381" ref="F384"/>
    <hyperlink r:id="rId382" ref="F385"/>
    <hyperlink r:id="rId383" ref="F386"/>
    <hyperlink r:id="rId384" ref="F387"/>
    <hyperlink r:id="rId385" ref="F388"/>
    <hyperlink r:id="rId386" ref="F389"/>
    <hyperlink r:id="rId387" ref="F390"/>
    <hyperlink r:id="rId388" ref="F391"/>
    <hyperlink r:id="rId389" ref="F392"/>
    <hyperlink r:id="rId390" ref="F393"/>
    <hyperlink r:id="rId391" ref="F394"/>
    <hyperlink r:id="rId392" ref="F395"/>
    <hyperlink r:id="rId393" ref="F396"/>
    <hyperlink r:id="rId394" ref="F397"/>
    <hyperlink r:id="rId395" ref="F398"/>
    <hyperlink r:id="rId396" ref="F399"/>
    <hyperlink r:id="rId397" ref="F400"/>
    <hyperlink r:id="rId398" ref="F401"/>
    <hyperlink r:id="rId399" ref="F402"/>
    <hyperlink r:id="rId400" ref="F403"/>
    <hyperlink r:id="rId401" ref="F404"/>
    <hyperlink r:id="rId402" ref="F405"/>
    <hyperlink r:id="rId403" ref="F406"/>
    <hyperlink r:id="rId404" ref="F407"/>
    <hyperlink r:id="rId405" ref="F408"/>
    <hyperlink r:id="rId406" ref="F409"/>
    <hyperlink r:id="rId407" ref="F410"/>
    <hyperlink r:id="rId408" ref="F411"/>
    <hyperlink r:id="rId409" ref="F412"/>
    <hyperlink r:id="rId410" ref="F413"/>
    <hyperlink r:id="rId411" ref="F414"/>
    <hyperlink r:id="rId412" ref="F415"/>
    <hyperlink r:id="rId413" ref="F416"/>
    <hyperlink r:id="rId414" ref="F417"/>
    <hyperlink r:id="rId415" ref="F418"/>
    <hyperlink r:id="rId416" ref="F419"/>
    <hyperlink r:id="rId417" ref="F420"/>
    <hyperlink r:id="rId418" ref="F421"/>
    <hyperlink r:id="rId419" ref="F422"/>
    <hyperlink r:id="rId420" ref="F423"/>
    <hyperlink r:id="rId421" ref="F424"/>
    <hyperlink r:id="rId422" ref="F425"/>
    <hyperlink r:id="rId423" ref="F426"/>
    <hyperlink r:id="rId424" ref="F427"/>
    <hyperlink r:id="rId425" ref="F428"/>
    <hyperlink r:id="rId426" ref="F429"/>
    <hyperlink r:id="rId427" ref="F430"/>
    <hyperlink r:id="rId428" ref="F431"/>
    <hyperlink r:id="rId429" ref="F432"/>
    <hyperlink r:id="rId430" ref="F433"/>
    <hyperlink r:id="rId431" ref="F434"/>
    <hyperlink r:id="rId432" ref="F435"/>
    <hyperlink r:id="rId433" ref="F436"/>
    <hyperlink r:id="rId434" ref="F437"/>
    <hyperlink r:id="rId435" ref="F438"/>
    <hyperlink r:id="rId436" ref="F439"/>
    <hyperlink r:id="rId437" ref="F440"/>
    <hyperlink r:id="rId438" ref="F441"/>
    <hyperlink r:id="rId439" ref="F442"/>
    <hyperlink r:id="rId440" ref="F443"/>
    <hyperlink r:id="rId441" ref="F444"/>
    <hyperlink r:id="rId442" ref="F445"/>
    <hyperlink r:id="rId443" ref="F446"/>
    <hyperlink r:id="rId444" ref="F447"/>
    <hyperlink r:id="rId445" ref="F448"/>
    <hyperlink r:id="rId446" ref="F449"/>
    <hyperlink r:id="rId447" ref="F450"/>
    <hyperlink r:id="rId448" ref="F451"/>
    <hyperlink r:id="rId449" ref="F452"/>
    <hyperlink r:id="rId450" ref="F453"/>
    <hyperlink r:id="rId451" ref="F454"/>
    <hyperlink r:id="rId452" ref="F455"/>
    <hyperlink r:id="rId453" ref="F456"/>
    <hyperlink r:id="rId454" ref="F457"/>
    <hyperlink r:id="rId455" ref="F458"/>
    <hyperlink r:id="rId456" ref="F459"/>
    <hyperlink r:id="rId457" ref="F460"/>
    <hyperlink r:id="rId458" ref="F461"/>
    <hyperlink r:id="rId459" ref="F462"/>
    <hyperlink r:id="rId460" ref="F463"/>
    <hyperlink r:id="rId461" ref="F464"/>
    <hyperlink r:id="rId462" ref="F465"/>
    <hyperlink r:id="rId463" ref="F466"/>
    <hyperlink r:id="rId464" ref="F467"/>
    <hyperlink r:id="rId465" ref="F468"/>
    <hyperlink r:id="rId466" ref="F469"/>
    <hyperlink r:id="rId467" ref="F470"/>
    <hyperlink r:id="rId468" ref="F471"/>
    <hyperlink r:id="rId469" ref="F472"/>
    <hyperlink r:id="rId470" ref="F473"/>
    <hyperlink r:id="rId471" ref="F474"/>
    <hyperlink r:id="rId472" ref="F475"/>
    <hyperlink r:id="rId473" ref="F476"/>
    <hyperlink r:id="rId474" ref="F477"/>
    <hyperlink r:id="rId475" ref="F478"/>
    <hyperlink r:id="rId476" ref="F479"/>
    <hyperlink r:id="rId477" ref="F480"/>
    <hyperlink r:id="rId478" ref="F481"/>
    <hyperlink r:id="rId479" ref="F482"/>
    <hyperlink r:id="rId480" ref="F483"/>
    <hyperlink r:id="rId481" ref="F484"/>
    <hyperlink r:id="rId482" ref="F485"/>
    <hyperlink r:id="rId483" ref="F486"/>
    <hyperlink r:id="rId484" ref="F487"/>
    <hyperlink r:id="rId485" ref="F488"/>
    <hyperlink r:id="rId486" ref="F489"/>
    <hyperlink r:id="rId487" ref="F490"/>
    <hyperlink r:id="rId488" ref="F491"/>
    <hyperlink r:id="rId489" ref="F492"/>
    <hyperlink r:id="rId490" ref="F493"/>
    <hyperlink r:id="rId491" ref="F494"/>
    <hyperlink r:id="rId492" ref="F495"/>
    <hyperlink r:id="rId493" ref="F496"/>
    <hyperlink r:id="rId494" ref="F497"/>
    <hyperlink r:id="rId495" ref="F498"/>
    <hyperlink r:id="rId496" ref="F499"/>
    <hyperlink r:id="rId497" ref="F500"/>
    <hyperlink r:id="rId498" ref="F501"/>
    <hyperlink r:id="rId499" ref="F502"/>
    <hyperlink r:id="rId500" ref="F503"/>
    <hyperlink r:id="rId501" ref="F504"/>
    <hyperlink r:id="rId502" ref="F505"/>
    <hyperlink r:id="rId503" ref="F506"/>
    <hyperlink r:id="rId504" ref="F507"/>
    <hyperlink r:id="rId505" ref="F508"/>
    <hyperlink r:id="rId506" ref="F509"/>
    <hyperlink r:id="rId507" ref="F510"/>
    <hyperlink r:id="rId508" ref="F511"/>
    <hyperlink r:id="rId509" ref="F512"/>
    <hyperlink r:id="rId510" ref="F513"/>
    <hyperlink r:id="rId511" ref="F514"/>
    <hyperlink r:id="rId512" ref="F515"/>
    <hyperlink r:id="rId513" ref="F516"/>
    <hyperlink r:id="rId514" ref="F517"/>
    <hyperlink r:id="rId515" ref="F518"/>
    <hyperlink r:id="rId516" ref="F519"/>
    <hyperlink r:id="rId517" ref="F520"/>
    <hyperlink r:id="rId518" ref="F521"/>
    <hyperlink r:id="rId519" ref="F522"/>
    <hyperlink r:id="rId520" ref="F523"/>
    <hyperlink r:id="rId521" ref="F524"/>
    <hyperlink r:id="rId522" ref="F525"/>
    <hyperlink r:id="rId523" ref="F526"/>
    <hyperlink r:id="rId524" ref="F527"/>
    <hyperlink r:id="rId525" ref="F528"/>
    <hyperlink r:id="rId526" ref="F529"/>
    <hyperlink r:id="rId527" ref="F530"/>
    <hyperlink r:id="rId528" ref="F531"/>
    <hyperlink r:id="rId529" ref="F532"/>
    <hyperlink r:id="rId530" ref="F533"/>
    <hyperlink r:id="rId531" ref="F534"/>
    <hyperlink r:id="rId532" ref="F535"/>
    <hyperlink r:id="rId533" ref="F536"/>
    <hyperlink r:id="rId534" ref="F537"/>
    <hyperlink r:id="rId535" ref="F538"/>
    <hyperlink r:id="rId536" ref="F539"/>
    <hyperlink r:id="rId537" ref="F540"/>
    <hyperlink r:id="rId538" ref="F541"/>
    <hyperlink r:id="rId539" ref="F542"/>
    <hyperlink r:id="rId540" ref="F543"/>
    <hyperlink r:id="rId541" ref="F544"/>
    <hyperlink r:id="rId542" ref="F545"/>
    <hyperlink r:id="rId543" ref="F546"/>
    <hyperlink r:id="rId544" ref="F547"/>
    <hyperlink r:id="rId545" ref="F548"/>
    <hyperlink r:id="rId546" ref="F549"/>
    <hyperlink r:id="rId547" ref="F550"/>
    <hyperlink r:id="rId548" ref="F551"/>
    <hyperlink r:id="rId549" ref="F552"/>
    <hyperlink r:id="rId550" ref="F553"/>
    <hyperlink r:id="rId551" ref="F554"/>
    <hyperlink r:id="rId552" ref="F555"/>
    <hyperlink r:id="rId553" ref="F556"/>
    <hyperlink r:id="rId554" ref="F557"/>
    <hyperlink r:id="rId555" ref="F558"/>
    <hyperlink r:id="rId556" ref="F559"/>
    <hyperlink r:id="rId557" ref="F560"/>
    <hyperlink r:id="rId558" ref="F561"/>
    <hyperlink r:id="rId559" ref="F562"/>
    <hyperlink r:id="rId560" ref="F563"/>
    <hyperlink r:id="rId561" ref="F564"/>
    <hyperlink r:id="rId562" ref="F565"/>
    <hyperlink r:id="rId563" ref="F566"/>
    <hyperlink r:id="rId564" ref="F567"/>
    <hyperlink r:id="rId565" ref="F568"/>
    <hyperlink r:id="rId566" ref="F569"/>
    <hyperlink r:id="rId567" ref="F570"/>
    <hyperlink r:id="rId568" ref="F571"/>
    <hyperlink r:id="rId569" ref="F572"/>
    <hyperlink r:id="rId570" ref="F573"/>
    <hyperlink r:id="rId571" ref="F574"/>
    <hyperlink r:id="rId572" ref="F575"/>
    <hyperlink r:id="rId573" ref="F576"/>
    <hyperlink r:id="rId574" ref="F577"/>
    <hyperlink r:id="rId575" ref="F578"/>
    <hyperlink r:id="rId576" ref="F579"/>
    <hyperlink r:id="rId577" ref="F580"/>
    <hyperlink r:id="rId578" ref="F581"/>
    <hyperlink r:id="rId579" ref="F582"/>
    <hyperlink r:id="rId580" ref="F583"/>
    <hyperlink r:id="rId581" ref="F584"/>
    <hyperlink r:id="rId582" ref="F585"/>
    <hyperlink r:id="rId583" ref="F586"/>
    <hyperlink r:id="rId584" ref="F587"/>
    <hyperlink r:id="rId585" ref="F588"/>
    <hyperlink r:id="rId586" ref="F589"/>
    <hyperlink r:id="rId587" ref="F590"/>
    <hyperlink r:id="rId588" ref="F591"/>
    <hyperlink r:id="rId589" ref="F592"/>
    <hyperlink r:id="rId590" ref="F593"/>
    <hyperlink r:id="rId591" ref="F594"/>
    <hyperlink r:id="rId592" ref="F595"/>
    <hyperlink r:id="rId593" ref="F596"/>
    <hyperlink r:id="rId594" ref="F597"/>
    <hyperlink r:id="rId595" ref="F598"/>
    <hyperlink r:id="rId596" ref="F599"/>
    <hyperlink r:id="rId597" ref="F600"/>
    <hyperlink r:id="rId598" ref="F601"/>
    <hyperlink r:id="rId599" ref="F602"/>
    <hyperlink r:id="rId600" ref="F603"/>
    <hyperlink r:id="rId601" ref="F604"/>
    <hyperlink r:id="rId602" ref="F605"/>
    <hyperlink r:id="rId603" ref="F606"/>
    <hyperlink r:id="rId604" ref="F607"/>
    <hyperlink r:id="rId605" ref="F608"/>
    <hyperlink r:id="rId606" ref="F609"/>
    <hyperlink r:id="rId607" ref="F610"/>
    <hyperlink r:id="rId608" ref="F611"/>
    <hyperlink r:id="rId609" ref="F612"/>
    <hyperlink r:id="rId610" ref="F613"/>
    <hyperlink r:id="rId611" ref="F614"/>
    <hyperlink r:id="rId612" ref="F615"/>
    <hyperlink r:id="rId613" ref="F616"/>
    <hyperlink r:id="rId614" ref="F617"/>
    <hyperlink r:id="rId615" ref="F618"/>
    <hyperlink r:id="rId616" ref="F619"/>
    <hyperlink r:id="rId617" ref="F620"/>
    <hyperlink r:id="rId618" ref="F621"/>
    <hyperlink r:id="rId619" ref="F622"/>
    <hyperlink r:id="rId620" ref="F623"/>
    <hyperlink r:id="rId621" ref="F624"/>
    <hyperlink r:id="rId622" ref="F625"/>
    <hyperlink r:id="rId623" ref="F626"/>
    <hyperlink r:id="rId624" ref="F627"/>
    <hyperlink r:id="rId625" ref="F628"/>
    <hyperlink r:id="rId626" ref="F629"/>
    <hyperlink r:id="rId627" ref="F630"/>
    <hyperlink r:id="rId628" ref="F631"/>
    <hyperlink r:id="rId629" ref="F632"/>
    <hyperlink r:id="rId630" ref="F633"/>
    <hyperlink r:id="rId631" ref="F634"/>
    <hyperlink r:id="rId632" ref="F635"/>
    <hyperlink r:id="rId633" ref="F636"/>
    <hyperlink r:id="rId634" ref="F637"/>
    <hyperlink r:id="rId635" ref="F638"/>
    <hyperlink r:id="rId636" ref="F639"/>
    <hyperlink r:id="rId637" ref="F640"/>
    <hyperlink r:id="rId638" ref="F641"/>
    <hyperlink r:id="rId639" ref="F642"/>
    <hyperlink r:id="rId640" ref="F643"/>
    <hyperlink r:id="rId641" ref="F644"/>
    <hyperlink r:id="rId642" ref="F645"/>
    <hyperlink r:id="rId643" ref="F646"/>
    <hyperlink r:id="rId644" ref="F647"/>
    <hyperlink r:id="rId645" ref="F648"/>
    <hyperlink r:id="rId646" ref="F649"/>
    <hyperlink r:id="rId647" ref="F650"/>
    <hyperlink r:id="rId648" ref="F651"/>
    <hyperlink r:id="rId649" ref="F652"/>
    <hyperlink r:id="rId650" ref="F653"/>
    <hyperlink r:id="rId651" ref="F654"/>
    <hyperlink r:id="rId652" ref="F655"/>
    <hyperlink r:id="rId653" ref="F656"/>
    <hyperlink r:id="rId654" ref="F657"/>
    <hyperlink r:id="rId655" ref="F658"/>
    <hyperlink r:id="rId656" ref="F659"/>
    <hyperlink r:id="rId657" ref="F660"/>
    <hyperlink r:id="rId658" ref="F661"/>
    <hyperlink r:id="rId659" ref="F662"/>
    <hyperlink r:id="rId660" ref="F663"/>
    <hyperlink r:id="rId661" ref="F664"/>
    <hyperlink r:id="rId662" ref="F665"/>
    <hyperlink r:id="rId663" ref="F666"/>
    <hyperlink r:id="rId664" ref="F667"/>
    <hyperlink r:id="rId665" ref="F668"/>
    <hyperlink r:id="rId666" ref="F669"/>
    <hyperlink r:id="rId667" ref="F670"/>
    <hyperlink r:id="rId668" ref="F671"/>
    <hyperlink r:id="rId669" ref="F672"/>
    <hyperlink r:id="rId670" ref="F673"/>
    <hyperlink r:id="rId671" ref="F674"/>
    <hyperlink r:id="rId672" ref="F675"/>
    <hyperlink r:id="rId673" ref="F676"/>
    <hyperlink r:id="rId674" ref="F677"/>
    <hyperlink r:id="rId675" ref="F678"/>
    <hyperlink r:id="rId676" ref="F679"/>
    <hyperlink r:id="rId677" ref="F680"/>
    <hyperlink r:id="rId678" ref="F681"/>
    <hyperlink r:id="rId679" ref="F682"/>
    <hyperlink r:id="rId680" ref="F683"/>
    <hyperlink r:id="rId681" ref="F684"/>
    <hyperlink r:id="rId682" ref="F685"/>
    <hyperlink r:id="rId683" ref="F686"/>
    <hyperlink r:id="rId684" ref="F687"/>
    <hyperlink r:id="rId685" ref="F688"/>
    <hyperlink r:id="rId686" ref="F689"/>
    <hyperlink r:id="rId687" ref="F690"/>
    <hyperlink r:id="rId688" ref="F691"/>
    <hyperlink r:id="rId689" ref="F692"/>
    <hyperlink r:id="rId690" ref="F693"/>
    <hyperlink r:id="rId691" ref="F694"/>
    <hyperlink r:id="rId692" ref="F695"/>
    <hyperlink r:id="rId693" ref="F696"/>
    <hyperlink r:id="rId694" ref="F697"/>
    <hyperlink r:id="rId695" ref="F698"/>
    <hyperlink r:id="rId696" ref="F699"/>
    <hyperlink r:id="rId697" ref="F700"/>
    <hyperlink r:id="rId698" ref="F701"/>
    <hyperlink r:id="rId699" ref="F702"/>
    <hyperlink r:id="rId700" ref="F703"/>
    <hyperlink r:id="rId701" ref="F704"/>
    <hyperlink r:id="rId702" ref="F705"/>
    <hyperlink r:id="rId703" ref="F706"/>
    <hyperlink r:id="rId704" ref="F707"/>
    <hyperlink r:id="rId705" ref="F708"/>
    <hyperlink r:id="rId706" ref="F709"/>
    <hyperlink r:id="rId707" ref="F710"/>
    <hyperlink r:id="rId708" ref="F711"/>
    <hyperlink r:id="rId709" ref="F712"/>
    <hyperlink r:id="rId710" ref="F713"/>
    <hyperlink r:id="rId711" ref="F714"/>
    <hyperlink r:id="rId712" ref="F715"/>
    <hyperlink r:id="rId713" ref="F716"/>
    <hyperlink r:id="rId714" ref="F717"/>
    <hyperlink r:id="rId715" ref="F718"/>
    <hyperlink r:id="rId716" ref="F719"/>
    <hyperlink r:id="rId717" ref="F720"/>
    <hyperlink r:id="rId718" ref="F721"/>
    <hyperlink r:id="rId719" ref="F722"/>
    <hyperlink r:id="rId720" ref="F723"/>
    <hyperlink r:id="rId721" ref="F724"/>
    <hyperlink r:id="rId722" ref="F725"/>
    <hyperlink r:id="rId723" ref="F726"/>
    <hyperlink r:id="rId724" ref="F727"/>
    <hyperlink r:id="rId725" ref="F728"/>
    <hyperlink r:id="rId726" ref="F729"/>
    <hyperlink r:id="rId727" ref="F730"/>
    <hyperlink r:id="rId728" ref="F731"/>
    <hyperlink r:id="rId729" ref="F732"/>
    <hyperlink r:id="rId730" ref="F733"/>
    <hyperlink r:id="rId731" ref="F734"/>
    <hyperlink r:id="rId732" ref="F735"/>
    <hyperlink r:id="rId733" ref="F736"/>
    <hyperlink r:id="rId734" ref="F737"/>
    <hyperlink r:id="rId735" ref="F738"/>
    <hyperlink r:id="rId736" ref="F739"/>
    <hyperlink r:id="rId737" ref="F740"/>
    <hyperlink r:id="rId738" ref="F741"/>
    <hyperlink r:id="rId739" ref="F742"/>
    <hyperlink r:id="rId740" ref="F743"/>
    <hyperlink r:id="rId741" ref="F744"/>
    <hyperlink r:id="rId742" ref="F745"/>
    <hyperlink r:id="rId743" ref="F746"/>
    <hyperlink r:id="rId744" ref="F747"/>
    <hyperlink r:id="rId745" ref="F748"/>
    <hyperlink r:id="rId746" ref="F749"/>
    <hyperlink r:id="rId747" ref="F750"/>
    <hyperlink r:id="rId748" ref="F751"/>
    <hyperlink r:id="rId749" ref="F752"/>
    <hyperlink r:id="rId750" ref="F753"/>
    <hyperlink r:id="rId751" ref="F754"/>
    <hyperlink r:id="rId752" ref="F755"/>
    <hyperlink r:id="rId753" ref="F756"/>
    <hyperlink r:id="rId754" ref="F757"/>
    <hyperlink r:id="rId755" ref="F758"/>
    <hyperlink r:id="rId756" ref="F759"/>
    <hyperlink r:id="rId757" ref="F760"/>
    <hyperlink r:id="rId758" ref="F761"/>
    <hyperlink r:id="rId759" ref="F762"/>
    <hyperlink r:id="rId760" ref="F763"/>
    <hyperlink r:id="rId761" ref="F764"/>
    <hyperlink r:id="rId762" ref="F765"/>
    <hyperlink r:id="rId763" ref="F766"/>
    <hyperlink r:id="rId764" ref="F767"/>
    <hyperlink r:id="rId765" ref="F768"/>
    <hyperlink r:id="rId766" ref="F769"/>
    <hyperlink r:id="rId767" ref="F770"/>
    <hyperlink r:id="rId768" ref="F771"/>
    <hyperlink r:id="rId769" ref="F772"/>
    <hyperlink r:id="rId770" ref="F773"/>
    <hyperlink r:id="rId771" ref="F774"/>
    <hyperlink r:id="rId772" ref="F775"/>
    <hyperlink r:id="rId773" ref="F776"/>
    <hyperlink r:id="rId774" ref="F777"/>
    <hyperlink r:id="rId775" ref="F778"/>
    <hyperlink r:id="rId776" ref="F779"/>
    <hyperlink r:id="rId777" ref="F780"/>
    <hyperlink r:id="rId778" ref="F781"/>
    <hyperlink r:id="rId779" ref="F782"/>
    <hyperlink r:id="rId780" ref="F783"/>
    <hyperlink r:id="rId781" ref="F784"/>
    <hyperlink r:id="rId782" ref="F785"/>
    <hyperlink r:id="rId783" ref="F786"/>
    <hyperlink r:id="rId784" ref="F787"/>
    <hyperlink r:id="rId785" ref="F788"/>
    <hyperlink r:id="rId786" ref="F789"/>
    <hyperlink r:id="rId787" ref="F790"/>
    <hyperlink r:id="rId788" ref="F791"/>
    <hyperlink r:id="rId789" ref="F792"/>
    <hyperlink r:id="rId790" ref="F793"/>
    <hyperlink r:id="rId791" ref="F794"/>
    <hyperlink r:id="rId792" ref="F795"/>
    <hyperlink r:id="rId793" ref="F796"/>
    <hyperlink r:id="rId794" ref="F797"/>
    <hyperlink r:id="rId795" ref="F798"/>
    <hyperlink r:id="rId796" ref="F799"/>
    <hyperlink r:id="rId797" ref="F800"/>
    <hyperlink r:id="rId798" ref="F801"/>
    <hyperlink r:id="rId799" ref="F802"/>
    <hyperlink r:id="rId800" ref="F803"/>
    <hyperlink r:id="rId801" ref="F804"/>
    <hyperlink r:id="rId802" ref="F805"/>
    <hyperlink r:id="rId803" ref="F806"/>
    <hyperlink r:id="rId804" ref="F807"/>
    <hyperlink r:id="rId805" ref="F808"/>
    <hyperlink r:id="rId806" ref="F809"/>
    <hyperlink r:id="rId807" ref="F810"/>
    <hyperlink r:id="rId808" ref="F811"/>
    <hyperlink r:id="rId809" ref="F812"/>
    <hyperlink r:id="rId810" ref="F813"/>
    <hyperlink r:id="rId811" ref="F814"/>
    <hyperlink r:id="rId812" ref="F815"/>
    <hyperlink r:id="rId813" ref="F816"/>
    <hyperlink r:id="rId814" ref="F817"/>
    <hyperlink r:id="rId815" ref="F818"/>
    <hyperlink r:id="rId816" ref="F819"/>
    <hyperlink r:id="rId817" ref="F820"/>
    <hyperlink r:id="rId818" ref="F821"/>
    <hyperlink r:id="rId819" ref="F822"/>
    <hyperlink r:id="rId820" ref="F823"/>
    <hyperlink r:id="rId821" ref="F824"/>
    <hyperlink r:id="rId822" ref="F825"/>
    <hyperlink r:id="rId823" ref="F826"/>
    <hyperlink r:id="rId824" ref="F827"/>
    <hyperlink r:id="rId825" ref="F828"/>
    <hyperlink r:id="rId826" ref="F829"/>
    <hyperlink r:id="rId827" ref="F830"/>
    <hyperlink r:id="rId828" ref="F831"/>
    <hyperlink r:id="rId829" ref="F832"/>
    <hyperlink r:id="rId830" ref="F833"/>
    <hyperlink r:id="rId831" ref="F834"/>
    <hyperlink r:id="rId832" ref="F835"/>
    <hyperlink r:id="rId833" ref="F836"/>
    <hyperlink r:id="rId834" ref="F837"/>
    <hyperlink r:id="rId835" ref="F838"/>
    <hyperlink r:id="rId836" ref="F839"/>
    <hyperlink r:id="rId837" ref="F840"/>
    <hyperlink r:id="rId838" ref="F841"/>
    <hyperlink r:id="rId839" ref="F842"/>
    <hyperlink r:id="rId840" ref="F843"/>
    <hyperlink r:id="rId841" ref="F844"/>
    <hyperlink r:id="rId842" ref="F845"/>
    <hyperlink r:id="rId843" ref="F846"/>
    <hyperlink r:id="rId844" ref="F847"/>
    <hyperlink r:id="rId845" ref="F848"/>
    <hyperlink r:id="rId846" ref="F849"/>
    <hyperlink r:id="rId847" ref="F850"/>
    <hyperlink r:id="rId848" ref="F851"/>
    <hyperlink r:id="rId849" ref="F852"/>
    <hyperlink r:id="rId850" ref="F853"/>
    <hyperlink r:id="rId851" ref="F854"/>
    <hyperlink r:id="rId852" ref="F855"/>
    <hyperlink r:id="rId853" ref="F856"/>
    <hyperlink r:id="rId854" ref="F857"/>
    <hyperlink r:id="rId855" ref="F858"/>
    <hyperlink r:id="rId856" ref="F859"/>
    <hyperlink r:id="rId857" ref="F860"/>
    <hyperlink r:id="rId858" ref="F861"/>
    <hyperlink r:id="rId859" ref="F862"/>
    <hyperlink r:id="rId860" ref="F863"/>
    <hyperlink r:id="rId861" ref="F864"/>
    <hyperlink r:id="rId862" ref="F865"/>
    <hyperlink r:id="rId863" ref="F866"/>
    <hyperlink r:id="rId864" ref="F867"/>
    <hyperlink r:id="rId865" ref="F868"/>
    <hyperlink r:id="rId866" ref="F869"/>
    <hyperlink r:id="rId867" ref="F870"/>
    <hyperlink r:id="rId868" ref="F871"/>
    <hyperlink r:id="rId869" ref="F872"/>
    <hyperlink r:id="rId870" ref="F873"/>
    <hyperlink r:id="rId871" ref="F874"/>
    <hyperlink r:id="rId872" ref="F875"/>
    <hyperlink r:id="rId873" ref="F876"/>
    <hyperlink r:id="rId874" ref="F877"/>
    <hyperlink r:id="rId875" ref="F878"/>
    <hyperlink r:id="rId876" ref="F879"/>
    <hyperlink r:id="rId877" ref="F880"/>
    <hyperlink r:id="rId878" ref="F881"/>
    <hyperlink r:id="rId879" ref="F882"/>
    <hyperlink r:id="rId880" ref="F883"/>
    <hyperlink r:id="rId881" ref="F884"/>
    <hyperlink r:id="rId882" ref="F885"/>
    <hyperlink r:id="rId883" ref="F886"/>
    <hyperlink r:id="rId884" ref="F887"/>
    <hyperlink r:id="rId885" ref="F888"/>
    <hyperlink r:id="rId886" ref="F889"/>
    <hyperlink r:id="rId887" ref="F890"/>
    <hyperlink r:id="rId888" ref="F891"/>
    <hyperlink r:id="rId889" ref="F892"/>
    <hyperlink r:id="rId890" ref="F893"/>
    <hyperlink r:id="rId891" ref="F894"/>
    <hyperlink r:id="rId892" ref="F895"/>
    <hyperlink r:id="rId893" ref="F896"/>
    <hyperlink r:id="rId894" ref="F897"/>
    <hyperlink r:id="rId895" ref="F898"/>
    <hyperlink r:id="rId896" ref="F899"/>
    <hyperlink r:id="rId897" ref="F900"/>
    <hyperlink r:id="rId898" ref="F901"/>
    <hyperlink r:id="rId899" ref="F902"/>
    <hyperlink r:id="rId900" ref="F903"/>
    <hyperlink r:id="rId901" ref="F904"/>
    <hyperlink r:id="rId902" ref="F905"/>
    <hyperlink r:id="rId903" ref="F906"/>
    <hyperlink r:id="rId904" ref="F907"/>
    <hyperlink r:id="rId905" ref="F908"/>
    <hyperlink r:id="rId906" ref="F909"/>
    <hyperlink r:id="rId907" ref="F910"/>
    <hyperlink r:id="rId908" ref="F911"/>
    <hyperlink r:id="rId909" ref="F912"/>
    <hyperlink r:id="rId910" ref="F913"/>
    <hyperlink r:id="rId911" ref="F914"/>
    <hyperlink r:id="rId912" ref="F915"/>
    <hyperlink r:id="rId913" ref="F916"/>
    <hyperlink r:id="rId914" ref="F917"/>
    <hyperlink r:id="rId915" ref="F918"/>
    <hyperlink r:id="rId916" ref="F919"/>
    <hyperlink r:id="rId917" ref="F920"/>
    <hyperlink r:id="rId918" ref="F921"/>
    <hyperlink r:id="rId919" ref="F922"/>
    <hyperlink r:id="rId920" ref="F923"/>
    <hyperlink r:id="rId921" ref="F924"/>
    <hyperlink r:id="rId922" ref="F925"/>
    <hyperlink r:id="rId923" ref="F926"/>
    <hyperlink r:id="rId924" ref="F927"/>
    <hyperlink r:id="rId925" ref="F928"/>
    <hyperlink r:id="rId926" ref="F929"/>
    <hyperlink r:id="rId927" ref="F930"/>
    <hyperlink r:id="rId928" ref="F931"/>
    <hyperlink r:id="rId929" ref="F932"/>
    <hyperlink r:id="rId930" ref="F933"/>
    <hyperlink r:id="rId931" ref="F934"/>
    <hyperlink r:id="rId932" ref="F935"/>
    <hyperlink r:id="rId933" ref="F936"/>
    <hyperlink r:id="rId934" ref="F937"/>
    <hyperlink r:id="rId935" ref="F938"/>
    <hyperlink r:id="rId936" ref="F939"/>
    <hyperlink r:id="rId937" ref="F940"/>
    <hyperlink r:id="rId938" ref="F941"/>
    <hyperlink r:id="rId939" ref="F942"/>
    <hyperlink r:id="rId940" ref="F943"/>
    <hyperlink r:id="rId941" ref="F944"/>
    <hyperlink r:id="rId942" ref="F945"/>
    <hyperlink r:id="rId943" ref="F946"/>
    <hyperlink r:id="rId944" ref="F947"/>
    <hyperlink r:id="rId945" ref="F948"/>
    <hyperlink r:id="rId946" ref="F949"/>
    <hyperlink r:id="rId947" ref="F950"/>
    <hyperlink r:id="rId948" ref="F951"/>
    <hyperlink r:id="rId949" ref="F952"/>
    <hyperlink r:id="rId950" ref="F953"/>
    <hyperlink r:id="rId951" ref="F954"/>
    <hyperlink r:id="rId952" ref="F955"/>
    <hyperlink r:id="rId953" ref="F956"/>
    <hyperlink r:id="rId954" ref="F957"/>
    <hyperlink r:id="rId955" ref="F958"/>
    <hyperlink r:id="rId956" ref="F959"/>
    <hyperlink r:id="rId957" ref="F960"/>
    <hyperlink r:id="rId958" ref="F961"/>
    <hyperlink r:id="rId959" ref="F962"/>
    <hyperlink r:id="rId960" ref="F963"/>
    <hyperlink r:id="rId961" ref="F964"/>
    <hyperlink r:id="rId962" ref="F965"/>
    <hyperlink r:id="rId963" ref="F966"/>
    <hyperlink r:id="rId964" ref="F967"/>
    <hyperlink r:id="rId965" ref="F968"/>
    <hyperlink r:id="rId966" ref="F969"/>
    <hyperlink r:id="rId967" ref="F970"/>
    <hyperlink r:id="rId968" ref="F971"/>
    <hyperlink r:id="rId969" ref="F972"/>
    <hyperlink r:id="rId970" ref="F973"/>
    <hyperlink r:id="rId971" ref="F974"/>
    <hyperlink r:id="rId972" ref="F975"/>
    <hyperlink r:id="rId973" ref="F976"/>
    <hyperlink r:id="rId974" ref="F977"/>
    <hyperlink r:id="rId975" ref="F978"/>
    <hyperlink r:id="rId976" ref="F979"/>
    <hyperlink r:id="rId977" ref="F980"/>
    <hyperlink r:id="rId978" ref="F981"/>
    <hyperlink r:id="rId979" ref="F982"/>
    <hyperlink r:id="rId980" ref="F983"/>
    <hyperlink r:id="rId981" ref="F984"/>
    <hyperlink r:id="rId982" ref="F985"/>
    <hyperlink r:id="rId983" ref="F986"/>
    <hyperlink r:id="rId984" ref="F987"/>
    <hyperlink r:id="rId985" ref="F988"/>
    <hyperlink r:id="rId986" ref="F989"/>
    <hyperlink r:id="rId987" ref="F990"/>
    <hyperlink r:id="rId988" ref="F991"/>
    <hyperlink r:id="rId989" ref="F992"/>
    <hyperlink r:id="rId990" ref="F993"/>
    <hyperlink r:id="rId991" ref="F994"/>
    <hyperlink r:id="rId992" ref="F995"/>
    <hyperlink r:id="rId993" ref="F996"/>
    <hyperlink r:id="rId994" ref="F997"/>
    <hyperlink r:id="rId995" ref="F998"/>
    <hyperlink r:id="rId996" ref="F999"/>
    <hyperlink r:id="rId997" ref="F1000"/>
    <hyperlink r:id="rId998" ref="F1001"/>
    <hyperlink r:id="rId999" ref="F1002"/>
    <hyperlink r:id="rId1000" ref="F1003"/>
    <hyperlink r:id="rId1001" ref="F1004"/>
    <hyperlink r:id="rId1002" ref="F1005"/>
    <hyperlink r:id="rId1003" ref="F1006"/>
    <hyperlink r:id="rId1004" ref="F1007"/>
    <hyperlink r:id="rId1005" ref="F1008"/>
    <hyperlink r:id="rId1006" ref="F1009"/>
    <hyperlink r:id="rId1007" ref="F1010"/>
    <hyperlink r:id="rId1008" ref="F1011"/>
    <hyperlink r:id="rId1009" ref="F1012"/>
    <hyperlink r:id="rId1010" ref="F1013"/>
    <hyperlink r:id="rId1011" ref="F1014"/>
    <hyperlink r:id="rId1012" ref="F1015"/>
    <hyperlink r:id="rId1013" ref="F1016"/>
    <hyperlink r:id="rId1014" ref="F1017"/>
    <hyperlink r:id="rId1015" ref="F1018"/>
    <hyperlink r:id="rId1016" ref="F1019"/>
    <hyperlink r:id="rId1017" ref="F1020"/>
    <hyperlink r:id="rId1018" ref="F1021"/>
    <hyperlink r:id="rId1019" ref="F1022"/>
    <hyperlink r:id="rId1020" ref="F1023"/>
    <hyperlink r:id="rId1021" ref="F1024"/>
    <hyperlink r:id="rId1022" ref="F1025"/>
    <hyperlink r:id="rId1023" ref="F1026"/>
    <hyperlink r:id="rId1024" ref="F1027"/>
    <hyperlink r:id="rId1025" ref="F1028"/>
    <hyperlink r:id="rId1026" ref="F1029"/>
    <hyperlink r:id="rId1027" ref="F1030"/>
    <hyperlink r:id="rId1028" ref="F1031"/>
    <hyperlink r:id="rId1029" ref="F1032"/>
    <hyperlink r:id="rId1030" ref="F1033"/>
    <hyperlink r:id="rId1031" ref="F1034"/>
    <hyperlink r:id="rId1032" ref="F1035"/>
    <hyperlink r:id="rId1033" ref="F1036"/>
    <hyperlink r:id="rId1034" ref="F1037"/>
    <hyperlink r:id="rId1035" ref="F1038"/>
    <hyperlink r:id="rId1036" ref="F1039"/>
    <hyperlink r:id="rId1037" ref="F1040"/>
    <hyperlink r:id="rId1038" ref="F1041"/>
    <hyperlink r:id="rId1039" ref="F1042"/>
    <hyperlink r:id="rId1040" ref="F1043"/>
    <hyperlink r:id="rId1041" ref="F1044"/>
    <hyperlink r:id="rId1042" ref="F1045"/>
    <hyperlink r:id="rId1043" ref="F1046"/>
    <hyperlink r:id="rId1044" ref="F1047"/>
    <hyperlink r:id="rId1045" ref="F1048"/>
    <hyperlink r:id="rId1046" ref="F1049"/>
    <hyperlink r:id="rId1047" ref="F1050"/>
    <hyperlink r:id="rId1048" ref="F1051"/>
    <hyperlink r:id="rId1049" ref="F1052"/>
    <hyperlink r:id="rId1050" ref="F1053"/>
    <hyperlink r:id="rId1051" ref="F1054"/>
    <hyperlink r:id="rId1052" ref="F1055"/>
    <hyperlink r:id="rId1053" ref="F1056"/>
    <hyperlink r:id="rId1054" ref="F1057"/>
    <hyperlink r:id="rId1055" ref="F1058"/>
    <hyperlink r:id="rId1056" ref="F1059"/>
    <hyperlink r:id="rId1057" ref="F1060"/>
    <hyperlink r:id="rId1058" ref="F1061"/>
    <hyperlink r:id="rId1059" ref="F1062"/>
    <hyperlink r:id="rId1060" ref="F1063"/>
    <hyperlink r:id="rId1061" ref="F1064"/>
    <hyperlink r:id="rId1062" ref="F1065"/>
    <hyperlink r:id="rId1063" ref="F1066"/>
    <hyperlink r:id="rId1064" ref="F1067"/>
    <hyperlink r:id="rId1065" ref="F1068"/>
    <hyperlink r:id="rId1066" ref="F1069"/>
    <hyperlink r:id="rId1067" ref="F1070"/>
    <hyperlink r:id="rId1068" ref="F1071"/>
    <hyperlink r:id="rId1069" ref="F1072"/>
    <hyperlink r:id="rId1070" ref="F1073"/>
    <hyperlink r:id="rId1071" ref="F1074"/>
    <hyperlink r:id="rId1072" ref="F1075"/>
    <hyperlink r:id="rId1073" ref="F1076"/>
    <hyperlink r:id="rId1074" ref="F1077"/>
    <hyperlink r:id="rId1075" ref="F1078"/>
    <hyperlink r:id="rId1076" ref="F1079"/>
    <hyperlink r:id="rId1077" ref="F1080"/>
    <hyperlink r:id="rId1078" ref="F1081"/>
    <hyperlink r:id="rId1079" ref="F1082"/>
    <hyperlink r:id="rId1080" ref="F1083"/>
    <hyperlink r:id="rId1081" ref="F1084"/>
    <hyperlink r:id="rId1082" ref="F1085"/>
    <hyperlink r:id="rId1083" ref="F1086"/>
    <hyperlink r:id="rId1084" ref="F1087"/>
    <hyperlink r:id="rId1085" ref="F1088"/>
    <hyperlink r:id="rId1086" ref="F1089"/>
    <hyperlink r:id="rId1087" ref="F1090"/>
    <hyperlink r:id="rId1088" ref="F1091"/>
    <hyperlink r:id="rId1089" ref="F1092"/>
    <hyperlink r:id="rId1090" ref="F1093"/>
    <hyperlink r:id="rId1091" ref="F1094"/>
    <hyperlink r:id="rId1092" ref="F1095"/>
    <hyperlink r:id="rId1093" ref="F1096"/>
    <hyperlink r:id="rId1094" ref="F1097"/>
    <hyperlink r:id="rId1095" ref="F1098"/>
    <hyperlink r:id="rId1096" ref="F1099"/>
    <hyperlink r:id="rId1097" ref="F1100"/>
    <hyperlink r:id="rId1098" ref="F1101"/>
    <hyperlink r:id="rId1099" ref="F1102"/>
    <hyperlink r:id="rId1100" ref="F1103"/>
    <hyperlink r:id="rId1101" ref="F1104"/>
    <hyperlink r:id="rId1102" ref="F1105"/>
    <hyperlink r:id="rId1103" ref="F1106"/>
    <hyperlink r:id="rId1104" ref="F1107"/>
    <hyperlink r:id="rId1105" ref="F1108"/>
    <hyperlink r:id="rId1106" ref="F1109"/>
    <hyperlink r:id="rId1107" ref="F1110"/>
    <hyperlink r:id="rId1108" ref="F1111"/>
    <hyperlink r:id="rId1109" ref="F1112"/>
    <hyperlink r:id="rId1110" ref="F1113"/>
    <hyperlink r:id="rId1111" ref="F1114"/>
    <hyperlink r:id="rId1112" ref="F1115"/>
    <hyperlink r:id="rId1113" ref="F1116"/>
    <hyperlink r:id="rId1114" ref="F1117"/>
    <hyperlink r:id="rId1115" ref="F1118"/>
    <hyperlink r:id="rId1116" ref="F1119"/>
    <hyperlink r:id="rId1117" ref="F1120"/>
    <hyperlink r:id="rId1118" ref="F1121"/>
    <hyperlink r:id="rId1119" ref="F1122"/>
    <hyperlink r:id="rId1120" ref="F1123"/>
    <hyperlink r:id="rId1121" ref="F1124"/>
    <hyperlink r:id="rId1122" ref="F1125"/>
    <hyperlink r:id="rId1123" ref="F1126"/>
    <hyperlink r:id="rId1124" ref="F1127"/>
    <hyperlink r:id="rId1125" ref="F1128"/>
    <hyperlink r:id="rId1126" ref="F1129"/>
    <hyperlink r:id="rId1127" ref="F1130"/>
    <hyperlink r:id="rId1128" ref="F1131"/>
    <hyperlink r:id="rId1129" ref="F1132"/>
    <hyperlink r:id="rId1130" ref="F1133"/>
    <hyperlink r:id="rId1131" ref="F1134"/>
    <hyperlink r:id="rId1132" ref="F1135"/>
    <hyperlink r:id="rId1133" ref="F1136"/>
    <hyperlink r:id="rId1134" ref="F1137"/>
    <hyperlink r:id="rId1135" ref="F1138"/>
    <hyperlink r:id="rId1136" ref="F1139"/>
    <hyperlink r:id="rId1137" ref="F1140"/>
    <hyperlink r:id="rId1138" ref="F1141"/>
    <hyperlink r:id="rId1139" ref="F1142"/>
    <hyperlink r:id="rId1140" ref="F1143"/>
    <hyperlink r:id="rId1141" ref="F1144"/>
    <hyperlink r:id="rId1142" ref="F1145"/>
    <hyperlink r:id="rId1143" ref="F1146"/>
    <hyperlink r:id="rId1144" ref="F1147"/>
    <hyperlink r:id="rId1145" ref="F1148"/>
    <hyperlink r:id="rId1146" ref="F1149"/>
    <hyperlink r:id="rId1147" ref="F1150"/>
    <hyperlink r:id="rId1148" ref="F1151"/>
    <hyperlink r:id="rId1149" ref="F1152"/>
    <hyperlink r:id="rId1150" ref="F1153"/>
    <hyperlink r:id="rId1151" ref="F1154"/>
    <hyperlink r:id="rId1152" ref="F1155"/>
    <hyperlink r:id="rId1153" ref="F1156"/>
    <hyperlink r:id="rId1154" ref="F1157"/>
    <hyperlink r:id="rId1155" ref="F1158"/>
    <hyperlink r:id="rId1156" ref="F1159"/>
    <hyperlink r:id="rId1157" ref="F1160"/>
    <hyperlink r:id="rId1158" ref="F1161"/>
    <hyperlink r:id="rId1159" ref="F1162"/>
    <hyperlink r:id="rId1160" ref="F1163"/>
    <hyperlink r:id="rId1161" ref="F1164"/>
    <hyperlink r:id="rId1162" ref="F1165"/>
    <hyperlink r:id="rId1163" ref="F1166"/>
    <hyperlink r:id="rId1164" ref="F1167"/>
    <hyperlink r:id="rId1165" ref="F1168"/>
    <hyperlink r:id="rId1166" ref="F1169"/>
    <hyperlink r:id="rId1167" ref="F1170"/>
    <hyperlink r:id="rId1168" ref="F1171"/>
    <hyperlink r:id="rId1169" ref="F1172"/>
    <hyperlink r:id="rId1170" ref="F1173"/>
    <hyperlink r:id="rId1171" ref="F1174"/>
    <hyperlink r:id="rId1172" ref="F1175"/>
    <hyperlink r:id="rId1173" ref="F1176"/>
    <hyperlink r:id="rId1174" ref="F1177"/>
    <hyperlink r:id="rId1175" ref="F1178"/>
    <hyperlink r:id="rId1176" ref="F1179"/>
    <hyperlink r:id="rId1177" ref="F1180"/>
    <hyperlink r:id="rId1178" ref="F1181"/>
    <hyperlink r:id="rId1179" ref="F1182"/>
    <hyperlink r:id="rId1180" ref="F1183"/>
    <hyperlink r:id="rId1181" ref="F1184"/>
    <hyperlink r:id="rId1182" ref="F1185"/>
    <hyperlink r:id="rId1183" ref="F1186"/>
    <hyperlink r:id="rId1184" ref="F1187"/>
    <hyperlink r:id="rId1185" ref="F1188"/>
    <hyperlink r:id="rId1186" ref="F1189"/>
    <hyperlink r:id="rId1187" ref="F1190"/>
    <hyperlink r:id="rId1188" ref="F1191"/>
    <hyperlink r:id="rId1189" ref="F1192"/>
    <hyperlink r:id="rId1190" ref="F1193"/>
    <hyperlink r:id="rId1191" ref="F1194"/>
    <hyperlink r:id="rId1192" ref="F1195"/>
    <hyperlink r:id="rId1193" ref="F1196"/>
    <hyperlink r:id="rId1194" ref="F1197"/>
    <hyperlink r:id="rId1195" ref="F1198"/>
    <hyperlink r:id="rId1196" ref="F1199"/>
    <hyperlink r:id="rId1197" ref="F1200"/>
    <hyperlink r:id="rId1198" ref="F1201"/>
    <hyperlink r:id="rId1199" ref="F1202"/>
    <hyperlink r:id="rId1200" ref="F1203"/>
    <hyperlink r:id="rId1201" ref="F1204"/>
    <hyperlink r:id="rId1202" ref="F1205"/>
    <hyperlink r:id="rId1203" ref="F1206"/>
    <hyperlink r:id="rId1204" ref="F1207"/>
    <hyperlink r:id="rId1205" ref="F1208"/>
    <hyperlink r:id="rId1206" ref="F1209"/>
    <hyperlink r:id="rId1207" ref="F1210"/>
    <hyperlink r:id="rId1208" ref="F1211"/>
    <hyperlink r:id="rId1209" ref="F1212"/>
    <hyperlink r:id="rId1210" ref="F1213"/>
    <hyperlink r:id="rId1211" ref="F1214"/>
    <hyperlink r:id="rId1212" ref="F1215"/>
    <hyperlink r:id="rId1213" ref="F1216"/>
    <hyperlink r:id="rId1214" ref="F1217"/>
    <hyperlink r:id="rId1215" ref="F1218"/>
    <hyperlink r:id="rId1216" ref="F1219"/>
    <hyperlink r:id="rId1217" ref="F1220"/>
    <hyperlink r:id="rId1218" ref="F1221"/>
    <hyperlink r:id="rId1219" ref="F1222"/>
    <hyperlink r:id="rId1220" ref="F1223"/>
    <hyperlink r:id="rId1221" ref="F1224"/>
    <hyperlink r:id="rId1222" ref="F1225"/>
    <hyperlink r:id="rId1223" ref="F1226"/>
    <hyperlink r:id="rId1224" ref="F1227"/>
    <hyperlink r:id="rId1225" ref="F1228"/>
    <hyperlink r:id="rId1226" ref="F1229"/>
    <hyperlink r:id="rId1227" ref="F1230"/>
    <hyperlink r:id="rId1228" ref="F1231"/>
    <hyperlink r:id="rId1229" ref="F1232"/>
    <hyperlink r:id="rId1230" ref="F1233"/>
    <hyperlink r:id="rId1231" ref="F1234"/>
    <hyperlink r:id="rId1232" ref="F1235"/>
    <hyperlink r:id="rId1233" ref="F1236"/>
    <hyperlink r:id="rId1234" ref="F1237"/>
    <hyperlink r:id="rId1235" ref="F1238"/>
    <hyperlink r:id="rId1236" ref="F1239"/>
    <hyperlink r:id="rId1237" ref="F1240"/>
    <hyperlink r:id="rId1238" ref="F1241"/>
    <hyperlink r:id="rId1239" ref="F1242"/>
    <hyperlink r:id="rId1240" ref="F1243"/>
    <hyperlink r:id="rId1241" ref="F1244"/>
    <hyperlink r:id="rId1242" ref="F1245"/>
    <hyperlink r:id="rId1243" ref="F1246"/>
    <hyperlink r:id="rId1244" ref="F1247"/>
    <hyperlink r:id="rId1245" ref="F1248"/>
    <hyperlink r:id="rId1246" ref="F1249"/>
    <hyperlink r:id="rId1247" ref="F1250"/>
    <hyperlink r:id="rId1248" ref="F1251"/>
    <hyperlink r:id="rId1249" ref="F1252"/>
    <hyperlink r:id="rId1250" ref="F1253"/>
    <hyperlink r:id="rId1251" ref="F1254"/>
    <hyperlink r:id="rId1252" ref="F1255"/>
    <hyperlink r:id="rId1253" ref="F1256"/>
    <hyperlink r:id="rId1254" ref="F1257"/>
    <hyperlink r:id="rId1255" ref="F1258"/>
    <hyperlink r:id="rId1256" ref="F1259"/>
    <hyperlink r:id="rId1257" ref="F1260"/>
    <hyperlink r:id="rId1258" ref="F1261"/>
    <hyperlink r:id="rId1259" ref="F1262"/>
    <hyperlink r:id="rId1260" ref="F1263"/>
    <hyperlink r:id="rId1261" ref="F1264"/>
    <hyperlink r:id="rId1262" ref="F1265"/>
    <hyperlink r:id="rId1263" ref="F1266"/>
    <hyperlink r:id="rId1264" ref="F1267"/>
    <hyperlink r:id="rId1265" ref="F1268"/>
    <hyperlink r:id="rId1266" ref="F1269"/>
    <hyperlink r:id="rId1267" ref="F1270"/>
    <hyperlink r:id="rId1268" ref="F1271"/>
    <hyperlink r:id="rId1269" ref="F1272"/>
    <hyperlink r:id="rId1270" ref="F1273"/>
    <hyperlink r:id="rId1271" ref="F1274"/>
    <hyperlink r:id="rId1272" ref="F1275"/>
    <hyperlink r:id="rId1273" ref="F1276"/>
    <hyperlink r:id="rId1274" ref="F1277"/>
    <hyperlink r:id="rId1275" ref="F1278"/>
    <hyperlink r:id="rId1276" ref="F1279"/>
    <hyperlink r:id="rId1277" ref="F1280"/>
    <hyperlink r:id="rId1278" ref="F1281"/>
    <hyperlink r:id="rId1279" ref="F1282"/>
    <hyperlink r:id="rId1280" ref="F1283"/>
    <hyperlink r:id="rId1281" ref="F1284"/>
    <hyperlink r:id="rId1282" ref="F1285"/>
    <hyperlink r:id="rId1283" ref="F1286"/>
    <hyperlink r:id="rId1284" ref="F1287"/>
    <hyperlink r:id="rId1285" ref="F1288"/>
    <hyperlink r:id="rId1286" ref="F1289"/>
    <hyperlink r:id="rId1287" ref="F1290"/>
    <hyperlink r:id="rId1288" ref="F1291"/>
    <hyperlink r:id="rId1289" ref="F1292"/>
    <hyperlink r:id="rId1290" ref="F1293"/>
    <hyperlink r:id="rId1291" ref="F1294"/>
    <hyperlink r:id="rId1292" ref="F1295"/>
    <hyperlink r:id="rId1293" ref="F1296"/>
    <hyperlink r:id="rId1294" ref="F1297"/>
    <hyperlink r:id="rId1295" ref="F1298"/>
    <hyperlink r:id="rId1296" ref="F1299"/>
    <hyperlink r:id="rId1297" ref="F1300"/>
    <hyperlink r:id="rId1298" ref="F1301"/>
    <hyperlink r:id="rId1299" ref="F1302"/>
    <hyperlink r:id="rId1300" ref="F1303"/>
    <hyperlink r:id="rId1301" ref="F1304"/>
    <hyperlink r:id="rId1302" ref="F1305"/>
    <hyperlink r:id="rId1303" ref="F1306"/>
    <hyperlink r:id="rId1304" ref="F1307"/>
    <hyperlink r:id="rId1305" ref="F1308"/>
    <hyperlink r:id="rId1306" ref="F1309"/>
    <hyperlink r:id="rId1307" ref="F1310"/>
    <hyperlink r:id="rId1308" ref="F1311"/>
    <hyperlink r:id="rId1309" ref="F1312"/>
    <hyperlink r:id="rId1310" ref="F1313"/>
    <hyperlink r:id="rId1311" ref="F1314"/>
    <hyperlink r:id="rId1312" ref="F1315"/>
    <hyperlink r:id="rId1313" ref="F1316"/>
    <hyperlink r:id="rId1314" ref="F1317"/>
    <hyperlink r:id="rId1315" ref="F1318"/>
    <hyperlink r:id="rId1316" ref="F1319"/>
    <hyperlink r:id="rId1317" ref="F1320"/>
    <hyperlink r:id="rId1318" ref="F1321"/>
    <hyperlink r:id="rId1319" ref="F1322"/>
    <hyperlink r:id="rId1320" ref="F1323"/>
    <hyperlink r:id="rId1321" ref="F1324"/>
    <hyperlink r:id="rId1322" ref="F1325"/>
    <hyperlink r:id="rId1323" ref="F1326"/>
    <hyperlink r:id="rId1324" ref="F1327"/>
    <hyperlink r:id="rId1325" ref="F1328"/>
    <hyperlink r:id="rId1326" ref="F1329"/>
    <hyperlink r:id="rId1327" ref="F1330"/>
    <hyperlink r:id="rId1328" ref="F1331"/>
    <hyperlink r:id="rId1329" ref="F1332"/>
    <hyperlink r:id="rId1330" ref="F1333"/>
    <hyperlink r:id="rId1331" ref="F1334"/>
    <hyperlink r:id="rId1332" ref="F1335"/>
    <hyperlink r:id="rId1333" ref="F1336"/>
    <hyperlink r:id="rId1334" ref="F1337"/>
    <hyperlink r:id="rId1335" ref="F1338"/>
    <hyperlink r:id="rId1336" ref="F1339"/>
    <hyperlink r:id="rId1337" ref="F1340"/>
    <hyperlink r:id="rId1338" ref="F1341"/>
    <hyperlink r:id="rId1339" ref="F1342"/>
    <hyperlink r:id="rId1340" ref="F1343"/>
    <hyperlink r:id="rId1341" ref="F1344"/>
    <hyperlink r:id="rId1342" ref="F1345"/>
    <hyperlink r:id="rId1343" ref="F1346"/>
    <hyperlink r:id="rId1344" ref="F1347"/>
    <hyperlink r:id="rId1345" ref="F1348"/>
    <hyperlink r:id="rId1346" ref="F1349"/>
    <hyperlink r:id="rId1347" ref="F1350"/>
    <hyperlink r:id="rId1348" ref="F1351"/>
    <hyperlink r:id="rId1349" ref="F1352"/>
    <hyperlink r:id="rId1350" ref="F1353"/>
    <hyperlink r:id="rId1351" ref="F1354"/>
    <hyperlink r:id="rId1352" ref="F1355"/>
    <hyperlink r:id="rId1353" ref="F1356"/>
    <hyperlink r:id="rId1354" ref="F1357"/>
    <hyperlink r:id="rId1355" ref="F1358"/>
    <hyperlink r:id="rId1356" ref="F1359"/>
    <hyperlink r:id="rId1357" ref="F1360"/>
    <hyperlink r:id="rId1358" ref="F1361"/>
    <hyperlink r:id="rId1359" ref="F1362"/>
    <hyperlink r:id="rId1360" ref="F1363"/>
    <hyperlink r:id="rId1361" ref="F1364"/>
    <hyperlink r:id="rId1362" ref="F1365"/>
    <hyperlink r:id="rId1363" ref="F1366"/>
    <hyperlink r:id="rId1364" ref="F1367"/>
    <hyperlink r:id="rId1365" ref="F1368"/>
    <hyperlink r:id="rId1366" ref="F1369"/>
    <hyperlink r:id="rId1367" ref="F1370"/>
    <hyperlink r:id="rId1368" ref="F1371"/>
    <hyperlink r:id="rId1369" ref="F1372"/>
    <hyperlink r:id="rId1370" ref="F1373"/>
    <hyperlink r:id="rId1371" ref="F1374"/>
    <hyperlink r:id="rId1372" ref="F1375"/>
    <hyperlink r:id="rId1373" ref="F1376"/>
    <hyperlink r:id="rId1374" ref="F1377"/>
    <hyperlink r:id="rId1375" ref="F1378"/>
    <hyperlink r:id="rId1376" ref="F1379"/>
    <hyperlink r:id="rId1377" ref="F1380"/>
    <hyperlink r:id="rId1378" ref="F1381"/>
    <hyperlink r:id="rId1379" ref="F1382"/>
    <hyperlink r:id="rId1380" ref="F1383"/>
    <hyperlink r:id="rId1381" ref="F1384"/>
    <hyperlink r:id="rId1382" ref="F1385"/>
    <hyperlink r:id="rId1383" ref="F1386"/>
    <hyperlink r:id="rId1384" ref="F1387"/>
    <hyperlink r:id="rId1385" ref="F1388"/>
    <hyperlink r:id="rId1386" ref="F1389"/>
    <hyperlink r:id="rId1387" ref="F1390"/>
    <hyperlink r:id="rId1388" ref="F1391"/>
    <hyperlink r:id="rId1389" ref="F1392"/>
    <hyperlink r:id="rId1390" ref="F1393"/>
    <hyperlink r:id="rId1391" ref="F1394"/>
    <hyperlink r:id="rId1392" ref="F1395"/>
    <hyperlink r:id="rId1393" ref="F1396"/>
    <hyperlink r:id="rId1394" ref="F1397"/>
    <hyperlink r:id="rId1395" ref="F1398"/>
    <hyperlink r:id="rId1396" ref="F1399"/>
    <hyperlink r:id="rId1397" ref="F1400"/>
    <hyperlink r:id="rId1398" ref="F1401"/>
    <hyperlink r:id="rId1399" ref="F1402"/>
    <hyperlink r:id="rId1400" ref="F1403"/>
    <hyperlink r:id="rId1401" ref="F1404"/>
    <hyperlink r:id="rId1402" ref="F1405"/>
    <hyperlink r:id="rId1403" ref="F1406"/>
    <hyperlink r:id="rId1404" ref="F1407"/>
    <hyperlink r:id="rId1405" ref="F1408"/>
    <hyperlink r:id="rId1406" ref="F1409"/>
    <hyperlink r:id="rId1407" ref="F1410"/>
    <hyperlink r:id="rId1408" ref="F1411"/>
    <hyperlink r:id="rId1409" ref="F1412"/>
    <hyperlink r:id="rId1410" ref="F1413"/>
    <hyperlink r:id="rId1411" ref="F1414"/>
    <hyperlink r:id="rId1412" ref="F1415"/>
    <hyperlink r:id="rId1413" ref="F1416"/>
    <hyperlink r:id="rId1414" ref="F1417"/>
    <hyperlink r:id="rId1415" ref="F1418"/>
    <hyperlink r:id="rId1416" ref="F1419"/>
    <hyperlink r:id="rId1417" ref="F1420"/>
    <hyperlink r:id="rId1418" ref="F1421"/>
    <hyperlink r:id="rId1419" ref="F1422"/>
    <hyperlink r:id="rId1420" ref="F1423"/>
    <hyperlink r:id="rId1421" ref="F1424"/>
    <hyperlink r:id="rId1422" ref="F1425"/>
    <hyperlink r:id="rId1423" ref="F1426"/>
    <hyperlink r:id="rId1424" ref="F1427"/>
    <hyperlink r:id="rId1425" ref="F1428"/>
    <hyperlink r:id="rId1426" ref="F1429"/>
    <hyperlink r:id="rId1427" ref="F1430"/>
    <hyperlink r:id="rId1428" ref="F1431"/>
    <hyperlink r:id="rId1429" ref="F1432"/>
    <hyperlink r:id="rId1430" ref="F1433"/>
    <hyperlink r:id="rId1431" ref="F1434"/>
    <hyperlink r:id="rId1432" ref="F1435"/>
    <hyperlink r:id="rId1433" ref="F1436"/>
    <hyperlink r:id="rId1434" ref="F1437"/>
    <hyperlink r:id="rId1435" ref="F1438"/>
    <hyperlink r:id="rId1436" ref="F1439"/>
    <hyperlink r:id="rId1437" ref="F1440"/>
    <hyperlink r:id="rId1438" ref="F1441"/>
    <hyperlink r:id="rId1439" ref="F1442"/>
    <hyperlink r:id="rId1440" ref="F1443"/>
    <hyperlink r:id="rId1441" ref="F1444"/>
    <hyperlink r:id="rId1442" ref="F1445"/>
    <hyperlink r:id="rId1443" ref="F1446"/>
    <hyperlink r:id="rId1444" ref="F1447"/>
    <hyperlink r:id="rId1445" ref="F1448"/>
    <hyperlink r:id="rId1446" ref="F1449"/>
    <hyperlink r:id="rId1447" ref="F1450"/>
    <hyperlink r:id="rId1448" ref="F1451"/>
    <hyperlink r:id="rId1449" ref="F1452"/>
    <hyperlink r:id="rId1450" ref="F1453"/>
    <hyperlink r:id="rId1451" ref="F1454"/>
    <hyperlink r:id="rId1452" ref="F1455"/>
    <hyperlink r:id="rId1453" ref="F1456"/>
    <hyperlink r:id="rId1454" ref="F1457"/>
    <hyperlink r:id="rId1455" ref="F1458"/>
    <hyperlink r:id="rId1456" ref="F1459"/>
    <hyperlink r:id="rId1457" ref="F1460"/>
    <hyperlink r:id="rId1458" ref="F1461"/>
    <hyperlink r:id="rId1459" ref="F1462"/>
    <hyperlink r:id="rId1460" ref="F1463"/>
    <hyperlink r:id="rId1461" ref="F1464"/>
    <hyperlink r:id="rId1462" ref="F1465"/>
    <hyperlink r:id="rId1463" ref="F1466"/>
    <hyperlink r:id="rId1464" ref="F1467"/>
    <hyperlink r:id="rId1465" ref="F1468"/>
    <hyperlink r:id="rId1466" ref="F1469"/>
    <hyperlink r:id="rId1467" ref="F1470"/>
    <hyperlink r:id="rId1468" ref="F1471"/>
    <hyperlink r:id="rId1469" ref="F1472"/>
    <hyperlink r:id="rId1470" ref="F1473"/>
    <hyperlink r:id="rId1471" ref="F1474"/>
    <hyperlink r:id="rId1472" ref="F1475"/>
    <hyperlink r:id="rId1473" ref="F1476"/>
    <hyperlink r:id="rId1474" ref="F1477"/>
    <hyperlink r:id="rId1475" ref="F1478"/>
    <hyperlink r:id="rId1476" ref="F1479"/>
    <hyperlink r:id="rId1477" ref="F1480"/>
    <hyperlink r:id="rId1478" ref="F1481"/>
    <hyperlink r:id="rId1479" ref="F1482"/>
    <hyperlink r:id="rId1480" ref="F1483"/>
    <hyperlink r:id="rId1481" ref="F1484"/>
    <hyperlink r:id="rId1482" ref="F1485"/>
    <hyperlink r:id="rId1483" ref="F1486"/>
    <hyperlink r:id="rId1484" ref="F1487"/>
    <hyperlink r:id="rId1485" ref="F1488"/>
    <hyperlink r:id="rId1486" ref="F1489"/>
    <hyperlink r:id="rId1487" ref="F1490"/>
    <hyperlink r:id="rId1488" ref="F1491"/>
    <hyperlink r:id="rId1489" ref="F1492"/>
    <hyperlink r:id="rId1490" ref="F1493"/>
    <hyperlink r:id="rId1491" ref="F1494"/>
    <hyperlink r:id="rId1492" ref="F1495"/>
    <hyperlink r:id="rId1493" ref="F1496"/>
    <hyperlink r:id="rId1494" ref="F1497"/>
    <hyperlink r:id="rId1495" ref="F1498"/>
    <hyperlink r:id="rId1496" ref="F1499"/>
    <hyperlink r:id="rId1497" ref="F1500"/>
    <hyperlink r:id="rId1498" ref="F1501"/>
    <hyperlink r:id="rId1499" ref="F1502"/>
    <hyperlink r:id="rId1500" ref="F1503"/>
    <hyperlink r:id="rId1501" ref="F1504"/>
    <hyperlink r:id="rId1502" ref="F1505"/>
    <hyperlink r:id="rId1503" ref="F1506"/>
    <hyperlink r:id="rId1504" ref="F1507"/>
    <hyperlink r:id="rId1505" ref="F1508"/>
    <hyperlink r:id="rId1506" ref="F1509"/>
    <hyperlink r:id="rId1507" ref="F1510"/>
    <hyperlink r:id="rId1508" ref="F1511"/>
    <hyperlink r:id="rId1509" ref="F1512"/>
    <hyperlink r:id="rId1510" ref="F1513"/>
    <hyperlink r:id="rId1511" ref="F1514"/>
    <hyperlink r:id="rId1512" ref="F1515"/>
    <hyperlink r:id="rId1513" ref="F1516"/>
    <hyperlink r:id="rId1514" ref="F1517"/>
    <hyperlink r:id="rId1515" ref="F1518"/>
    <hyperlink r:id="rId1516" ref="F1519"/>
    <hyperlink r:id="rId1517" ref="F1520"/>
    <hyperlink r:id="rId1518" ref="F1521"/>
    <hyperlink r:id="rId1519" ref="F1522"/>
    <hyperlink r:id="rId1520" ref="F1523"/>
    <hyperlink r:id="rId1521" ref="F1524"/>
    <hyperlink r:id="rId1522" ref="F1525"/>
    <hyperlink r:id="rId1523" ref="F1526"/>
    <hyperlink r:id="rId1524" ref="F1527"/>
    <hyperlink r:id="rId1525" ref="F1528"/>
    <hyperlink r:id="rId1526" ref="F1529"/>
    <hyperlink r:id="rId1527" ref="F1530"/>
    <hyperlink r:id="rId1528" ref="F1531"/>
    <hyperlink r:id="rId1529" ref="F1532"/>
    <hyperlink r:id="rId1530" ref="F1533"/>
    <hyperlink r:id="rId1531" ref="F1534"/>
    <hyperlink r:id="rId1532" ref="F1535"/>
    <hyperlink r:id="rId1533" ref="F1536"/>
    <hyperlink r:id="rId1534" ref="F1537"/>
    <hyperlink r:id="rId1535" ref="F1538"/>
    <hyperlink r:id="rId1536" ref="F1539"/>
    <hyperlink r:id="rId1537" ref="F1540"/>
    <hyperlink r:id="rId1538" ref="F1541"/>
    <hyperlink r:id="rId1539" ref="F1542"/>
    <hyperlink r:id="rId1540" ref="F1543"/>
    <hyperlink r:id="rId1541" ref="F1544"/>
    <hyperlink r:id="rId1542" ref="F1545"/>
    <hyperlink r:id="rId1543" ref="F1546"/>
    <hyperlink r:id="rId1544" ref="F1547"/>
    <hyperlink r:id="rId1545" ref="F1548"/>
    <hyperlink r:id="rId1546" ref="F1549"/>
    <hyperlink r:id="rId1547" ref="F1550"/>
    <hyperlink r:id="rId1548" ref="F1551"/>
    <hyperlink r:id="rId1549" ref="F1552"/>
    <hyperlink r:id="rId1550" ref="F1553"/>
    <hyperlink r:id="rId1551" ref="F1554"/>
    <hyperlink r:id="rId1552" ref="F1555"/>
    <hyperlink r:id="rId1553" ref="F1556"/>
    <hyperlink r:id="rId1554" ref="F1557"/>
    <hyperlink r:id="rId1555" ref="F1558"/>
    <hyperlink r:id="rId1556" ref="F1559"/>
    <hyperlink r:id="rId1557" ref="F1560"/>
    <hyperlink r:id="rId1558" ref="F1561"/>
    <hyperlink r:id="rId1559" ref="F1562"/>
    <hyperlink r:id="rId1560" ref="F1563"/>
    <hyperlink r:id="rId1561" ref="F1564"/>
    <hyperlink r:id="rId1562" ref="F1565"/>
    <hyperlink r:id="rId1563" ref="F1566"/>
    <hyperlink r:id="rId1564" ref="F1567"/>
    <hyperlink r:id="rId1565" ref="F1568"/>
    <hyperlink r:id="rId1566" ref="F1569"/>
    <hyperlink r:id="rId1567" ref="F1570"/>
    <hyperlink r:id="rId1568" ref="F1571"/>
    <hyperlink r:id="rId1569" ref="F1572"/>
    <hyperlink r:id="rId1570" ref="F1573"/>
    <hyperlink r:id="rId1571" ref="F1574"/>
    <hyperlink r:id="rId1572" ref="F1575"/>
    <hyperlink r:id="rId1573" ref="F1576"/>
    <hyperlink r:id="rId1574" ref="F1577"/>
    <hyperlink r:id="rId1575" ref="F1578"/>
    <hyperlink r:id="rId1576" ref="F1579"/>
    <hyperlink r:id="rId1577" ref="F1580"/>
    <hyperlink r:id="rId1578" ref="F1581"/>
    <hyperlink r:id="rId1579" ref="F1582"/>
    <hyperlink r:id="rId1580" ref="F1583"/>
    <hyperlink r:id="rId1581" ref="F1584"/>
    <hyperlink r:id="rId1582" ref="F1585"/>
    <hyperlink r:id="rId1583" ref="F1586"/>
    <hyperlink r:id="rId1584" ref="F1587"/>
    <hyperlink r:id="rId1585" ref="F1588"/>
    <hyperlink r:id="rId1586" ref="F1589"/>
    <hyperlink r:id="rId1587" ref="F1590"/>
    <hyperlink r:id="rId1588" ref="F1591"/>
    <hyperlink r:id="rId1589" ref="F1592"/>
    <hyperlink r:id="rId1590" ref="F1593"/>
    <hyperlink r:id="rId1591" ref="F1594"/>
    <hyperlink r:id="rId1592" ref="F1595"/>
    <hyperlink r:id="rId1593" ref="F1596"/>
    <hyperlink r:id="rId1594" ref="F1597"/>
    <hyperlink r:id="rId1595" ref="F1598"/>
    <hyperlink r:id="rId1596" ref="F1599"/>
    <hyperlink r:id="rId1597" ref="F1600"/>
    <hyperlink r:id="rId1598" ref="F1601"/>
    <hyperlink r:id="rId1599" ref="F1602"/>
    <hyperlink r:id="rId1600" ref="F1603"/>
    <hyperlink r:id="rId1601" ref="F1604"/>
    <hyperlink r:id="rId1602" ref="F1605"/>
    <hyperlink r:id="rId1603" ref="F1606"/>
    <hyperlink r:id="rId1604" ref="F1607"/>
    <hyperlink r:id="rId1605" ref="F1608"/>
    <hyperlink r:id="rId1606" ref="F1609"/>
    <hyperlink r:id="rId1607" ref="F1610"/>
    <hyperlink r:id="rId1608" ref="F1611"/>
    <hyperlink r:id="rId1609" ref="F1612"/>
    <hyperlink r:id="rId1610" ref="F1613"/>
    <hyperlink r:id="rId1611" ref="F1614"/>
    <hyperlink r:id="rId1612" ref="F1615"/>
    <hyperlink r:id="rId1613" ref="F1616"/>
    <hyperlink r:id="rId1614" ref="F1617"/>
    <hyperlink r:id="rId1615" ref="F1618"/>
    <hyperlink r:id="rId1616" ref="F1619"/>
    <hyperlink r:id="rId1617" ref="F1620"/>
    <hyperlink r:id="rId1618" ref="F1621"/>
    <hyperlink r:id="rId1619" ref="F1622"/>
    <hyperlink r:id="rId1620" ref="F1623"/>
    <hyperlink r:id="rId1621" ref="F1624"/>
    <hyperlink r:id="rId1622" ref="F1625"/>
    <hyperlink r:id="rId1623" ref="F1626"/>
    <hyperlink r:id="rId1624" ref="F1627"/>
    <hyperlink r:id="rId1625" ref="F1628"/>
    <hyperlink r:id="rId1626" ref="F1629"/>
    <hyperlink r:id="rId1627" ref="F1630"/>
    <hyperlink r:id="rId1628" ref="F1631"/>
    <hyperlink r:id="rId1629" ref="F1632"/>
    <hyperlink r:id="rId1630" ref="F1633"/>
    <hyperlink r:id="rId1631" ref="F1634"/>
    <hyperlink r:id="rId1632" ref="F1635"/>
    <hyperlink r:id="rId1633" ref="F1636"/>
    <hyperlink r:id="rId1634" ref="F1637"/>
    <hyperlink r:id="rId1635" ref="F1638"/>
    <hyperlink r:id="rId1636" ref="F1639"/>
    <hyperlink r:id="rId1637" ref="F1640"/>
    <hyperlink r:id="rId1638" ref="F1641"/>
    <hyperlink r:id="rId1639" ref="F1642"/>
    <hyperlink r:id="rId1640" ref="F1643"/>
    <hyperlink r:id="rId1641" ref="F1644"/>
    <hyperlink r:id="rId1642" ref="F1645"/>
    <hyperlink r:id="rId1643" ref="F1646"/>
    <hyperlink r:id="rId1644" ref="F1647"/>
    <hyperlink r:id="rId1645" ref="F1648"/>
    <hyperlink r:id="rId1646" ref="F1649"/>
    <hyperlink r:id="rId1647" ref="F1650"/>
    <hyperlink r:id="rId1648" ref="F1651"/>
    <hyperlink r:id="rId1649" ref="F1652"/>
    <hyperlink r:id="rId1650" ref="F1653"/>
    <hyperlink r:id="rId1651" ref="F1654"/>
    <hyperlink r:id="rId1652" ref="F1655"/>
    <hyperlink r:id="rId1653" ref="F1656"/>
    <hyperlink r:id="rId1654" ref="F1657"/>
    <hyperlink r:id="rId1655" ref="F1658"/>
    <hyperlink r:id="rId1656" ref="F1659"/>
    <hyperlink r:id="rId1657" ref="F1660"/>
    <hyperlink r:id="rId1658" ref="F1661"/>
    <hyperlink r:id="rId1659" ref="F1662"/>
    <hyperlink r:id="rId1660" ref="F1663"/>
    <hyperlink r:id="rId1661" ref="F1664"/>
    <hyperlink r:id="rId1662" ref="F1665"/>
    <hyperlink r:id="rId1663" ref="F1666"/>
    <hyperlink r:id="rId1664" ref="F1667"/>
    <hyperlink r:id="rId1665" ref="F1668"/>
    <hyperlink r:id="rId1666" ref="F1669"/>
    <hyperlink r:id="rId1667" ref="F1670"/>
    <hyperlink r:id="rId1668" ref="F1671"/>
    <hyperlink r:id="rId1669" ref="F1672"/>
    <hyperlink r:id="rId1670" ref="F1673"/>
    <hyperlink r:id="rId1671" ref="F1674"/>
    <hyperlink r:id="rId1672" ref="F1675"/>
    <hyperlink r:id="rId1673" ref="F1676"/>
    <hyperlink r:id="rId1674" ref="F1677"/>
    <hyperlink r:id="rId1675" ref="F1678"/>
    <hyperlink r:id="rId1676" ref="F1679"/>
    <hyperlink r:id="rId1677" ref="F1680"/>
    <hyperlink r:id="rId1678" ref="F1681"/>
    <hyperlink r:id="rId1679" ref="F1682"/>
    <hyperlink r:id="rId1680" ref="F1683"/>
    <hyperlink r:id="rId1681" ref="F1684"/>
    <hyperlink r:id="rId1682" ref="F1685"/>
    <hyperlink r:id="rId1683" ref="F1686"/>
    <hyperlink r:id="rId1684" ref="F1687"/>
    <hyperlink r:id="rId1685" ref="F1688"/>
    <hyperlink r:id="rId1686" ref="F1689"/>
    <hyperlink r:id="rId1687" ref="F1690"/>
    <hyperlink r:id="rId1688" ref="F1691"/>
    <hyperlink r:id="rId1689" ref="F1692"/>
    <hyperlink r:id="rId1690" ref="F1693"/>
    <hyperlink r:id="rId1691" ref="F1694"/>
    <hyperlink r:id="rId1692" ref="F1695"/>
    <hyperlink r:id="rId1693" ref="F1696"/>
    <hyperlink r:id="rId1694" ref="F1697"/>
    <hyperlink r:id="rId1695" ref="F1698"/>
    <hyperlink r:id="rId1696" ref="F1699"/>
    <hyperlink r:id="rId1697" ref="F1700"/>
    <hyperlink r:id="rId1698" ref="F1701"/>
    <hyperlink r:id="rId1699" ref="F1702"/>
    <hyperlink r:id="rId1700" ref="F1703"/>
    <hyperlink r:id="rId1701" ref="F1704"/>
    <hyperlink r:id="rId1702" ref="F1705"/>
    <hyperlink r:id="rId1703" ref="F1706"/>
    <hyperlink r:id="rId1704" ref="F1707"/>
    <hyperlink r:id="rId1705" ref="F1708"/>
    <hyperlink r:id="rId1706" ref="F1709"/>
    <hyperlink r:id="rId1707" ref="F1710"/>
    <hyperlink r:id="rId1708" ref="F1711"/>
    <hyperlink r:id="rId1709" ref="F1712"/>
    <hyperlink r:id="rId1710" ref="F1713"/>
    <hyperlink r:id="rId1711" ref="F1714"/>
    <hyperlink r:id="rId1712" ref="F1715"/>
    <hyperlink r:id="rId1713" ref="F1716"/>
    <hyperlink r:id="rId1714" ref="F1717"/>
    <hyperlink r:id="rId1715" ref="F1718"/>
    <hyperlink r:id="rId1716" ref="F1719"/>
    <hyperlink r:id="rId1717" ref="F1720"/>
    <hyperlink r:id="rId1718" ref="F1721"/>
    <hyperlink r:id="rId1719" ref="F1722"/>
    <hyperlink r:id="rId1720" ref="F1723"/>
    <hyperlink r:id="rId1721" ref="F1724"/>
    <hyperlink r:id="rId1722" ref="F1725"/>
    <hyperlink r:id="rId1723" ref="F1726"/>
    <hyperlink r:id="rId1724" ref="F1727"/>
    <hyperlink r:id="rId1725" ref="F1728"/>
    <hyperlink r:id="rId1726" ref="F1729"/>
    <hyperlink r:id="rId1727" ref="F1730"/>
    <hyperlink r:id="rId1728" ref="F1731"/>
    <hyperlink r:id="rId1729" ref="F1732"/>
    <hyperlink r:id="rId1730" ref="F1733"/>
    <hyperlink r:id="rId1731" ref="F1734"/>
    <hyperlink r:id="rId1732" ref="F1735"/>
    <hyperlink r:id="rId1733" ref="F1736"/>
    <hyperlink r:id="rId1734" ref="F1737"/>
    <hyperlink r:id="rId1735" ref="F1738"/>
    <hyperlink r:id="rId1736" ref="F1739"/>
    <hyperlink r:id="rId1737" ref="F1740"/>
    <hyperlink r:id="rId1738" ref="F1741"/>
    <hyperlink r:id="rId1739" ref="F1742"/>
    <hyperlink r:id="rId1740" ref="F1743"/>
    <hyperlink r:id="rId1741" ref="F1744"/>
    <hyperlink r:id="rId1742" ref="F1745"/>
    <hyperlink r:id="rId1743" ref="F1746"/>
    <hyperlink r:id="rId1744" ref="F1747"/>
    <hyperlink r:id="rId1745" ref="F1748"/>
    <hyperlink r:id="rId1746" ref="F1749"/>
    <hyperlink r:id="rId1747" ref="F1750"/>
    <hyperlink r:id="rId1748" ref="F1751"/>
    <hyperlink r:id="rId1749" ref="F1752"/>
    <hyperlink r:id="rId1750" ref="F1753"/>
    <hyperlink r:id="rId1751" ref="F1754"/>
    <hyperlink r:id="rId1752" ref="F1755"/>
    <hyperlink r:id="rId1753" ref="F1756"/>
    <hyperlink r:id="rId1754" ref="F1757"/>
    <hyperlink r:id="rId1755" ref="F1758"/>
    <hyperlink r:id="rId1756" ref="F1759"/>
    <hyperlink r:id="rId1757" ref="F1760"/>
    <hyperlink r:id="rId1758" ref="F1761"/>
    <hyperlink r:id="rId1759" ref="F1762"/>
    <hyperlink r:id="rId1760" ref="F1763"/>
    <hyperlink r:id="rId1761" ref="F1764"/>
    <hyperlink r:id="rId1762" ref="F1765"/>
    <hyperlink r:id="rId1763" ref="F1766"/>
    <hyperlink r:id="rId1764" ref="F1767"/>
    <hyperlink r:id="rId1765" ref="F1768"/>
    <hyperlink r:id="rId1766" ref="F1769"/>
    <hyperlink r:id="rId1767" ref="F1770"/>
    <hyperlink r:id="rId1768" ref="F1771"/>
    <hyperlink r:id="rId1769" ref="F1772"/>
    <hyperlink r:id="rId1770" ref="F1773"/>
    <hyperlink r:id="rId1771" ref="F1774"/>
    <hyperlink r:id="rId1772" ref="F1775"/>
    <hyperlink r:id="rId1773" ref="F1776"/>
    <hyperlink r:id="rId1774" ref="F1777"/>
    <hyperlink r:id="rId1775" ref="F1778"/>
    <hyperlink r:id="rId1776" ref="F1779"/>
    <hyperlink r:id="rId1777" ref="F1780"/>
    <hyperlink r:id="rId1778" ref="F1781"/>
    <hyperlink r:id="rId1779" ref="F1782"/>
    <hyperlink r:id="rId1780" ref="F1783"/>
    <hyperlink r:id="rId1781" ref="F1784"/>
    <hyperlink r:id="rId1782" ref="F1785"/>
    <hyperlink r:id="rId1783" ref="F1786"/>
    <hyperlink r:id="rId1784" ref="F1787"/>
    <hyperlink r:id="rId1785" ref="F1788"/>
    <hyperlink r:id="rId1786" ref="F1789"/>
    <hyperlink r:id="rId1787" ref="F1790"/>
    <hyperlink r:id="rId1788" ref="F1791"/>
    <hyperlink r:id="rId1789" ref="F1792"/>
    <hyperlink r:id="rId1790" ref="F1793"/>
    <hyperlink r:id="rId1791" ref="F1794"/>
    <hyperlink r:id="rId1792" ref="F1795"/>
    <hyperlink r:id="rId1793" ref="F1796"/>
    <hyperlink r:id="rId1794" ref="F1797"/>
    <hyperlink r:id="rId1795" ref="F1798"/>
    <hyperlink r:id="rId1796" ref="F1799"/>
    <hyperlink r:id="rId1797" ref="F1800"/>
    <hyperlink r:id="rId1798" ref="F1801"/>
    <hyperlink r:id="rId1799" ref="F1802"/>
    <hyperlink r:id="rId1800" ref="F1803"/>
    <hyperlink r:id="rId1801" ref="F1804"/>
    <hyperlink r:id="rId1802" ref="F1805"/>
    <hyperlink r:id="rId1803" ref="F1806"/>
    <hyperlink r:id="rId1804" ref="F1807"/>
    <hyperlink r:id="rId1805" ref="F1808"/>
    <hyperlink r:id="rId1806" ref="F1809"/>
    <hyperlink r:id="rId1807" ref="F1810"/>
    <hyperlink r:id="rId1808" ref="F1811"/>
    <hyperlink r:id="rId1809" ref="F1812"/>
    <hyperlink r:id="rId1810" ref="F1813"/>
    <hyperlink r:id="rId1811" ref="F1814"/>
    <hyperlink r:id="rId1812" ref="F1815"/>
    <hyperlink r:id="rId1813" ref="F1816"/>
    <hyperlink r:id="rId1814" ref="F1817"/>
    <hyperlink r:id="rId1815" ref="F1818"/>
    <hyperlink r:id="rId1816" ref="F1819"/>
    <hyperlink r:id="rId1817" ref="F1820"/>
    <hyperlink r:id="rId1818" ref="F1821"/>
    <hyperlink r:id="rId1819" ref="F1822"/>
    <hyperlink r:id="rId1820" ref="F1823"/>
    <hyperlink r:id="rId1821" ref="F1824"/>
    <hyperlink r:id="rId1822" ref="F1825"/>
    <hyperlink r:id="rId1823" ref="F1826"/>
    <hyperlink r:id="rId1824" ref="F1827"/>
    <hyperlink r:id="rId1825" ref="F1828"/>
    <hyperlink r:id="rId1826" ref="F1829"/>
    <hyperlink r:id="rId1827" ref="F1830"/>
    <hyperlink r:id="rId1828" ref="F1831"/>
    <hyperlink r:id="rId1829" ref="F1832"/>
    <hyperlink r:id="rId1830" ref="F1833"/>
    <hyperlink r:id="rId1831" ref="F1834"/>
    <hyperlink r:id="rId1832" ref="F1835"/>
    <hyperlink r:id="rId1833" ref="F1836"/>
    <hyperlink r:id="rId1834" ref="F1837"/>
    <hyperlink r:id="rId1835" ref="F1838"/>
    <hyperlink r:id="rId1836" ref="F1839"/>
    <hyperlink r:id="rId1837" ref="F1840"/>
    <hyperlink r:id="rId1838" ref="F1841"/>
    <hyperlink r:id="rId1839" ref="F1842"/>
    <hyperlink r:id="rId1840" ref="F1843"/>
    <hyperlink r:id="rId1841" ref="F1844"/>
    <hyperlink r:id="rId1842" ref="F1845"/>
    <hyperlink r:id="rId1843" ref="F1846"/>
    <hyperlink r:id="rId1844" ref="F1847"/>
    <hyperlink r:id="rId1845" ref="F1848"/>
    <hyperlink r:id="rId1846" ref="F1849"/>
    <hyperlink r:id="rId1847" ref="F1850"/>
    <hyperlink r:id="rId1848" ref="F1851"/>
    <hyperlink r:id="rId1849" ref="F1852"/>
    <hyperlink r:id="rId1850" ref="F1853"/>
    <hyperlink r:id="rId1851" ref="F1854"/>
    <hyperlink r:id="rId1852" ref="F1855"/>
    <hyperlink r:id="rId1853" ref="F1856"/>
    <hyperlink r:id="rId1854" ref="F1857"/>
    <hyperlink r:id="rId1855" ref="F1858"/>
    <hyperlink r:id="rId1856" ref="F1859"/>
    <hyperlink r:id="rId1857" ref="F1860"/>
    <hyperlink r:id="rId1858" ref="F1861"/>
    <hyperlink r:id="rId1859" ref="F1862"/>
    <hyperlink r:id="rId1860" ref="F1863"/>
    <hyperlink r:id="rId1861" ref="F1864"/>
    <hyperlink r:id="rId1862" ref="F1865"/>
    <hyperlink r:id="rId1863" ref="F1866"/>
    <hyperlink r:id="rId1864" ref="F1867"/>
    <hyperlink r:id="rId1865" ref="F1868"/>
    <hyperlink r:id="rId1866" ref="F1869"/>
    <hyperlink r:id="rId1867" ref="F1870"/>
    <hyperlink r:id="rId1868" ref="F1871"/>
    <hyperlink r:id="rId1869" ref="F1872"/>
    <hyperlink r:id="rId1870" ref="F1873"/>
    <hyperlink r:id="rId1871" ref="F1874"/>
    <hyperlink r:id="rId1872" ref="F1875"/>
    <hyperlink r:id="rId1873" ref="F1876"/>
    <hyperlink r:id="rId1874" ref="F1877"/>
    <hyperlink r:id="rId1875" ref="F1878"/>
    <hyperlink r:id="rId1876" ref="F1879"/>
    <hyperlink r:id="rId1877" ref="F1880"/>
    <hyperlink r:id="rId1878" ref="F1881"/>
    <hyperlink r:id="rId1879" ref="F1882"/>
    <hyperlink r:id="rId1880" ref="F1883"/>
    <hyperlink r:id="rId1881" ref="F1884"/>
    <hyperlink r:id="rId1882" ref="F1885"/>
    <hyperlink r:id="rId1883" ref="F1886"/>
    <hyperlink r:id="rId1884" ref="F1887"/>
    <hyperlink r:id="rId1885" ref="F1888"/>
    <hyperlink r:id="rId1886" ref="F1889"/>
    <hyperlink r:id="rId1887" ref="F1890"/>
    <hyperlink r:id="rId1888" ref="F1891"/>
    <hyperlink r:id="rId1889" ref="F1892"/>
    <hyperlink r:id="rId1890" ref="F1893"/>
    <hyperlink r:id="rId1891" ref="F1894"/>
    <hyperlink r:id="rId1892" ref="F1895"/>
    <hyperlink r:id="rId1893" ref="F1896"/>
    <hyperlink r:id="rId1894" ref="F1897"/>
    <hyperlink r:id="rId1895" ref="F1898"/>
    <hyperlink r:id="rId1896" ref="F1899"/>
    <hyperlink r:id="rId1897" ref="F1900"/>
    <hyperlink r:id="rId1898" ref="F1901"/>
    <hyperlink r:id="rId1899" ref="F1902"/>
    <hyperlink r:id="rId1900" ref="F1903"/>
    <hyperlink r:id="rId1901" ref="F1904"/>
    <hyperlink r:id="rId1902" ref="F1905"/>
    <hyperlink r:id="rId1903" ref="F1906"/>
    <hyperlink r:id="rId1904" ref="F1907"/>
    <hyperlink r:id="rId1905" ref="F1908"/>
    <hyperlink r:id="rId1906" ref="F1909"/>
    <hyperlink r:id="rId1907" ref="F1910"/>
    <hyperlink r:id="rId1908" ref="F1911"/>
    <hyperlink r:id="rId1909" ref="F1912"/>
    <hyperlink r:id="rId1910" ref="F1913"/>
    <hyperlink r:id="rId1911" ref="F1914"/>
    <hyperlink r:id="rId1912" ref="F1915"/>
    <hyperlink r:id="rId1913" ref="F1916"/>
    <hyperlink r:id="rId1914" ref="F1917"/>
    <hyperlink r:id="rId1915" ref="F1918"/>
    <hyperlink r:id="rId1916" ref="F1919"/>
    <hyperlink r:id="rId1917" ref="F1920"/>
    <hyperlink r:id="rId1918" ref="F1921"/>
    <hyperlink r:id="rId1919" ref="F1922"/>
    <hyperlink r:id="rId1920" ref="F1923"/>
    <hyperlink r:id="rId1921" ref="F1924"/>
    <hyperlink r:id="rId1922" ref="F1925"/>
    <hyperlink r:id="rId1923" ref="F1926"/>
    <hyperlink r:id="rId1924" ref="F1927"/>
    <hyperlink r:id="rId1925" ref="F1928"/>
    <hyperlink r:id="rId1926" ref="F1929"/>
    <hyperlink r:id="rId1927" ref="F1930"/>
    <hyperlink r:id="rId1928" ref="F1931"/>
    <hyperlink r:id="rId1929" ref="F1932"/>
    <hyperlink r:id="rId1930" ref="F1933"/>
    <hyperlink r:id="rId1931" ref="F1934"/>
    <hyperlink r:id="rId1932" ref="F1935"/>
    <hyperlink r:id="rId1933" ref="F1936"/>
    <hyperlink r:id="rId1934" ref="F1937"/>
    <hyperlink r:id="rId1935" ref="F1938"/>
    <hyperlink r:id="rId1936" ref="F1939"/>
    <hyperlink r:id="rId1937" ref="F1940"/>
    <hyperlink r:id="rId1938" ref="F1941"/>
    <hyperlink r:id="rId1939" ref="F1942"/>
    <hyperlink r:id="rId1940" ref="F1943"/>
    <hyperlink r:id="rId1941" ref="F1944"/>
    <hyperlink r:id="rId1942" ref="F1945"/>
    <hyperlink r:id="rId1943" ref="F1946"/>
    <hyperlink r:id="rId1944" ref="F1947"/>
    <hyperlink r:id="rId1945" ref="F1948"/>
    <hyperlink r:id="rId1946" ref="F1949"/>
    <hyperlink r:id="rId1947" ref="F1950"/>
    <hyperlink r:id="rId1948" ref="F1951"/>
    <hyperlink r:id="rId1949" ref="F1952"/>
    <hyperlink r:id="rId1950" ref="F1953"/>
    <hyperlink r:id="rId1951" ref="F1954"/>
    <hyperlink r:id="rId1952" ref="F1955"/>
    <hyperlink r:id="rId1953" ref="F1956"/>
    <hyperlink r:id="rId1954" ref="F1957"/>
    <hyperlink r:id="rId1955" ref="F1958"/>
    <hyperlink r:id="rId1956" ref="F1959"/>
    <hyperlink r:id="rId1957" ref="F1960"/>
    <hyperlink r:id="rId1958" ref="F1961"/>
    <hyperlink r:id="rId1959" ref="F1962"/>
    <hyperlink r:id="rId1960" ref="F1963"/>
    <hyperlink r:id="rId1961" ref="F1964"/>
    <hyperlink r:id="rId1962" ref="F1965"/>
    <hyperlink r:id="rId1963" ref="F1966"/>
    <hyperlink r:id="rId1964" ref="F1967"/>
    <hyperlink r:id="rId1965" ref="F1968"/>
    <hyperlink r:id="rId1966" ref="F1969"/>
    <hyperlink r:id="rId1967" ref="F1970"/>
    <hyperlink r:id="rId1968" ref="F1971"/>
    <hyperlink r:id="rId1969" ref="F1972"/>
    <hyperlink r:id="rId1970" ref="F1973"/>
    <hyperlink r:id="rId1971" ref="F1974"/>
    <hyperlink r:id="rId1972" ref="F1975"/>
    <hyperlink r:id="rId1973" ref="F1976"/>
    <hyperlink r:id="rId1974" ref="F1977"/>
    <hyperlink r:id="rId1975" ref="F1978"/>
    <hyperlink r:id="rId1976" ref="F1979"/>
    <hyperlink r:id="rId1977" ref="F1980"/>
    <hyperlink r:id="rId1978" ref="F1981"/>
    <hyperlink r:id="rId1979" ref="F1982"/>
    <hyperlink r:id="rId1980" ref="F1983"/>
    <hyperlink r:id="rId1981" ref="F1984"/>
    <hyperlink r:id="rId1982" ref="F1985"/>
    <hyperlink r:id="rId1983" ref="F1986"/>
    <hyperlink r:id="rId1984" ref="F1987"/>
    <hyperlink r:id="rId1985" ref="F1988"/>
    <hyperlink r:id="rId1986" ref="F1989"/>
    <hyperlink r:id="rId1987" ref="F1990"/>
    <hyperlink r:id="rId1988" ref="F1991"/>
    <hyperlink r:id="rId1989" ref="F1992"/>
    <hyperlink r:id="rId1990" ref="F1993"/>
    <hyperlink r:id="rId1991" ref="F1994"/>
    <hyperlink r:id="rId1992" ref="F1995"/>
    <hyperlink r:id="rId1993" ref="F1996"/>
    <hyperlink r:id="rId1994" ref="F1997"/>
    <hyperlink r:id="rId1995" ref="F1998"/>
    <hyperlink r:id="rId1996" ref="F1999"/>
    <hyperlink r:id="rId1997" ref="F2000"/>
    <hyperlink r:id="rId1998" ref="F2001"/>
    <hyperlink r:id="rId1999" ref="F2002"/>
    <hyperlink r:id="rId2000" ref="F2003"/>
    <hyperlink r:id="rId2001" ref="F2004"/>
    <hyperlink r:id="rId2002" ref="F2005"/>
    <hyperlink r:id="rId2003" ref="F2006"/>
    <hyperlink r:id="rId2004" ref="F2007"/>
    <hyperlink r:id="rId2005" ref="F2008"/>
    <hyperlink r:id="rId2006" ref="F2009"/>
    <hyperlink r:id="rId2007" ref="F2010"/>
    <hyperlink r:id="rId2008" ref="F2011"/>
    <hyperlink r:id="rId2009" ref="F2012"/>
    <hyperlink r:id="rId2010" ref="F2013"/>
    <hyperlink r:id="rId2011" ref="F2014"/>
    <hyperlink r:id="rId2012" ref="F2015"/>
    <hyperlink r:id="rId2013" ref="F2016"/>
    <hyperlink r:id="rId2014" ref="F2017"/>
    <hyperlink r:id="rId2015" ref="F2018"/>
    <hyperlink r:id="rId2016" ref="F2019"/>
    <hyperlink r:id="rId2017" ref="F2020"/>
    <hyperlink r:id="rId2018" ref="F2021"/>
    <hyperlink r:id="rId2019" ref="F2022"/>
    <hyperlink r:id="rId2020" ref="F2023"/>
    <hyperlink r:id="rId2021" ref="F2024"/>
    <hyperlink r:id="rId2022" ref="F2025"/>
    <hyperlink r:id="rId2023" ref="F2026"/>
    <hyperlink r:id="rId2024" ref="F2027"/>
    <hyperlink r:id="rId2025" ref="F2028"/>
    <hyperlink r:id="rId2026" ref="F2029"/>
    <hyperlink r:id="rId2027" ref="F2030"/>
    <hyperlink r:id="rId2028" ref="F2031"/>
    <hyperlink r:id="rId2029" ref="F2032"/>
    <hyperlink r:id="rId2030" ref="F2033"/>
    <hyperlink r:id="rId2031" ref="F2034"/>
    <hyperlink r:id="rId2032" ref="F2035"/>
    <hyperlink r:id="rId2033" ref="F2036"/>
    <hyperlink r:id="rId2034" ref="F2037"/>
    <hyperlink r:id="rId2035" ref="F2038"/>
    <hyperlink r:id="rId2036" ref="F2039"/>
    <hyperlink r:id="rId2037" ref="F2040"/>
    <hyperlink r:id="rId2038" ref="F2041"/>
    <hyperlink r:id="rId2039" ref="F2042"/>
    <hyperlink r:id="rId2040" ref="F2043"/>
    <hyperlink r:id="rId2041" ref="F2044"/>
    <hyperlink r:id="rId2042" ref="F2045"/>
    <hyperlink r:id="rId2043" ref="F2046"/>
    <hyperlink r:id="rId2044" ref="F2047"/>
    <hyperlink r:id="rId2045" ref="F2048"/>
    <hyperlink r:id="rId2046" ref="F2049"/>
    <hyperlink r:id="rId2047" ref="F2050"/>
    <hyperlink r:id="rId2048" ref="F2051"/>
    <hyperlink r:id="rId2049" ref="F2052"/>
    <hyperlink r:id="rId2050" ref="F2053"/>
    <hyperlink r:id="rId2051" ref="F2054"/>
    <hyperlink r:id="rId2052" ref="F2055"/>
    <hyperlink r:id="rId2053" ref="F2056"/>
    <hyperlink r:id="rId2054" ref="F2057"/>
    <hyperlink r:id="rId2055" ref="F2058"/>
    <hyperlink r:id="rId2056" ref="F2059"/>
    <hyperlink r:id="rId2057" ref="F2060"/>
    <hyperlink r:id="rId2058" ref="F2061"/>
    <hyperlink r:id="rId2059" ref="F2062"/>
    <hyperlink r:id="rId2060" ref="F2063"/>
    <hyperlink r:id="rId2061" ref="F2064"/>
    <hyperlink r:id="rId2062" ref="F2065"/>
    <hyperlink r:id="rId2063" ref="F2066"/>
    <hyperlink r:id="rId2064" ref="F2067"/>
    <hyperlink r:id="rId2065" ref="F2068"/>
    <hyperlink r:id="rId2066" ref="F2069"/>
    <hyperlink r:id="rId2067" ref="F2070"/>
    <hyperlink r:id="rId2068" ref="F2071"/>
    <hyperlink r:id="rId2069" ref="F2072"/>
    <hyperlink r:id="rId2070" ref="F2073"/>
    <hyperlink r:id="rId2071" ref="F2074"/>
    <hyperlink r:id="rId2072" ref="F2075"/>
    <hyperlink r:id="rId2073" ref="F2076"/>
    <hyperlink r:id="rId2074" ref="F2077"/>
    <hyperlink r:id="rId2075" ref="F2078"/>
    <hyperlink r:id="rId2076" ref="F2079"/>
    <hyperlink r:id="rId2077" ref="F2080"/>
    <hyperlink r:id="rId2078" ref="F2081"/>
    <hyperlink r:id="rId2079" ref="F2082"/>
    <hyperlink r:id="rId2080" ref="F2083"/>
    <hyperlink r:id="rId2081" ref="F2084"/>
    <hyperlink r:id="rId2082" ref="F2085"/>
    <hyperlink r:id="rId2083" ref="F2086"/>
    <hyperlink r:id="rId2084" ref="F2087"/>
    <hyperlink r:id="rId2085" ref="F2088"/>
    <hyperlink r:id="rId2086" ref="F2089"/>
    <hyperlink r:id="rId2087" ref="F2090"/>
    <hyperlink r:id="rId2088" ref="F2091"/>
    <hyperlink r:id="rId2089" ref="F2092"/>
    <hyperlink r:id="rId2090" ref="F2093"/>
    <hyperlink r:id="rId2091" ref="F2094"/>
    <hyperlink r:id="rId2092" ref="F2095"/>
    <hyperlink r:id="rId2093" ref="F2096"/>
    <hyperlink r:id="rId2094" ref="F2097"/>
    <hyperlink r:id="rId2095" ref="F2098"/>
    <hyperlink r:id="rId2096" ref="F2099"/>
    <hyperlink r:id="rId2097" ref="F2100"/>
    <hyperlink r:id="rId2098" ref="F2101"/>
    <hyperlink r:id="rId2099" ref="F2102"/>
    <hyperlink r:id="rId2100" ref="F2103"/>
    <hyperlink r:id="rId2101" ref="F2104"/>
    <hyperlink r:id="rId2102" ref="F2105"/>
    <hyperlink r:id="rId2103" ref="F2106"/>
    <hyperlink r:id="rId2104" ref="F2107"/>
    <hyperlink r:id="rId2105" ref="F2108"/>
    <hyperlink r:id="rId2106" ref="F2109"/>
    <hyperlink r:id="rId2107" ref="F2110"/>
    <hyperlink r:id="rId2108" ref="F2111"/>
    <hyperlink r:id="rId2109" ref="F2112"/>
    <hyperlink r:id="rId2110" ref="F2113"/>
    <hyperlink r:id="rId2111" ref="F2114"/>
    <hyperlink r:id="rId2112" ref="F2115"/>
    <hyperlink r:id="rId2113" ref="F2116"/>
    <hyperlink r:id="rId2114" ref="F2117"/>
    <hyperlink r:id="rId2115" ref="F2118"/>
    <hyperlink r:id="rId2116" ref="F2119"/>
    <hyperlink r:id="rId2117" ref="F2120"/>
    <hyperlink r:id="rId2118" ref="F2121"/>
    <hyperlink r:id="rId2119" ref="F2122"/>
    <hyperlink r:id="rId2120" ref="F2123"/>
    <hyperlink r:id="rId2121" ref="F2124"/>
    <hyperlink r:id="rId2122" ref="F2125"/>
    <hyperlink r:id="rId2123" ref="F2126"/>
    <hyperlink r:id="rId2124" ref="F2127"/>
    <hyperlink r:id="rId2125" ref="F2128"/>
    <hyperlink r:id="rId2126" ref="F2129"/>
    <hyperlink r:id="rId2127" ref="F2130"/>
    <hyperlink r:id="rId2128" ref="F2131"/>
    <hyperlink r:id="rId2129" ref="F2132"/>
    <hyperlink r:id="rId2130" ref="F2133"/>
    <hyperlink r:id="rId2131" ref="F2134"/>
    <hyperlink r:id="rId2132" ref="F2135"/>
    <hyperlink r:id="rId2133" ref="F2136"/>
    <hyperlink r:id="rId2134" ref="F2137"/>
    <hyperlink r:id="rId2135" ref="F2138"/>
    <hyperlink r:id="rId2136" ref="F2139"/>
    <hyperlink r:id="rId2137" ref="F2140"/>
    <hyperlink r:id="rId2138" ref="F2141"/>
    <hyperlink r:id="rId2139" ref="F2142"/>
    <hyperlink r:id="rId2140" ref="F2143"/>
    <hyperlink r:id="rId2141" ref="F2144"/>
    <hyperlink r:id="rId2142" ref="F2145"/>
    <hyperlink r:id="rId2143" ref="F2146"/>
    <hyperlink r:id="rId2144" ref="F2147"/>
    <hyperlink r:id="rId2145" ref="F2148"/>
    <hyperlink r:id="rId2146" ref="F2149"/>
    <hyperlink r:id="rId2147" ref="F2150"/>
    <hyperlink r:id="rId2148" ref="F2151"/>
    <hyperlink r:id="rId2149" ref="F2152"/>
    <hyperlink r:id="rId2150" ref="F2153"/>
    <hyperlink r:id="rId2151" ref="F2154"/>
    <hyperlink r:id="rId2152" ref="F2155"/>
    <hyperlink r:id="rId2153" ref="F2156"/>
    <hyperlink r:id="rId2154" ref="F2157"/>
    <hyperlink r:id="rId2155" ref="F2158"/>
    <hyperlink r:id="rId2156" ref="F2159"/>
    <hyperlink r:id="rId2157" ref="F2160"/>
    <hyperlink r:id="rId2158" ref="F2161"/>
    <hyperlink r:id="rId2159" ref="F2162"/>
    <hyperlink r:id="rId2160" ref="F2163"/>
    <hyperlink r:id="rId2161" ref="F2164"/>
    <hyperlink r:id="rId2162" ref="F2165"/>
    <hyperlink r:id="rId2163" ref="F2166"/>
    <hyperlink r:id="rId2164" ref="F2167"/>
    <hyperlink r:id="rId2165" ref="F2168"/>
    <hyperlink r:id="rId2166" ref="F2169"/>
    <hyperlink r:id="rId2167" ref="F2170"/>
    <hyperlink r:id="rId2168" ref="F2171"/>
    <hyperlink r:id="rId2169" ref="F2172"/>
    <hyperlink r:id="rId2170" ref="F2173"/>
    <hyperlink r:id="rId2171" ref="F2174"/>
    <hyperlink r:id="rId2172" ref="F2175"/>
    <hyperlink r:id="rId2173" ref="F2176"/>
    <hyperlink r:id="rId2174" ref="F2177"/>
    <hyperlink r:id="rId2175" ref="F2178"/>
    <hyperlink r:id="rId2176" ref="F2179"/>
    <hyperlink r:id="rId2177" ref="F2180"/>
    <hyperlink r:id="rId2178" ref="F2181"/>
    <hyperlink r:id="rId2179" ref="F2182"/>
    <hyperlink r:id="rId2180" ref="F2183"/>
    <hyperlink r:id="rId2181" ref="F2184"/>
    <hyperlink r:id="rId2182" ref="F2185"/>
    <hyperlink r:id="rId2183" ref="F2186"/>
    <hyperlink r:id="rId2184" ref="F2187"/>
    <hyperlink r:id="rId2185" ref="F2188"/>
    <hyperlink r:id="rId2186" ref="F2189"/>
    <hyperlink r:id="rId2187" ref="F2190"/>
    <hyperlink r:id="rId2188" ref="F2191"/>
    <hyperlink r:id="rId2189" ref="F2192"/>
    <hyperlink r:id="rId2190" ref="F2193"/>
    <hyperlink r:id="rId2191" ref="F2194"/>
    <hyperlink r:id="rId2192" ref="F2195"/>
    <hyperlink r:id="rId2193" ref="F2196"/>
    <hyperlink r:id="rId2194" ref="F2197"/>
    <hyperlink r:id="rId2195" ref="F2198"/>
    <hyperlink r:id="rId2196" ref="F2199"/>
    <hyperlink r:id="rId2197" ref="F2200"/>
    <hyperlink r:id="rId2198" ref="F2201"/>
    <hyperlink r:id="rId2199" ref="F2202"/>
    <hyperlink r:id="rId2200" ref="F2203"/>
    <hyperlink r:id="rId2201" ref="F2204"/>
    <hyperlink r:id="rId2202" ref="F2205"/>
    <hyperlink r:id="rId2203" ref="F2206"/>
    <hyperlink r:id="rId2204" ref="F2207"/>
    <hyperlink r:id="rId2205" ref="F2208"/>
    <hyperlink r:id="rId2206" ref="F2209"/>
    <hyperlink r:id="rId2207" ref="F2210"/>
    <hyperlink r:id="rId2208" ref="F2211"/>
    <hyperlink r:id="rId2209" ref="F2212"/>
    <hyperlink r:id="rId2210" ref="F2213"/>
    <hyperlink r:id="rId2211" ref="F2214"/>
    <hyperlink r:id="rId2212" ref="F2215"/>
    <hyperlink r:id="rId2213" ref="F2216"/>
    <hyperlink r:id="rId2214" ref="F2217"/>
    <hyperlink r:id="rId2215" ref="F2218"/>
    <hyperlink r:id="rId2216" ref="F2219"/>
    <hyperlink r:id="rId2217" ref="F2220"/>
    <hyperlink r:id="rId2218" ref="F2221"/>
    <hyperlink r:id="rId2219" ref="F2222"/>
    <hyperlink r:id="rId2220" ref="F2223"/>
    <hyperlink r:id="rId2221" ref="F2224"/>
    <hyperlink r:id="rId2222" ref="F2225"/>
    <hyperlink r:id="rId2223" ref="F2226"/>
    <hyperlink r:id="rId2224" ref="F2227"/>
    <hyperlink r:id="rId2225" ref="F2228"/>
    <hyperlink r:id="rId2226" ref="F2229"/>
    <hyperlink r:id="rId2227" ref="F2230"/>
    <hyperlink r:id="rId2228" ref="F2231"/>
    <hyperlink r:id="rId2229" ref="F2232"/>
    <hyperlink r:id="rId2230" ref="F2233"/>
    <hyperlink r:id="rId2231" ref="F2234"/>
    <hyperlink r:id="rId2232" ref="F2235"/>
    <hyperlink r:id="rId2233" ref="F2236"/>
    <hyperlink r:id="rId2234" ref="F2237"/>
    <hyperlink r:id="rId2235" ref="F2238"/>
    <hyperlink r:id="rId2236" ref="F2239"/>
    <hyperlink r:id="rId2237" ref="F2240"/>
    <hyperlink r:id="rId2238" ref="F2241"/>
    <hyperlink r:id="rId2239" ref="F2242"/>
    <hyperlink r:id="rId2240" ref="F2243"/>
    <hyperlink r:id="rId2241" ref="F2244"/>
    <hyperlink r:id="rId2242" ref="F2245"/>
    <hyperlink r:id="rId2243" ref="F2246"/>
    <hyperlink r:id="rId2244" ref="F2247"/>
    <hyperlink r:id="rId2245" ref="F2248"/>
    <hyperlink r:id="rId2246" ref="F2249"/>
    <hyperlink r:id="rId2247" ref="F2250"/>
    <hyperlink r:id="rId2248" ref="F2251"/>
    <hyperlink r:id="rId2249" ref="F2252"/>
    <hyperlink r:id="rId2250" ref="F2253"/>
    <hyperlink r:id="rId2251" ref="F2254"/>
    <hyperlink r:id="rId2252" ref="F2255"/>
    <hyperlink r:id="rId2253" ref="F2256"/>
    <hyperlink r:id="rId2254" ref="F2257"/>
    <hyperlink r:id="rId2255" ref="F2258"/>
    <hyperlink r:id="rId2256" ref="F2259"/>
    <hyperlink r:id="rId2257" ref="F2260"/>
    <hyperlink r:id="rId2258" ref="F2261"/>
    <hyperlink r:id="rId2259" ref="F2262"/>
    <hyperlink r:id="rId2260" ref="F2263"/>
    <hyperlink r:id="rId2261" ref="F2264"/>
    <hyperlink r:id="rId2262" ref="F2265"/>
    <hyperlink r:id="rId2263" ref="F2266"/>
    <hyperlink r:id="rId2264" ref="F2267"/>
    <hyperlink r:id="rId2265" ref="F2268"/>
    <hyperlink r:id="rId2266" ref="F2269"/>
    <hyperlink r:id="rId2267" ref="F2270"/>
    <hyperlink r:id="rId2268" ref="F2271"/>
    <hyperlink r:id="rId2269" ref="F2272"/>
    <hyperlink r:id="rId2270" ref="F2273"/>
    <hyperlink r:id="rId2271" ref="F2274"/>
    <hyperlink r:id="rId2272" ref="F2275"/>
    <hyperlink r:id="rId2273" ref="F2276"/>
    <hyperlink r:id="rId2274" ref="F2277"/>
    <hyperlink r:id="rId2275" ref="F2278"/>
    <hyperlink r:id="rId2276" ref="F2279"/>
    <hyperlink r:id="rId2277" ref="F2280"/>
    <hyperlink r:id="rId2278" ref="F2281"/>
    <hyperlink r:id="rId2279" ref="F2282"/>
    <hyperlink r:id="rId2280" ref="F2283"/>
    <hyperlink r:id="rId2281" ref="F2284"/>
    <hyperlink r:id="rId2282" ref="F2285"/>
    <hyperlink r:id="rId2283" ref="F2286"/>
    <hyperlink r:id="rId2284" ref="F2287"/>
    <hyperlink r:id="rId2285" ref="F2288"/>
    <hyperlink r:id="rId2286" ref="F2289"/>
    <hyperlink r:id="rId2287" ref="F2290"/>
    <hyperlink r:id="rId2288" ref="F2291"/>
    <hyperlink r:id="rId2289" ref="F2292"/>
    <hyperlink r:id="rId2290" ref="F2293"/>
    <hyperlink r:id="rId2291" ref="F2294"/>
    <hyperlink r:id="rId2292" ref="F2295"/>
    <hyperlink r:id="rId2293" ref="F2296"/>
    <hyperlink r:id="rId2294" ref="F2297"/>
    <hyperlink r:id="rId2295" ref="F2298"/>
    <hyperlink r:id="rId2296" ref="F2299"/>
    <hyperlink r:id="rId2297" ref="F2300"/>
    <hyperlink r:id="rId2298" ref="F2301"/>
    <hyperlink r:id="rId2299" ref="F2302"/>
    <hyperlink r:id="rId2300" ref="F2303"/>
    <hyperlink r:id="rId2301" ref="F2304"/>
    <hyperlink r:id="rId2302" ref="F2305"/>
    <hyperlink r:id="rId2303" ref="F2306"/>
    <hyperlink r:id="rId2304" ref="F2307"/>
    <hyperlink r:id="rId2305" ref="F2308"/>
    <hyperlink r:id="rId2306" ref="F2309"/>
    <hyperlink r:id="rId2307" ref="F2310"/>
    <hyperlink r:id="rId2308" ref="F2311"/>
    <hyperlink r:id="rId2309" ref="F2312"/>
    <hyperlink r:id="rId2310" ref="F2313"/>
    <hyperlink r:id="rId2311" ref="F2314"/>
    <hyperlink r:id="rId2312" ref="F2315"/>
    <hyperlink r:id="rId2313" ref="F2316"/>
    <hyperlink r:id="rId2314" ref="F2317"/>
    <hyperlink r:id="rId2315" ref="F2318"/>
    <hyperlink r:id="rId2316" ref="F2319"/>
    <hyperlink r:id="rId2317" ref="F2320"/>
    <hyperlink r:id="rId2318" ref="F2321"/>
    <hyperlink r:id="rId2319" ref="F2322"/>
    <hyperlink r:id="rId2320" ref="F2323"/>
    <hyperlink r:id="rId2321" ref="F2324"/>
    <hyperlink r:id="rId2322" ref="F2325"/>
    <hyperlink r:id="rId2323" ref="F2326"/>
    <hyperlink r:id="rId2324" ref="F2327"/>
    <hyperlink r:id="rId2325" ref="F2328"/>
    <hyperlink r:id="rId2326" ref="F2329"/>
    <hyperlink r:id="rId2327" ref="F2330"/>
    <hyperlink r:id="rId2328" ref="F2331"/>
    <hyperlink r:id="rId2329" ref="F2332"/>
    <hyperlink r:id="rId2330" ref="F2333"/>
    <hyperlink r:id="rId2331" ref="F2334"/>
    <hyperlink r:id="rId2332" ref="F2335"/>
    <hyperlink r:id="rId2333" ref="F2336"/>
    <hyperlink r:id="rId2334" ref="F2337"/>
    <hyperlink r:id="rId2335" ref="F2338"/>
    <hyperlink r:id="rId2336" ref="F2339"/>
    <hyperlink r:id="rId2337" ref="F2340"/>
    <hyperlink r:id="rId2338" ref="F2341"/>
    <hyperlink r:id="rId2339" ref="F2342"/>
    <hyperlink r:id="rId2340" ref="F2343"/>
    <hyperlink r:id="rId2341" ref="F2344"/>
    <hyperlink r:id="rId2342" ref="F2345"/>
    <hyperlink r:id="rId2343" ref="F2346"/>
    <hyperlink r:id="rId2344" ref="F2347"/>
    <hyperlink r:id="rId2345" ref="F2348"/>
    <hyperlink r:id="rId2346" ref="F2349"/>
    <hyperlink r:id="rId2347" ref="F2350"/>
    <hyperlink r:id="rId2348" ref="F2351"/>
    <hyperlink r:id="rId2349" ref="F2352"/>
    <hyperlink r:id="rId2350" ref="F2353"/>
    <hyperlink r:id="rId2351" ref="F2354"/>
    <hyperlink r:id="rId2352" ref="F2355"/>
    <hyperlink r:id="rId2353" ref="F2356"/>
    <hyperlink r:id="rId2354" ref="F2357"/>
    <hyperlink r:id="rId2355" ref="F2358"/>
    <hyperlink r:id="rId2356" ref="F2359"/>
    <hyperlink r:id="rId2357" ref="F2360"/>
    <hyperlink r:id="rId2358" ref="F2361"/>
    <hyperlink r:id="rId2359" ref="F2362"/>
    <hyperlink r:id="rId2360" ref="F2363"/>
    <hyperlink r:id="rId2361" ref="F2364"/>
    <hyperlink r:id="rId2362" ref="F2365"/>
    <hyperlink r:id="rId2363" ref="F2366"/>
    <hyperlink r:id="rId2364" ref="F2367"/>
    <hyperlink r:id="rId2365" ref="F2368"/>
    <hyperlink r:id="rId2366" ref="F2369"/>
    <hyperlink r:id="rId2367" ref="F2370"/>
    <hyperlink r:id="rId2368" ref="F2371"/>
    <hyperlink r:id="rId2369" ref="F2372"/>
    <hyperlink r:id="rId2370" ref="F2373"/>
    <hyperlink r:id="rId2371" ref="F2374"/>
    <hyperlink r:id="rId2372" ref="F2375"/>
    <hyperlink r:id="rId2373" ref="F2376"/>
    <hyperlink r:id="rId2374" ref="F2377"/>
    <hyperlink r:id="rId2375" ref="F2378"/>
    <hyperlink r:id="rId2376" ref="F2379"/>
    <hyperlink r:id="rId2377" ref="F2380"/>
    <hyperlink r:id="rId2378" ref="F2381"/>
    <hyperlink r:id="rId2379" ref="F2382"/>
    <hyperlink r:id="rId2380" ref="F2383"/>
    <hyperlink r:id="rId2381" ref="F2384"/>
    <hyperlink r:id="rId2382" ref="F2385"/>
    <hyperlink r:id="rId2383" ref="F2386"/>
    <hyperlink r:id="rId2384" ref="F2387"/>
    <hyperlink r:id="rId2385" ref="F2388"/>
    <hyperlink r:id="rId2386" ref="F2389"/>
    <hyperlink r:id="rId2387" ref="F2390"/>
    <hyperlink r:id="rId2388" ref="F2391"/>
    <hyperlink r:id="rId2389" ref="F2392"/>
    <hyperlink r:id="rId2390" ref="F2393"/>
    <hyperlink r:id="rId2391" ref="F2394"/>
    <hyperlink r:id="rId2392" ref="F2395"/>
    <hyperlink r:id="rId2393" ref="F2396"/>
    <hyperlink r:id="rId2394" ref="F2397"/>
    <hyperlink r:id="rId2395" ref="F2398"/>
    <hyperlink r:id="rId2396" ref="F2399"/>
    <hyperlink r:id="rId2397" ref="F2400"/>
    <hyperlink r:id="rId2398" ref="F2401"/>
    <hyperlink r:id="rId2399" ref="F2402"/>
    <hyperlink r:id="rId2400" ref="F2403"/>
    <hyperlink r:id="rId2401" ref="F2404"/>
    <hyperlink r:id="rId2402" ref="F2405"/>
    <hyperlink r:id="rId2403" ref="F2406"/>
    <hyperlink r:id="rId2404" ref="F2407"/>
    <hyperlink r:id="rId2405" ref="F2408"/>
    <hyperlink r:id="rId2406" ref="F2409"/>
    <hyperlink r:id="rId2407" ref="F2410"/>
    <hyperlink r:id="rId2408" ref="F2411"/>
    <hyperlink r:id="rId2409" ref="F2412"/>
    <hyperlink r:id="rId2410" ref="F2413"/>
    <hyperlink r:id="rId2411" ref="F2414"/>
    <hyperlink r:id="rId2412" ref="F2415"/>
    <hyperlink r:id="rId2413" ref="F2416"/>
    <hyperlink r:id="rId2414" ref="F2417"/>
    <hyperlink r:id="rId2415" ref="F2418"/>
    <hyperlink r:id="rId2416" ref="F2419"/>
    <hyperlink r:id="rId2417" ref="F2420"/>
    <hyperlink r:id="rId2418" ref="F2421"/>
    <hyperlink r:id="rId2419" ref="F2422"/>
    <hyperlink r:id="rId2420" ref="F2423"/>
    <hyperlink r:id="rId2421" ref="F2424"/>
    <hyperlink r:id="rId2422" ref="F2425"/>
    <hyperlink r:id="rId2423" ref="F2426"/>
    <hyperlink r:id="rId2424" ref="F2427"/>
    <hyperlink r:id="rId2425" ref="F2428"/>
    <hyperlink r:id="rId2426" ref="F2429"/>
    <hyperlink r:id="rId2427" ref="F2430"/>
    <hyperlink r:id="rId2428" ref="F2431"/>
    <hyperlink r:id="rId2429" ref="F2432"/>
    <hyperlink r:id="rId2430" ref="F2433"/>
    <hyperlink r:id="rId2431" ref="F2434"/>
    <hyperlink r:id="rId2432" ref="F2435"/>
    <hyperlink r:id="rId2433" ref="F2436"/>
    <hyperlink r:id="rId2434" ref="F2437"/>
    <hyperlink r:id="rId2435" ref="F2438"/>
    <hyperlink r:id="rId2436" ref="F2439"/>
    <hyperlink r:id="rId2437" ref="F2440"/>
    <hyperlink r:id="rId2438" ref="F2441"/>
    <hyperlink r:id="rId2439" ref="F2442"/>
    <hyperlink r:id="rId2440" ref="F2443"/>
    <hyperlink r:id="rId2441" ref="F2444"/>
    <hyperlink r:id="rId2442" ref="F2445"/>
    <hyperlink r:id="rId2443" ref="F2446"/>
    <hyperlink r:id="rId2444" ref="F2447"/>
    <hyperlink r:id="rId2445" ref="F2448"/>
    <hyperlink r:id="rId2446" ref="F2449"/>
    <hyperlink r:id="rId2447" ref="F2450"/>
    <hyperlink r:id="rId2448" ref="F2451"/>
    <hyperlink r:id="rId2449" ref="F2452"/>
    <hyperlink r:id="rId2450" ref="F2453"/>
    <hyperlink r:id="rId2451" ref="F2454"/>
    <hyperlink r:id="rId2452" ref="F2455"/>
    <hyperlink r:id="rId2453" ref="F2456"/>
    <hyperlink r:id="rId2454" ref="F2457"/>
    <hyperlink r:id="rId2455" ref="F2458"/>
    <hyperlink r:id="rId2456" ref="F2459"/>
    <hyperlink r:id="rId2457" ref="F2460"/>
    <hyperlink r:id="rId2458" ref="F2461"/>
    <hyperlink r:id="rId2459" ref="F2462"/>
    <hyperlink r:id="rId2460" ref="F2463"/>
    <hyperlink r:id="rId2461" ref="F2464"/>
    <hyperlink r:id="rId2462" ref="F2465"/>
    <hyperlink r:id="rId2463" ref="F2466"/>
    <hyperlink r:id="rId2464" ref="F2467"/>
    <hyperlink r:id="rId2465" ref="F2468"/>
    <hyperlink r:id="rId2466" ref="F2469"/>
    <hyperlink r:id="rId2467" ref="F2470"/>
    <hyperlink r:id="rId2468" ref="F2471"/>
    <hyperlink r:id="rId2469" ref="F2472"/>
    <hyperlink r:id="rId2470" ref="F2473"/>
    <hyperlink r:id="rId2471" ref="F2474"/>
    <hyperlink r:id="rId2472" ref="F2475"/>
    <hyperlink r:id="rId2473" ref="F2476"/>
    <hyperlink r:id="rId2474" ref="F2477"/>
    <hyperlink r:id="rId2475" ref="F2478"/>
    <hyperlink r:id="rId2476" ref="F2479"/>
    <hyperlink r:id="rId2477" ref="F2480"/>
    <hyperlink r:id="rId2478" ref="F2481"/>
    <hyperlink r:id="rId2479" ref="F2482"/>
    <hyperlink r:id="rId2480" ref="F2483"/>
    <hyperlink r:id="rId2481" ref="F2484"/>
    <hyperlink r:id="rId2482" ref="F2485"/>
    <hyperlink r:id="rId2483" ref="F2486"/>
    <hyperlink r:id="rId2484" ref="F2487"/>
    <hyperlink r:id="rId2485" ref="F2488"/>
    <hyperlink r:id="rId2486" ref="F2489"/>
    <hyperlink r:id="rId2487" ref="F2490"/>
    <hyperlink r:id="rId2488" ref="F2491"/>
    <hyperlink r:id="rId2489" ref="F2492"/>
    <hyperlink r:id="rId2490" ref="F2493"/>
    <hyperlink r:id="rId2491" ref="F2494"/>
    <hyperlink r:id="rId2492" ref="F2495"/>
    <hyperlink r:id="rId2493" ref="F2496"/>
    <hyperlink r:id="rId2494" ref="F2497"/>
    <hyperlink r:id="rId2495" ref="F2498"/>
    <hyperlink r:id="rId2496" ref="F2499"/>
    <hyperlink r:id="rId2497" ref="F2500"/>
    <hyperlink r:id="rId2498" ref="F2501"/>
    <hyperlink r:id="rId2499" ref="F2502"/>
    <hyperlink r:id="rId2500" ref="F2503"/>
    <hyperlink r:id="rId2501" ref="F2504"/>
    <hyperlink r:id="rId2502" ref="F2505"/>
    <hyperlink r:id="rId2503" ref="F2506"/>
    <hyperlink r:id="rId2504" ref="F2507"/>
    <hyperlink r:id="rId2505" ref="F2508"/>
    <hyperlink r:id="rId2506" ref="F2509"/>
    <hyperlink r:id="rId2507" ref="F2510"/>
    <hyperlink r:id="rId2508" ref="F2511"/>
    <hyperlink r:id="rId2509" ref="F2512"/>
    <hyperlink r:id="rId2510" ref="F2513"/>
    <hyperlink r:id="rId2511" ref="F2514"/>
    <hyperlink r:id="rId2512" ref="F2515"/>
    <hyperlink r:id="rId2513" ref="F2516"/>
    <hyperlink r:id="rId2514" ref="F2517"/>
    <hyperlink r:id="rId2515" ref="F2518"/>
    <hyperlink r:id="rId2516" ref="F2519"/>
    <hyperlink r:id="rId2517" ref="F2520"/>
    <hyperlink r:id="rId2518" ref="F2521"/>
    <hyperlink r:id="rId2519" ref="F2522"/>
    <hyperlink r:id="rId2520" ref="F2523"/>
    <hyperlink r:id="rId2521" ref="F2524"/>
    <hyperlink r:id="rId2522" ref="F2525"/>
    <hyperlink r:id="rId2523" ref="F2526"/>
    <hyperlink r:id="rId2524" ref="F2527"/>
    <hyperlink r:id="rId2525" ref="F2528"/>
    <hyperlink r:id="rId2526" ref="F2529"/>
    <hyperlink r:id="rId2527" ref="F2530"/>
    <hyperlink r:id="rId2528" ref="F2531"/>
    <hyperlink r:id="rId2529" ref="F2532"/>
    <hyperlink r:id="rId2530" ref="F2533"/>
    <hyperlink r:id="rId2531" ref="F2534"/>
    <hyperlink r:id="rId2532" ref="F2535"/>
    <hyperlink r:id="rId2533" ref="F2536"/>
    <hyperlink r:id="rId2534" ref="F2537"/>
    <hyperlink r:id="rId2535" ref="F2538"/>
    <hyperlink r:id="rId2536" ref="F2539"/>
    <hyperlink r:id="rId2537" ref="F2540"/>
    <hyperlink r:id="rId2538" ref="F2541"/>
    <hyperlink r:id="rId2539" ref="F2542"/>
    <hyperlink r:id="rId2540" ref="F2543"/>
    <hyperlink r:id="rId2541" ref="F2544"/>
    <hyperlink r:id="rId2542" ref="F2545"/>
    <hyperlink r:id="rId2543" ref="F2546"/>
    <hyperlink r:id="rId2544" ref="F2547"/>
    <hyperlink r:id="rId2545" ref="F2548"/>
    <hyperlink r:id="rId2546" ref="F2549"/>
    <hyperlink r:id="rId2547" ref="F2550"/>
    <hyperlink r:id="rId2548" ref="F2551"/>
    <hyperlink r:id="rId2549" ref="F2552"/>
    <hyperlink r:id="rId2550" ref="F2553"/>
    <hyperlink r:id="rId2551" ref="F2554"/>
    <hyperlink r:id="rId2552" ref="F2555"/>
    <hyperlink r:id="rId2553" ref="F2556"/>
    <hyperlink r:id="rId2554" ref="F2557"/>
    <hyperlink r:id="rId2555" ref="F2558"/>
    <hyperlink r:id="rId2556" ref="F2559"/>
    <hyperlink r:id="rId2557" ref="F2560"/>
    <hyperlink r:id="rId2558" ref="F2561"/>
    <hyperlink r:id="rId2559" ref="F2562"/>
    <hyperlink r:id="rId2560" ref="F2563"/>
    <hyperlink r:id="rId2561" ref="F2564"/>
    <hyperlink r:id="rId2562" ref="F2565"/>
    <hyperlink r:id="rId2563" ref="F2566"/>
    <hyperlink r:id="rId2564" ref="F2567"/>
    <hyperlink r:id="rId2565" ref="F2568"/>
    <hyperlink r:id="rId2566" ref="F2569"/>
    <hyperlink r:id="rId2567" ref="F2570"/>
    <hyperlink r:id="rId2568" ref="F2571"/>
    <hyperlink r:id="rId2569" ref="F2572"/>
    <hyperlink r:id="rId2570" ref="F2573"/>
    <hyperlink r:id="rId2571" ref="F2574"/>
    <hyperlink r:id="rId2572" ref="F2575"/>
    <hyperlink r:id="rId2573" ref="F2576"/>
    <hyperlink r:id="rId2574" ref="F2577"/>
    <hyperlink r:id="rId2575" ref="F2578"/>
    <hyperlink r:id="rId2576" ref="F2579"/>
    <hyperlink r:id="rId2577" ref="F2580"/>
    <hyperlink r:id="rId2578" ref="F2581"/>
    <hyperlink r:id="rId2579" ref="F2582"/>
    <hyperlink r:id="rId2580" ref="F2583"/>
    <hyperlink r:id="rId2581" ref="F2584"/>
    <hyperlink r:id="rId2582" ref="F2585"/>
    <hyperlink r:id="rId2583" ref="F2586"/>
    <hyperlink r:id="rId2584" ref="F2587"/>
    <hyperlink r:id="rId2585" ref="F2588"/>
    <hyperlink r:id="rId2586" ref="F2589"/>
    <hyperlink r:id="rId2587" ref="F2590"/>
    <hyperlink r:id="rId2588" ref="F2591"/>
    <hyperlink r:id="rId2589" ref="F2592"/>
    <hyperlink r:id="rId2590" ref="F2593"/>
    <hyperlink r:id="rId2591" ref="F2594"/>
    <hyperlink r:id="rId2592" ref="F2595"/>
    <hyperlink r:id="rId2593" ref="F2596"/>
    <hyperlink r:id="rId2594" ref="F2597"/>
    <hyperlink r:id="rId2595" ref="F2598"/>
    <hyperlink r:id="rId2596" ref="F2599"/>
    <hyperlink r:id="rId2597" ref="F2600"/>
    <hyperlink r:id="rId2598" ref="F2601"/>
    <hyperlink r:id="rId2599" ref="F2602"/>
    <hyperlink r:id="rId2600" ref="F2603"/>
    <hyperlink r:id="rId2601" ref="F2604"/>
    <hyperlink r:id="rId2602" ref="F2605"/>
    <hyperlink r:id="rId2603" ref="F2606"/>
    <hyperlink r:id="rId2604" ref="F2607"/>
    <hyperlink r:id="rId2605" ref="F2608"/>
    <hyperlink r:id="rId2606" ref="F2609"/>
    <hyperlink r:id="rId2607" ref="F2610"/>
    <hyperlink r:id="rId2608" ref="F2611"/>
    <hyperlink r:id="rId2609" ref="F2612"/>
    <hyperlink r:id="rId2610" ref="F2613"/>
    <hyperlink r:id="rId2611" ref="F2614"/>
    <hyperlink r:id="rId2612" ref="F2615"/>
    <hyperlink r:id="rId2613" ref="F2616"/>
    <hyperlink r:id="rId2614" ref="F2617"/>
    <hyperlink r:id="rId2615" ref="F2618"/>
    <hyperlink r:id="rId2616" ref="F2619"/>
    <hyperlink r:id="rId2617" ref="F2620"/>
    <hyperlink r:id="rId2618" ref="F2621"/>
    <hyperlink r:id="rId2619" ref="F2622"/>
    <hyperlink r:id="rId2620" ref="F2623"/>
    <hyperlink r:id="rId2621" ref="F2624"/>
    <hyperlink r:id="rId2622" ref="F2625"/>
    <hyperlink r:id="rId2623" ref="F2626"/>
    <hyperlink r:id="rId2624" ref="F2627"/>
    <hyperlink r:id="rId2625" ref="F2628"/>
    <hyperlink r:id="rId2626" ref="F2629"/>
    <hyperlink r:id="rId2627" ref="F2630"/>
    <hyperlink r:id="rId2628" ref="F2631"/>
    <hyperlink r:id="rId2629" ref="F2632"/>
    <hyperlink r:id="rId2630" ref="F2633"/>
    <hyperlink r:id="rId2631" ref="F2634"/>
    <hyperlink r:id="rId2632" ref="F2635"/>
    <hyperlink r:id="rId2633" ref="F2636"/>
    <hyperlink r:id="rId2634" ref="F2637"/>
    <hyperlink r:id="rId2635" ref="F2638"/>
    <hyperlink r:id="rId2636" ref="F2639"/>
    <hyperlink r:id="rId2637" ref="F2640"/>
    <hyperlink r:id="rId2638" ref="F2641"/>
    <hyperlink r:id="rId2639" ref="F2642"/>
    <hyperlink r:id="rId2640" ref="F2643"/>
    <hyperlink r:id="rId2641" ref="F2644"/>
    <hyperlink r:id="rId2642" ref="F2645"/>
    <hyperlink r:id="rId2643" ref="F2646"/>
    <hyperlink r:id="rId2644" ref="F2647"/>
    <hyperlink r:id="rId2645" ref="F2648"/>
    <hyperlink r:id="rId2646" ref="F2649"/>
    <hyperlink r:id="rId2647" ref="F2650"/>
    <hyperlink r:id="rId2648" ref="F2651"/>
    <hyperlink r:id="rId2649" ref="F2652"/>
  </hyperlinks>
  <drawing r:id="rId26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90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105</v>
      </c>
      <c r="G1" s="7" t="s">
        <v>106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4.25"/>
    <col customWidth="1" min="3" max="3" width="10.25"/>
    <col customWidth="1" min="4" max="4" width="8.38"/>
    <col customWidth="1" min="5" max="5" width="18.38"/>
    <col customWidth="1" min="6" max="6" width="64.25"/>
    <col customWidth="1" min="7" max="7" width="6.88"/>
    <col customWidth="1" min="8" max="8" width="10.13"/>
  </cols>
  <sheetData>
    <row r="1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8" t="s">
        <v>112</v>
      </c>
      <c r="G1" s="3" t="s">
        <v>113</v>
      </c>
      <c r="H1" s="3" t="s">
        <v>114</v>
      </c>
      <c r="I1" s="3" t="s">
        <v>115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9"/>
      <c r="G2" s="3" t="s">
        <v>121</v>
      </c>
      <c r="H2" s="3" t="s">
        <v>122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120</v>
      </c>
      <c r="F3" s="8" t="s">
        <v>127</v>
      </c>
      <c r="G3" s="3" t="s">
        <v>128</v>
      </c>
      <c r="H3" s="3" t="s">
        <v>129</v>
      </c>
      <c r="I3" s="4" t="s">
        <v>130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8" t="s">
        <v>136</v>
      </c>
      <c r="G4" s="3" t="s">
        <v>128</v>
      </c>
      <c r="H4" s="3" t="s">
        <v>122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137</v>
      </c>
      <c r="B5" s="3" t="s">
        <v>138</v>
      </c>
      <c r="C5" s="3" t="s">
        <v>125</v>
      </c>
      <c r="D5" s="3" t="s">
        <v>139</v>
      </c>
      <c r="E5" s="3" t="s">
        <v>140</v>
      </c>
      <c r="F5" s="8" t="s">
        <v>141</v>
      </c>
      <c r="G5" s="3" t="s">
        <v>128</v>
      </c>
      <c r="H5" s="3" t="s">
        <v>142</v>
      </c>
      <c r="I5" s="4" t="s">
        <v>143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144</v>
      </c>
      <c r="B6" s="10" t="s">
        <v>145</v>
      </c>
      <c r="C6" s="10" t="s">
        <v>146</v>
      </c>
      <c r="D6" s="10" t="s">
        <v>134</v>
      </c>
      <c r="E6" s="11"/>
      <c r="F6" s="12"/>
      <c r="G6" s="10" t="s">
        <v>121</v>
      </c>
      <c r="H6" s="10" t="s">
        <v>147</v>
      </c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148</v>
      </c>
      <c r="B7" s="10" t="s">
        <v>149</v>
      </c>
      <c r="C7" s="10" t="s">
        <v>146</v>
      </c>
      <c r="D7" s="10" t="s">
        <v>134</v>
      </c>
      <c r="E7" s="10" t="s">
        <v>150</v>
      </c>
      <c r="F7" s="12"/>
      <c r="G7" s="10" t="s">
        <v>121</v>
      </c>
      <c r="H7" s="10" t="s">
        <v>147</v>
      </c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151</v>
      </c>
      <c r="B8" s="10" t="s">
        <v>152</v>
      </c>
      <c r="C8" s="10" t="s">
        <v>146</v>
      </c>
      <c r="D8" s="10" t="s">
        <v>134</v>
      </c>
      <c r="E8" s="10" t="s">
        <v>120</v>
      </c>
      <c r="F8" s="12"/>
      <c r="G8" s="10" t="s">
        <v>121</v>
      </c>
      <c r="H8" s="10" t="s">
        <v>147</v>
      </c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hyperlinks>
    <hyperlink r:id="rId1" ref="I3"/>
    <hyperlink r:id="rId2" ref="I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153</v>
      </c>
      <c r="B1" s="13" t="s">
        <v>154</v>
      </c>
      <c r="C1" s="13" t="s">
        <v>155</v>
      </c>
      <c r="D1" s="13" t="s">
        <v>156</v>
      </c>
      <c r="E1" s="13" t="s">
        <v>115</v>
      </c>
      <c r="F1" s="13" t="s">
        <v>157</v>
      </c>
    </row>
    <row r="2">
      <c r="A2" s="13" t="s">
        <v>158</v>
      </c>
      <c r="B2" s="13">
        <v>100.0</v>
      </c>
      <c r="C2" s="13" t="s">
        <v>159</v>
      </c>
      <c r="D2" s="13" t="s">
        <v>160</v>
      </c>
      <c r="E2" s="14" t="s">
        <v>161</v>
      </c>
      <c r="F2" s="15">
        <v>46037.71299768519</v>
      </c>
    </row>
    <row r="3">
      <c r="A3" s="13" t="s">
        <v>162</v>
      </c>
      <c r="B3" s="13">
        <v>101.0</v>
      </c>
      <c r="C3" s="13" t="s">
        <v>163</v>
      </c>
      <c r="D3" s="13" t="s">
        <v>160</v>
      </c>
      <c r="E3" s="14" t="s">
        <v>164</v>
      </c>
      <c r="F3" s="15">
        <v>46037.713113425925</v>
      </c>
    </row>
    <row r="4">
      <c r="A4" s="13" t="s">
        <v>165</v>
      </c>
      <c r="B4" s="13">
        <v>102.0</v>
      </c>
      <c r="C4" s="13" t="s">
        <v>166</v>
      </c>
      <c r="D4" s="13" t="s">
        <v>160</v>
      </c>
      <c r="E4" s="14" t="s">
        <v>167</v>
      </c>
      <c r="F4" s="15">
        <v>46037.713229166664</v>
      </c>
    </row>
    <row r="5">
      <c r="A5" s="13" t="s">
        <v>168</v>
      </c>
      <c r="B5" s="13">
        <v>103.0</v>
      </c>
      <c r="C5" s="13" t="s">
        <v>169</v>
      </c>
      <c r="D5" s="13" t="s">
        <v>160</v>
      </c>
      <c r="E5" s="14" t="s">
        <v>170</v>
      </c>
      <c r="F5" s="15">
        <v>46037.71335648148</v>
      </c>
    </row>
    <row r="6">
      <c r="A6" s="13" t="s">
        <v>171</v>
      </c>
      <c r="B6" s="13">
        <v>104.0</v>
      </c>
      <c r="C6" s="13" t="s">
        <v>172</v>
      </c>
      <c r="D6" s="13" t="s">
        <v>160</v>
      </c>
      <c r="E6" s="14" t="s">
        <v>173</v>
      </c>
      <c r="F6" s="15">
        <v>46037.713483796295</v>
      </c>
    </row>
    <row r="7">
      <c r="A7" s="13" t="s">
        <v>174</v>
      </c>
      <c r="B7" s="13">
        <v>105.0</v>
      </c>
      <c r="C7" s="13" t="s">
        <v>175</v>
      </c>
      <c r="D7" s="13" t="s">
        <v>160</v>
      </c>
      <c r="E7" s="14" t="s">
        <v>176</v>
      </c>
      <c r="F7" s="15">
        <v>46037.71366898148</v>
      </c>
    </row>
    <row r="8">
      <c r="A8" s="13" t="s">
        <v>177</v>
      </c>
      <c r="B8" s="13">
        <v>106.0</v>
      </c>
      <c r="C8" s="13" t="s">
        <v>178</v>
      </c>
      <c r="D8" s="13" t="s">
        <v>160</v>
      </c>
      <c r="E8" s="14" t="s">
        <v>179</v>
      </c>
      <c r="F8" s="15">
        <v>46037.713796296295</v>
      </c>
    </row>
    <row r="9">
      <c r="A9" s="13" t="s">
        <v>180</v>
      </c>
      <c r="B9" s="13">
        <v>107.0</v>
      </c>
      <c r="C9" s="13" t="s">
        <v>181</v>
      </c>
      <c r="D9" s="13" t="s">
        <v>160</v>
      </c>
      <c r="E9" s="14" t="s">
        <v>182</v>
      </c>
      <c r="F9" s="15">
        <v>46037.713912037034</v>
      </c>
    </row>
    <row r="10">
      <c r="A10" s="13" t="s">
        <v>183</v>
      </c>
      <c r="B10" s="13">
        <v>109.0</v>
      </c>
      <c r="C10" s="13" t="s">
        <v>184</v>
      </c>
      <c r="D10" s="13" t="s">
        <v>160</v>
      </c>
      <c r="E10" s="14" t="s">
        <v>185</v>
      </c>
      <c r="F10" s="15">
        <v>46037.71403935185</v>
      </c>
    </row>
    <row r="11">
      <c r="A11" s="13" t="s">
        <v>186</v>
      </c>
      <c r="B11" s="13">
        <v>120.0</v>
      </c>
      <c r="C11" s="13" t="s">
        <v>26</v>
      </c>
      <c r="D11" s="13" t="s">
        <v>160</v>
      </c>
      <c r="E11" s="14" t="s">
        <v>187</v>
      </c>
      <c r="F11" s="15">
        <v>46037.714155092595</v>
      </c>
    </row>
    <row r="12">
      <c r="A12" s="13" t="s">
        <v>188</v>
      </c>
      <c r="B12" s="13">
        <v>121.0</v>
      </c>
      <c r="C12" s="13" t="s">
        <v>12</v>
      </c>
      <c r="D12" s="13" t="s">
        <v>160</v>
      </c>
      <c r="E12" s="14" t="s">
        <v>189</v>
      </c>
      <c r="F12" s="15">
        <v>46037.71434027778</v>
      </c>
    </row>
    <row r="13">
      <c r="A13" s="13" t="s">
        <v>190</v>
      </c>
      <c r="B13" s="13">
        <v>123.0</v>
      </c>
      <c r="C13" s="13" t="s">
        <v>18</v>
      </c>
      <c r="D13" s="13" t="s">
        <v>160</v>
      </c>
      <c r="E13" s="14" t="s">
        <v>191</v>
      </c>
      <c r="F13" s="15">
        <v>46037.71449074074</v>
      </c>
    </row>
    <row r="14">
      <c r="A14" s="13" t="s">
        <v>192</v>
      </c>
      <c r="B14" s="13">
        <v>23.0</v>
      </c>
      <c r="C14" s="13" t="s">
        <v>193</v>
      </c>
      <c r="D14" s="13" t="s">
        <v>160</v>
      </c>
      <c r="E14" s="14" t="s">
        <v>194</v>
      </c>
      <c r="F14" s="15">
        <v>46037.71460648148</v>
      </c>
    </row>
    <row r="15">
      <c r="A15" s="13" t="s">
        <v>195</v>
      </c>
      <c r="B15" s="13">
        <v>24.0</v>
      </c>
      <c r="C15" s="13" t="s">
        <v>196</v>
      </c>
      <c r="D15" s="13" t="s">
        <v>160</v>
      </c>
      <c r="E15" s="14" t="s">
        <v>197</v>
      </c>
      <c r="F15" s="15">
        <v>46037.714733796296</v>
      </c>
    </row>
    <row r="16">
      <c r="A16" s="13" t="s">
        <v>198</v>
      </c>
      <c r="B16" s="13">
        <v>29.0</v>
      </c>
      <c r="C16" s="13" t="s">
        <v>199</v>
      </c>
      <c r="D16" s="13" t="s">
        <v>160</v>
      </c>
      <c r="E16" s="14" t="s">
        <v>200</v>
      </c>
      <c r="F16" s="15">
        <v>46037.714849537035</v>
      </c>
    </row>
    <row r="17">
      <c r="A17" s="13" t="s">
        <v>201</v>
      </c>
      <c r="B17" s="13">
        <v>32.0</v>
      </c>
      <c r="C17" s="13" t="s">
        <v>202</v>
      </c>
      <c r="D17" s="13" t="s">
        <v>160</v>
      </c>
      <c r="E17" s="14" t="s">
        <v>203</v>
      </c>
      <c r="F17" s="15">
        <v>46037.71506944444</v>
      </c>
    </row>
    <row r="18">
      <c r="A18" s="13" t="s">
        <v>204</v>
      </c>
      <c r="B18" s="13">
        <v>40.0</v>
      </c>
      <c r="C18" s="13" t="s">
        <v>205</v>
      </c>
      <c r="D18" s="13" t="s">
        <v>160</v>
      </c>
      <c r="E18" s="14" t="s">
        <v>206</v>
      </c>
      <c r="F18" s="15">
        <v>46037.71519675926</v>
      </c>
    </row>
    <row r="19">
      <c r="A19" s="13" t="s">
        <v>207</v>
      </c>
      <c r="B19" s="13">
        <v>41.0</v>
      </c>
      <c r="C19" s="13" t="s">
        <v>208</v>
      </c>
      <c r="D19" s="13" t="s">
        <v>160</v>
      </c>
      <c r="E19" s="14" t="s">
        <v>209</v>
      </c>
      <c r="F19" s="15">
        <v>46037.71532407407</v>
      </c>
    </row>
    <row r="20">
      <c r="A20" s="13" t="s">
        <v>210</v>
      </c>
      <c r="B20" s="13">
        <v>42.0</v>
      </c>
      <c r="C20" s="13" t="s">
        <v>211</v>
      </c>
      <c r="D20" s="13" t="s">
        <v>160</v>
      </c>
      <c r="E20" s="14" t="s">
        <v>212</v>
      </c>
      <c r="F20" s="15">
        <v>46037.71543981481</v>
      </c>
    </row>
    <row r="21">
      <c r="A21" s="13" t="s">
        <v>213</v>
      </c>
      <c r="B21" s="13">
        <v>45.0</v>
      </c>
      <c r="C21" s="13" t="s">
        <v>214</v>
      </c>
      <c r="D21" s="13" t="s">
        <v>160</v>
      </c>
      <c r="E21" s="14" t="s">
        <v>215</v>
      </c>
      <c r="F21" s="15">
        <v>46037.71555555556</v>
      </c>
    </row>
    <row r="22">
      <c r="A22" s="13" t="s">
        <v>216</v>
      </c>
      <c r="B22" s="13">
        <v>60.0</v>
      </c>
      <c r="C22" s="13" t="s">
        <v>34</v>
      </c>
      <c r="D22" s="13" t="s">
        <v>160</v>
      </c>
      <c r="E22" s="14" t="s">
        <v>217</v>
      </c>
      <c r="F22" s="15">
        <v>46037.71575231481</v>
      </c>
    </row>
    <row r="23">
      <c r="A23" s="13" t="s">
        <v>218</v>
      </c>
      <c r="B23" s="13">
        <v>62.0</v>
      </c>
      <c r="C23" s="13" t="s">
        <v>219</v>
      </c>
      <c r="D23" s="13" t="s">
        <v>160</v>
      </c>
      <c r="E23" s="14" t="s">
        <v>220</v>
      </c>
      <c r="F23" s="15">
        <v>46037.71586805556</v>
      </c>
    </row>
    <row r="24">
      <c r="A24" s="13" t="s">
        <v>221</v>
      </c>
      <c r="B24" s="13">
        <v>64.0</v>
      </c>
      <c r="C24" s="13" t="s">
        <v>222</v>
      </c>
      <c r="D24" s="13" t="s">
        <v>160</v>
      </c>
      <c r="E24" s="14" t="s">
        <v>223</v>
      </c>
      <c r="F24" s="15">
        <v>46037.7159837963</v>
      </c>
    </row>
    <row r="25">
      <c r="A25" s="13" t="s">
        <v>224</v>
      </c>
      <c r="B25" s="13">
        <v>66.0</v>
      </c>
      <c r="C25" s="13" t="s">
        <v>225</v>
      </c>
      <c r="D25" s="13" t="s">
        <v>160</v>
      </c>
      <c r="E25" s="14" t="s">
        <v>226</v>
      </c>
      <c r="F25" s="15">
        <v>46037.716099537036</v>
      </c>
    </row>
    <row r="26">
      <c r="A26" s="13" t="s">
        <v>227</v>
      </c>
      <c r="B26" s="13">
        <v>67.0</v>
      </c>
      <c r="C26" s="13" t="s">
        <v>228</v>
      </c>
      <c r="D26" s="13" t="s">
        <v>160</v>
      </c>
      <c r="E26" s="14" t="s">
        <v>229</v>
      </c>
      <c r="F26" s="15">
        <v>46037.716215277775</v>
      </c>
    </row>
    <row r="27">
      <c r="A27" s="13" t="s">
        <v>230</v>
      </c>
      <c r="B27" s="13">
        <v>68.0</v>
      </c>
      <c r="C27" s="13" t="s">
        <v>231</v>
      </c>
      <c r="D27" s="13" t="s">
        <v>160</v>
      </c>
      <c r="E27" s="14" t="s">
        <v>232</v>
      </c>
      <c r="F27" s="15">
        <v>46037.716412037036</v>
      </c>
    </row>
    <row r="28">
      <c r="A28" s="13" t="s">
        <v>233</v>
      </c>
      <c r="B28" s="13">
        <v>71.0</v>
      </c>
      <c r="C28" s="13" t="s">
        <v>234</v>
      </c>
      <c r="D28" s="13" t="s">
        <v>160</v>
      </c>
      <c r="E28" s="14" t="s">
        <v>235</v>
      </c>
      <c r="F28" s="15">
        <v>46037.716516203705</v>
      </c>
    </row>
    <row r="29">
      <c r="A29" s="13" t="s">
        <v>236</v>
      </c>
      <c r="B29" s="13">
        <v>73.0</v>
      </c>
      <c r="C29" s="13" t="s">
        <v>237</v>
      </c>
      <c r="D29" s="13" t="s">
        <v>160</v>
      </c>
      <c r="E29" s="14" t="s">
        <v>238</v>
      </c>
      <c r="F29" s="15">
        <v>46037.71664351852</v>
      </c>
    </row>
    <row r="30">
      <c r="A30" s="13" t="s">
        <v>239</v>
      </c>
      <c r="B30" s="13">
        <v>74.0</v>
      </c>
      <c r="C30" s="13" t="s">
        <v>240</v>
      </c>
      <c r="D30" s="13" t="s">
        <v>160</v>
      </c>
      <c r="E30" s="14" t="s">
        <v>241</v>
      </c>
      <c r="F30" s="15">
        <v>46037.71675925926</v>
      </c>
    </row>
    <row r="31">
      <c r="A31" s="13" t="s">
        <v>242</v>
      </c>
      <c r="B31" s="13">
        <v>76.0</v>
      </c>
      <c r="C31" s="13" t="s">
        <v>243</v>
      </c>
      <c r="D31" s="13" t="s">
        <v>160</v>
      </c>
      <c r="E31" s="14" t="s">
        <v>244</v>
      </c>
      <c r="F31" s="15">
        <v>46037.716875</v>
      </c>
    </row>
    <row r="32">
      <c r="A32" s="13" t="s">
        <v>245</v>
      </c>
      <c r="B32" s="13">
        <v>77.0</v>
      </c>
      <c r="C32" s="13" t="s">
        <v>246</v>
      </c>
      <c r="D32" s="13" t="s">
        <v>160</v>
      </c>
      <c r="E32" s="14" t="s">
        <v>247</v>
      </c>
      <c r="F32" s="15">
        <v>46037.71706018518</v>
      </c>
    </row>
    <row r="33">
      <c r="A33" s="13" t="s">
        <v>248</v>
      </c>
      <c r="B33" s="13">
        <v>78.0</v>
      </c>
      <c r="C33" s="13" t="s">
        <v>249</v>
      </c>
      <c r="D33" s="13" t="s">
        <v>160</v>
      </c>
      <c r="E33" s="14" t="s">
        <v>250</v>
      </c>
      <c r="F33" s="15">
        <v>46037.71717592593</v>
      </c>
    </row>
    <row r="34">
      <c r="A34" s="13" t="s">
        <v>251</v>
      </c>
      <c r="B34" s="13">
        <v>79.0</v>
      </c>
      <c r="C34" s="13" t="s">
        <v>252</v>
      </c>
      <c r="D34" s="13" t="s">
        <v>160</v>
      </c>
      <c r="E34" s="14" t="s">
        <v>253</v>
      </c>
      <c r="F34" s="15">
        <v>46037.71730324074</v>
      </c>
    </row>
    <row r="35">
      <c r="A35" s="13" t="s">
        <v>254</v>
      </c>
      <c r="B35" s="13">
        <v>80.0</v>
      </c>
      <c r="C35" s="13" t="s">
        <v>255</v>
      </c>
      <c r="D35" s="13" t="s">
        <v>160</v>
      </c>
      <c r="E35" s="14" t="s">
        <v>256</v>
      </c>
      <c r="F35" s="15">
        <v>46037.71743055555</v>
      </c>
    </row>
    <row r="36">
      <c r="A36" s="13" t="s">
        <v>257</v>
      </c>
      <c r="B36" s="13">
        <v>82.0</v>
      </c>
      <c r="C36" s="13" t="s">
        <v>258</v>
      </c>
      <c r="D36" s="13" t="s">
        <v>160</v>
      </c>
      <c r="E36" s="14" t="s">
        <v>259</v>
      </c>
      <c r="F36" s="15">
        <v>46037.7175462963</v>
      </c>
    </row>
    <row r="37">
      <c r="A37" s="13" t="s">
        <v>260</v>
      </c>
      <c r="B37" s="13">
        <v>84.0</v>
      </c>
      <c r="C37" s="13" t="s">
        <v>261</v>
      </c>
      <c r="D37" s="13" t="s">
        <v>160</v>
      </c>
      <c r="E37" s="14" t="s">
        <v>262</v>
      </c>
      <c r="F37" s="15">
        <v>46037.71776620371</v>
      </c>
    </row>
    <row r="38">
      <c r="A38" s="13" t="s">
        <v>263</v>
      </c>
      <c r="B38" s="13">
        <v>87.0</v>
      </c>
      <c r="C38" s="13" t="s">
        <v>264</v>
      </c>
      <c r="D38" s="13" t="s">
        <v>160</v>
      </c>
      <c r="E38" s="14" t="s">
        <v>265</v>
      </c>
      <c r="F38" s="15">
        <v>46037.71789351852</v>
      </c>
    </row>
    <row r="39">
      <c r="A39" s="13" t="s">
        <v>266</v>
      </c>
      <c r="B39" s="13">
        <v>89.0</v>
      </c>
      <c r="C39" s="13" t="s">
        <v>267</v>
      </c>
      <c r="D39" s="13" t="s">
        <v>160</v>
      </c>
      <c r="E39" s="14" t="s">
        <v>268</v>
      </c>
      <c r="F39" s="15">
        <v>46037.71802083333</v>
      </c>
    </row>
    <row r="40">
      <c r="A40" s="13" t="s">
        <v>269</v>
      </c>
      <c r="B40" s="13">
        <v>90.0</v>
      </c>
      <c r="C40" s="13" t="s">
        <v>270</v>
      </c>
      <c r="D40" s="13" t="s">
        <v>160</v>
      </c>
      <c r="E40" s="14" t="s">
        <v>271</v>
      </c>
      <c r="F40" s="15">
        <v>46037.718148148146</v>
      </c>
    </row>
    <row r="41">
      <c r="A41" s="13" t="s">
        <v>272</v>
      </c>
      <c r="B41" s="13">
        <v>92.0</v>
      </c>
      <c r="C41" s="13" t="s">
        <v>273</v>
      </c>
      <c r="D41" s="13" t="s">
        <v>160</v>
      </c>
      <c r="E41" s="14" t="s">
        <v>274</v>
      </c>
      <c r="F41" s="15">
        <v>46037.718310185184</v>
      </c>
    </row>
    <row r="42">
      <c r="A42" s="13" t="s">
        <v>275</v>
      </c>
      <c r="B42" s="13">
        <v>93.0</v>
      </c>
      <c r="C42" s="13" t="s">
        <v>276</v>
      </c>
      <c r="D42" s="13" t="s">
        <v>160</v>
      </c>
      <c r="E42" s="14" t="s">
        <v>277</v>
      </c>
      <c r="F42" s="15">
        <v>46037.71849537037</v>
      </c>
    </row>
    <row r="43">
      <c r="A43" s="13" t="s">
        <v>278</v>
      </c>
      <c r="B43" s="13">
        <v>97.0</v>
      </c>
      <c r="C43" s="13" t="s">
        <v>279</v>
      </c>
      <c r="D43" s="13" t="s">
        <v>160</v>
      </c>
      <c r="E43" s="14" t="s">
        <v>280</v>
      </c>
      <c r="F43" s="15">
        <v>46037.71861111111</v>
      </c>
    </row>
    <row r="44">
      <c r="A44" s="13" t="s">
        <v>281</v>
      </c>
      <c r="B44" s="13">
        <v>98.0</v>
      </c>
      <c r="C44" s="13" t="s">
        <v>282</v>
      </c>
      <c r="D44" s="13" t="s">
        <v>160</v>
      </c>
      <c r="E44" s="14" t="s">
        <v>283</v>
      </c>
      <c r="F44" s="15">
        <v>46037.718726851854</v>
      </c>
    </row>
    <row r="45">
      <c r="A45" s="13" t="s">
        <v>284</v>
      </c>
      <c r="B45" s="13">
        <v>99.0</v>
      </c>
      <c r="C45" s="13" t="s">
        <v>285</v>
      </c>
      <c r="D45" s="13" t="s">
        <v>160</v>
      </c>
      <c r="E45" s="14" t="s">
        <v>286</v>
      </c>
      <c r="F45" s="15">
        <v>46037.71884259259</v>
      </c>
    </row>
    <row r="46">
      <c r="A46" s="13" t="s">
        <v>287</v>
      </c>
      <c r="B46" s="13">
        <v>10.0</v>
      </c>
      <c r="C46" s="13" t="s">
        <v>288</v>
      </c>
      <c r="D46" s="13" t="s">
        <v>160</v>
      </c>
      <c r="E46" s="14" t="s">
        <v>289</v>
      </c>
      <c r="F46" s="15">
        <v>46037.71938657408</v>
      </c>
    </row>
    <row r="47">
      <c r="A47" s="13" t="s">
        <v>290</v>
      </c>
      <c r="B47" s="13">
        <v>11.0</v>
      </c>
      <c r="C47" s="13" t="s">
        <v>291</v>
      </c>
      <c r="D47" s="13" t="s">
        <v>160</v>
      </c>
      <c r="E47" s="14" t="s">
        <v>292</v>
      </c>
      <c r="F47" s="15">
        <v>46037.719502314816</v>
      </c>
    </row>
    <row r="48">
      <c r="A48" s="13" t="s">
        <v>293</v>
      </c>
      <c r="B48" s="13">
        <v>110.0</v>
      </c>
      <c r="C48" s="13" t="s">
        <v>294</v>
      </c>
      <c r="D48" s="13" t="s">
        <v>160</v>
      </c>
      <c r="E48" s="14" t="s">
        <v>295</v>
      </c>
      <c r="F48" s="15">
        <v>46037.71960648148</v>
      </c>
    </row>
    <row r="49">
      <c r="A49" s="13" t="s">
        <v>296</v>
      </c>
      <c r="B49" s="13">
        <v>111.0</v>
      </c>
      <c r="C49" s="13" t="s">
        <v>297</v>
      </c>
      <c r="D49" s="13" t="s">
        <v>160</v>
      </c>
      <c r="E49" s="14" t="s">
        <v>298</v>
      </c>
      <c r="F49" s="15">
        <v>46037.719722222224</v>
      </c>
    </row>
    <row r="50">
      <c r="A50" s="13" t="s">
        <v>299</v>
      </c>
      <c r="B50" s="13">
        <v>112.0</v>
      </c>
      <c r="C50" s="13" t="s">
        <v>300</v>
      </c>
      <c r="D50" s="13" t="s">
        <v>160</v>
      </c>
      <c r="E50" s="14" t="s">
        <v>301</v>
      </c>
      <c r="F50" s="15">
        <v>46037.71983796296</v>
      </c>
    </row>
    <row r="51">
      <c r="A51" s="13" t="s">
        <v>302</v>
      </c>
      <c r="B51" s="13">
        <v>113.0</v>
      </c>
      <c r="C51" s="13" t="s">
        <v>303</v>
      </c>
      <c r="D51" s="13" t="s">
        <v>160</v>
      </c>
      <c r="E51" s="14" t="s">
        <v>304</v>
      </c>
      <c r="F51" s="15">
        <v>46037.72008101852</v>
      </c>
    </row>
    <row r="52">
      <c r="A52" s="13" t="s">
        <v>305</v>
      </c>
      <c r="B52" s="13">
        <v>114.0</v>
      </c>
      <c r="C52" s="13" t="s">
        <v>306</v>
      </c>
      <c r="D52" s="13" t="s">
        <v>160</v>
      </c>
      <c r="E52" s="14" t="s">
        <v>307</v>
      </c>
      <c r="F52" s="15">
        <v>46037.72020833333</v>
      </c>
    </row>
    <row r="53">
      <c r="A53" s="13" t="s">
        <v>308</v>
      </c>
      <c r="B53" s="13">
        <v>115.0</v>
      </c>
      <c r="C53" s="13" t="s">
        <v>309</v>
      </c>
      <c r="D53" s="13" t="s">
        <v>160</v>
      </c>
      <c r="E53" s="14" t="s">
        <v>310</v>
      </c>
      <c r="F53" s="15">
        <v>46037.72032407407</v>
      </c>
    </row>
    <row r="54">
      <c r="A54" s="13" t="s">
        <v>311</v>
      </c>
      <c r="B54" s="13">
        <v>116.0</v>
      </c>
      <c r="C54" s="13" t="s">
        <v>312</v>
      </c>
      <c r="D54" s="13" t="s">
        <v>160</v>
      </c>
      <c r="E54" s="14" t="s">
        <v>313</v>
      </c>
      <c r="F54" s="15">
        <v>46037.72043981482</v>
      </c>
    </row>
    <row r="55">
      <c r="A55" s="13" t="s">
        <v>314</v>
      </c>
      <c r="B55" s="13">
        <v>117.0</v>
      </c>
      <c r="C55" s="13" t="s">
        <v>315</v>
      </c>
      <c r="D55" s="13" t="s">
        <v>160</v>
      </c>
      <c r="E55" s="14" t="s">
        <v>316</v>
      </c>
      <c r="F55" s="15">
        <v>46037.72054398148</v>
      </c>
    </row>
    <row r="56">
      <c r="A56" s="13" t="s">
        <v>317</v>
      </c>
      <c r="B56" s="13">
        <v>118.0</v>
      </c>
      <c r="C56" s="13" t="s">
        <v>318</v>
      </c>
      <c r="D56" s="13" t="s">
        <v>160</v>
      </c>
      <c r="E56" s="14" t="s">
        <v>319</v>
      </c>
      <c r="F56" s="15">
        <v>46037.720729166664</v>
      </c>
    </row>
    <row r="57">
      <c r="A57" s="13" t="s">
        <v>320</v>
      </c>
      <c r="B57" s="13">
        <v>119.0</v>
      </c>
      <c r="C57" s="13" t="s">
        <v>321</v>
      </c>
      <c r="D57" s="13" t="s">
        <v>160</v>
      </c>
      <c r="E57" s="14" t="s">
        <v>322</v>
      </c>
      <c r="F57" s="15">
        <v>46037.72083333333</v>
      </c>
    </row>
    <row r="58">
      <c r="A58" s="13" t="s">
        <v>323</v>
      </c>
      <c r="B58" s="13">
        <v>12.0</v>
      </c>
      <c r="C58" s="13" t="s">
        <v>324</v>
      </c>
      <c r="D58" s="13" t="s">
        <v>160</v>
      </c>
      <c r="E58" s="14" t="s">
        <v>325</v>
      </c>
      <c r="F58" s="15">
        <v>46037.72094907407</v>
      </c>
    </row>
    <row r="59">
      <c r="A59" s="13" t="s">
        <v>326</v>
      </c>
      <c r="B59" s="13">
        <v>124.0</v>
      </c>
      <c r="C59" s="13" t="s">
        <v>327</v>
      </c>
      <c r="D59" s="13" t="s">
        <v>160</v>
      </c>
      <c r="E59" s="14" t="s">
        <v>328</v>
      </c>
      <c r="F59" s="15">
        <v>46037.72106481482</v>
      </c>
    </row>
    <row r="60">
      <c r="A60" s="13" t="s">
        <v>329</v>
      </c>
      <c r="B60" s="13">
        <v>13.0</v>
      </c>
      <c r="C60" s="13" t="s">
        <v>330</v>
      </c>
      <c r="D60" s="13" t="s">
        <v>160</v>
      </c>
      <c r="E60" s="14" t="s">
        <v>331</v>
      </c>
      <c r="F60" s="15">
        <v>46037.721180555556</v>
      </c>
    </row>
    <row r="61">
      <c r="A61" s="13" t="s">
        <v>332</v>
      </c>
      <c r="B61" s="13">
        <v>14.0</v>
      </c>
      <c r="C61" s="13" t="s">
        <v>333</v>
      </c>
      <c r="D61" s="13" t="s">
        <v>160</v>
      </c>
      <c r="E61" s="14" t="s">
        <v>334</v>
      </c>
      <c r="F61" s="15">
        <v>46037.72137731482</v>
      </c>
    </row>
    <row r="62">
      <c r="A62" s="13" t="s">
        <v>335</v>
      </c>
      <c r="B62" s="13">
        <v>15.0</v>
      </c>
      <c r="C62" s="13" t="s">
        <v>336</v>
      </c>
      <c r="D62" s="13" t="s">
        <v>160</v>
      </c>
      <c r="E62" s="14" t="s">
        <v>337</v>
      </c>
      <c r="F62" s="15">
        <v>46037.72149305556</v>
      </c>
    </row>
    <row r="63">
      <c r="A63" s="13" t="s">
        <v>338</v>
      </c>
      <c r="B63" s="13">
        <v>16.0</v>
      </c>
      <c r="C63" s="13" t="s">
        <v>339</v>
      </c>
      <c r="D63" s="13" t="s">
        <v>160</v>
      </c>
      <c r="E63" s="14" t="s">
        <v>340</v>
      </c>
      <c r="F63" s="15">
        <v>46037.72162037037</v>
      </c>
    </row>
    <row r="64">
      <c r="A64" s="13" t="s">
        <v>341</v>
      </c>
      <c r="B64" s="13">
        <v>17.0</v>
      </c>
      <c r="C64" s="13" t="s">
        <v>342</v>
      </c>
      <c r="D64" s="13" t="s">
        <v>160</v>
      </c>
      <c r="E64" s="14" t="s">
        <v>343</v>
      </c>
      <c r="F64" s="15">
        <v>46037.721770833334</v>
      </c>
    </row>
    <row r="65">
      <c r="A65" s="13" t="s">
        <v>344</v>
      </c>
      <c r="B65" s="13">
        <v>18.0</v>
      </c>
      <c r="C65" s="13" t="s">
        <v>345</v>
      </c>
      <c r="D65" s="13" t="s">
        <v>160</v>
      </c>
      <c r="E65" s="14" t="s">
        <v>346</v>
      </c>
      <c r="F65" s="15">
        <v>46037.72189814815</v>
      </c>
    </row>
    <row r="66">
      <c r="A66" s="13" t="s">
        <v>347</v>
      </c>
      <c r="B66" s="13">
        <v>19.0</v>
      </c>
      <c r="C66" s="13" t="s">
        <v>348</v>
      </c>
      <c r="D66" s="13" t="s">
        <v>160</v>
      </c>
      <c r="E66" s="14" t="s">
        <v>349</v>
      </c>
      <c r="F66" s="15">
        <v>46037.72209490741</v>
      </c>
    </row>
    <row r="67">
      <c r="A67" s="13" t="s">
        <v>350</v>
      </c>
      <c r="B67" s="13">
        <v>2.0</v>
      </c>
      <c r="C67" s="13" t="s">
        <v>351</v>
      </c>
      <c r="D67" s="13" t="s">
        <v>160</v>
      </c>
      <c r="E67" s="14" t="s">
        <v>352</v>
      </c>
      <c r="F67" s="15">
        <v>46037.72221064815</v>
      </c>
    </row>
    <row r="68">
      <c r="A68" s="13" t="s">
        <v>353</v>
      </c>
      <c r="B68" s="13">
        <v>21.0</v>
      </c>
      <c r="C68" s="13" t="s">
        <v>354</v>
      </c>
      <c r="D68" s="13" t="s">
        <v>160</v>
      </c>
      <c r="E68" s="14" t="s">
        <v>355</v>
      </c>
      <c r="F68" s="15">
        <v>46037.722337962965</v>
      </c>
    </row>
    <row r="69">
      <c r="A69" s="13" t="s">
        <v>356</v>
      </c>
      <c r="B69" s="13">
        <v>22.0</v>
      </c>
      <c r="C69" s="13" t="s">
        <v>357</v>
      </c>
      <c r="D69" s="13" t="s">
        <v>160</v>
      </c>
      <c r="E69" s="14" t="s">
        <v>358</v>
      </c>
      <c r="F69" s="15">
        <v>46037.722453703704</v>
      </c>
    </row>
    <row r="70">
      <c r="A70" s="13" t="s">
        <v>359</v>
      </c>
      <c r="B70" s="13">
        <v>25.0</v>
      </c>
      <c r="C70" s="13" t="s">
        <v>360</v>
      </c>
      <c r="D70" s="13" t="s">
        <v>160</v>
      </c>
      <c r="E70" s="14" t="s">
        <v>361</v>
      </c>
      <c r="F70" s="15">
        <v>46037.72256944444</v>
      </c>
    </row>
    <row r="71">
      <c r="A71" s="13" t="s">
        <v>362</v>
      </c>
      <c r="B71" s="13">
        <v>26.0</v>
      </c>
      <c r="C71" s="13" t="s">
        <v>363</v>
      </c>
      <c r="D71" s="13" t="s">
        <v>160</v>
      </c>
      <c r="E71" s="14" t="s">
        <v>364</v>
      </c>
      <c r="F71" s="15">
        <v>46037.72274305556</v>
      </c>
    </row>
    <row r="72">
      <c r="A72" s="13" t="s">
        <v>365</v>
      </c>
      <c r="B72" s="13">
        <v>27.0</v>
      </c>
      <c r="C72" s="13" t="s">
        <v>366</v>
      </c>
      <c r="D72" s="13" t="s">
        <v>160</v>
      </c>
      <c r="E72" s="14" t="s">
        <v>367</v>
      </c>
      <c r="F72" s="15">
        <v>46037.72292824074</v>
      </c>
    </row>
    <row r="73">
      <c r="A73" s="13" t="s">
        <v>368</v>
      </c>
      <c r="B73" s="13">
        <v>28.0</v>
      </c>
      <c r="C73" s="13" t="s">
        <v>369</v>
      </c>
      <c r="D73" s="13" t="s">
        <v>160</v>
      </c>
      <c r="E73" s="14" t="s">
        <v>370</v>
      </c>
      <c r="F73" s="15">
        <v>46037.72306712963</v>
      </c>
    </row>
    <row r="74">
      <c r="A74" s="13" t="s">
        <v>371</v>
      </c>
      <c r="B74" s="13">
        <v>3.0</v>
      </c>
      <c r="C74" s="13" t="s">
        <v>372</v>
      </c>
      <c r="D74" s="13" t="s">
        <v>160</v>
      </c>
      <c r="E74" s="14" t="s">
        <v>373</v>
      </c>
      <c r="F74" s="15">
        <v>46037.7231712963</v>
      </c>
    </row>
    <row r="75">
      <c r="A75" s="13" t="s">
        <v>374</v>
      </c>
      <c r="B75" s="13">
        <v>30.0</v>
      </c>
      <c r="C75" s="13" t="s">
        <v>375</v>
      </c>
      <c r="D75" s="13" t="s">
        <v>160</v>
      </c>
      <c r="E75" s="14" t="s">
        <v>376</v>
      </c>
      <c r="F75" s="15">
        <v>46037.72331018518</v>
      </c>
    </row>
    <row r="76">
      <c r="A76" s="13" t="s">
        <v>377</v>
      </c>
      <c r="B76" s="13">
        <v>31.0</v>
      </c>
      <c r="C76" s="13" t="s">
        <v>378</v>
      </c>
      <c r="D76" s="13" t="s">
        <v>160</v>
      </c>
      <c r="E76" s="14" t="s">
        <v>379</v>
      </c>
      <c r="F76" s="15">
        <v>46037.72350694444</v>
      </c>
    </row>
    <row r="77">
      <c r="A77" s="13" t="s">
        <v>380</v>
      </c>
      <c r="B77" s="13">
        <v>33.0</v>
      </c>
      <c r="C77" s="13" t="s">
        <v>381</v>
      </c>
      <c r="D77" s="13" t="s">
        <v>160</v>
      </c>
      <c r="E77" s="14" t="s">
        <v>382</v>
      </c>
      <c r="F77" s="15">
        <v>46037.72362268518</v>
      </c>
    </row>
    <row r="78">
      <c r="A78" s="13" t="s">
        <v>383</v>
      </c>
      <c r="B78" s="13">
        <v>34.0</v>
      </c>
      <c r="C78" s="13" t="s">
        <v>384</v>
      </c>
      <c r="D78" s="13" t="s">
        <v>160</v>
      </c>
      <c r="E78" s="14" t="s">
        <v>385</v>
      </c>
      <c r="F78" s="15">
        <v>46037.72375</v>
      </c>
    </row>
    <row r="79">
      <c r="A79" s="13" t="s">
        <v>386</v>
      </c>
      <c r="B79" s="13">
        <v>35.0</v>
      </c>
      <c r="C79" s="13" t="s">
        <v>387</v>
      </c>
      <c r="D79" s="13" t="s">
        <v>160</v>
      </c>
      <c r="E79" s="14" t="s">
        <v>388</v>
      </c>
      <c r="F79" s="15">
        <v>46037.72386574074</v>
      </c>
    </row>
    <row r="80">
      <c r="A80" s="13" t="s">
        <v>389</v>
      </c>
      <c r="B80" s="13">
        <v>36.0</v>
      </c>
      <c r="C80" s="13" t="s">
        <v>390</v>
      </c>
      <c r="D80" s="13" t="s">
        <v>160</v>
      </c>
      <c r="E80" s="14" t="s">
        <v>391</v>
      </c>
      <c r="F80" s="15">
        <v>46037.72398148148</v>
      </c>
    </row>
    <row r="81">
      <c r="A81" s="13" t="s">
        <v>392</v>
      </c>
      <c r="B81" s="13">
        <v>37.0</v>
      </c>
      <c r="C81" s="13" t="s">
        <v>393</v>
      </c>
      <c r="D81" s="13" t="s">
        <v>160</v>
      </c>
      <c r="E81" s="14" t="s">
        <v>394</v>
      </c>
      <c r="F81" s="15">
        <v>46037.72416666667</v>
      </c>
    </row>
    <row r="82">
      <c r="A82" s="13" t="s">
        <v>395</v>
      </c>
      <c r="B82" s="13">
        <v>38.0</v>
      </c>
      <c r="C82" s="13" t="s">
        <v>396</v>
      </c>
      <c r="D82" s="13" t="s">
        <v>160</v>
      </c>
      <c r="E82" s="14" t="s">
        <v>397</v>
      </c>
      <c r="F82" s="15">
        <v>46037.724282407406</v>
      </c>
    </row>
    <row r="83">
      <c r="A83" s="13" t="s">
        <v>398</v>
      </c>
      <c r="B83" s="13">
        <v>39.0</v>
      </c>
      <c r="C83" s="13" t="s">
        <v>399</v>
      </c>
      <c r="D83" s="13" t="s">
        <v>160</v>
      </c>
      <c r="E83" s="14" t="s">
        <v>400</v>
      </c>
      <c r="F83" s="15">
        <v>46037.72440972222</v>
      </c>
    </row>
    <row r="84">
      <c r="A84" s="13" t="s">
        <v>401</v>
      </c>
      <c r="B84" s="13">
        <v>4.0</v>
      </c>
      <c r="C84" s="13" t="s">
        <v>402</v>
      </c>
      <c r="D84" s="13" t="s">
        <v>160</v>
      </c>
      <c r="E84" s="14" t="s">
        <v>403</v>
      </c>
      <c r="F84" s="15">
        <v>46037.72452546296</v>
      </c>
    </row>
    <row r="85">
      <c r="A85" s="13" t="s">
        <v>404</v>
      </c>
      <c r="B85" s="13">
        <v>43.0</v>
      </c>
      <c r="C85" s="13" t="s">
        <v>405</v>
      </c>
      <c r="D85" s="13" t="s">
        <v>160</v>
      </c>
      <c r="E85" s="14" t="s">
        <v>406</v>
      </c>
      <c r="F85" s="15">
        <v>46037.724641203706</v>
      </c>
    </row>
    <row r="86">
      <c r="A86" s="13" t="s">
        <v>407</v>
      </c>
      <c r="B86" s="13">
        <v>44.0</v>
      </c>
      <c r="C86" s="13" t="s">
        <v>408</v>
      </c>
      <c r="D86" s="13" t="s">
        <v>160</v>
      </c>
      <c r="E86" s="14" t="s">
        <v>409</v>
      </c>
      <c r="F86" s="15">
        <v>46037.72482638889</v>
      </c>
    </row>
    <row r="87">
      <c r="A87" s="13" t="s">
        <v>410</v>
      </c>
      <c r="B87" s="13">
        <v>46.0</v>
      </c>
      <c r="C87" s="13" t="s">
        <v>411</v>
      </c>
      <c r="D87" s="13" t="s">
        <v>160</v>
      </c>
      <c r="E87" s="14" t="s">
        <v>412</v>
      </c>
      <c r="F87" s="15">
        <v>46037.724953703706</v>
      </c>
    </row>
    <row r="88">
      <c r="A88" s="13" t="s">
        <v>413</v>
      </c>
      <c r="B88" s="13">
        <v>47.0</v>
      </c>
      <c r="C88" s="13" t="s">
        <v>414</v>
      </c>
      <c r="D88" s="13" t="s">
        <v>160</v>
      </c>
      <c r="E88" s="14" t="s">
        <v>415</v>
      </c>
      <c r="F88" s="15">
        <v>46037.725069444445</v>
      </c>
    </row>
    <row r="89">
      <c r="A89" s="13" t="s">
        <v>416</v>
      </c>
      <c r="B89" s="13">
        <v>48.0</v>
      </c>
      <c r="C89" s="13" t="s">
        <v>417</v>
      </c>
      <c r="D89" s="13" t="s">
        <v>160</v>
      </c>
      <c r="E89" s="14" t="s">
        <v>418</v>
      </c>
      <c r="F89" s="15">
        <v>46037.72520833334</v>
      </c>
    </row>
    <row r="90">
      <c r="A90" s="13" t="s">
        <v>419</v>
      </c>
      <c r="B90" s="13">
        <v>49.0</v>
      </c>
      <c r="C90" s="13" t="s">
        <v>420</v>
      </c>
      <c r="D90" s="13" t="s">
        <v>160</v>
      </c>
      <c r="E90" s="14" t="s">
        <v>421</v>
      </c>
      <c r="F90" s="15">
        <v>46037.7253125</v>
      </c>
    </row>
    <row r="91">
      <c r="A91" s="13" t="s">
        <v>422</v>
      </c>
      <c r="B91" s="13">
        <v>5.0</v>
      </c>
      <c r="C91" s="13" t="s">
        <v>423</v>
      </c>
      <c r="D91" s="13" t="s">
        <v>160</v>
      </c>
      <c r="E91" s="14" t="s">
        <v>424</v>
      </c>
      <c r="F91" s="15">
        <v>46037.725497685184</v>
      </c>
    </row>
    <row r="92">
      <c r="A92" s="13" t="s">
        <v>425</v>
      </c>
      <c r="B92" s="13">
        <v>51.0</v>
      </c>
      <c r="C92" s="13" t="s">
        <v>426</v>
      </c>
      <c r="D92" s="13" t="s">
        <v>160</v>
      </c>
      <c r="E92" s="14" t="s">
        <v>427</v>
      </c>
      <c r="F92" s="15">
        <v>46037.72561342592</v>
      </c>
    </row>
    <row r="93">
      <c r="A93" s="13" t="s">
        <v>428</v>
      </c>
      <c r="B93" s="13">
        <v>54.0</v>
      </c>
      <c r="C93" s="13" t="s">
        <v>429</v>
      </c>
      <c r="D93" s="13" t="s">
        <v>160</v>
      </c>
      <c r="E93" s="14" t="s">
        <v>430</v>
      </c>
      <c r="F93" s="15">
        <v>46037.72572916667</v>
      </c>
    </row>
    <row r="94">
      <c r="A94" s="13" t="s">
        <v>431</v>
      </c>
      <c r="B94" s="13">
        <v>55.0</v>
      </c>
      <c r="C94" s="13" t="s">
        <v>432</v>
      </c>
      <c r="D94" s="13" t="s">
        <v>160</v>
      </c>
      <c r="E94" s="14" t="s">
        <v>433</v>
      </c>
      <c r="F94" s="15">
        <v>46037.72584490741</v>
      </c>
    </row>
    <row r="95">
      <c r="A95" s="13" t="s">
        <v>434</v>
      </c>
      <c r="B95" s="13">
        <v>56.0</v>
      </c>
      <c r="C95" s="13" t="s">
        <v>435</v>
      </c>
      <c r="D95" s="13" t="s">
        <v>160</v>
      </c>
      <c r="E95" s="14" t="s">
        <v>436</v>
      </c>
      <c r="F95" s="15">
        <v>46037.725960648146</v>
      </c>
    </row>
    <row r="96">
      <c r="A96" s="13" t="s">
        <v>437</v>
      </c>
      <c r="B96" s="13">
        <v>57.0</v>
      </c>
      <c r="C96" s="13" t="s">
        <v>438</v>
      </c>
      <c r="D96" s="13" t="s">
        <v>160</v>
      </c>
      <c r="E96" s="14" t="s">
        <v>439</v>
      </c>
      <c r="F96" s="15">
        <v>46037.72613425926</v>
      </c>
    </row>
    <row r="97">
      <c r="A97" s="13" t="s">
        <v>440</v>
      </c>
      <c r="B97" s="13">
        <v>58.0</v>
      </c>
      <c r="C97" s="13" t="s">
        <v>441</v>
      </c>
      <c r="D97" s="13" t="s">
        <v>160</v>
      </c>
      <c r="E97" s="14" t="s">
        <v>442</v>
      </c>
      <c r="F97" s="15">
        <v>46037.72626157408</v>
      </c>
    </row>
    <row r="98">
      <c r="A98" s="13" t="s">
        <v>443</v>
      </c>
      <c r="B98" s="13">
        <v>59.0</v>
      </c>
      <c r="C98" s="13" t="s">
        <v>444</v>
      </c>
      <c r="D98" s="13" t="s">
        <v>160</v>
      </c>
      <c r="E98" s="14" t="s">
        <v>445</v>
      </c>
      <c r="F98" s="15">
        <v>46037.72638888889</v>
      </c>
    </row>
    <row r="99">
      <c r="A99" s="13" t="s">
        <v>446</v>
      </c>
      <c r="B99" s="13">
        <v>6.0</v>
      </c>
      <c r="C99" s="13" t="s">
        <v>447</v>
      </c>
      <c r="D99" s="13" t="s">
        <v>160</v>
      </c>
      <c r="E99" s="14" t="s">
        <v>448</v>
      </c>
      <c r="F99" s="15">
        <v>46037.7265162037</v>
      </c>
    </row>
    <row r="100">
      <c r="A100" s="13" t="s">
        <v>449</v>
      </c>
      <c r="B100" s="13">
        <v>61.0</v>
      </c>
      <c r="C100" s="13" t="s">
        <v>450</v>
      </c>
      <c r="D100" s="13" t="s">
        <v>160</v>
      </c>
      <c r="E100" s="14" t="s">
        <v>451</v>
      </c>
      <c r="F100" s="15">
        <v>46037.726643518516</v>
      </c>
    </row>
    <row r="101">
      <c r="A101" s="13" t="s">
        <v>452</v>
      </c>
      <c r="B101" s="13">
        <v>63.0</v>
      </c>
      <c r="C101" s="13" t="s">
        <v>453</v>
      </c>
      <c r="D101" s="13" t="s">
        <v>160</v>
      </c>
      <c r="E101" s="14" t="s">
        <v>454</v>
      </c>
      <c r="F101" s="15">
        <v>46037.72686342592</v>
      </c>
    </row>
    <row r="102">
      <c r="A102" s="13" t="s">
        <v>455</v>
      </c>
      <c r="B102" s="13">
        <v>65.0</v>
      </c>
      <c r="C102" s="13" t="s">
        <v>456</v>
      </c>
      <c r="D102" s="13" t="s">
        <v>160</v>
      </c>
      <c r="E102" s="14" t="s">
        <v>457</v>
      </c>
      <c r="F102" s="15">
        <v>46037.72697916667</v>
      </c>
    </row>
    <row r="103">
      <c r="A103" s="13" t="s">
        <v>458</v>
      </c>
      <c r="B103" s="13">
        <v>8.0</v>
      </c>
      <c r="C103" s="13" t="s">
        <v>459</v>
      </c>
      <c r="D103" s="13" t="s">
        <v>160</v>
      </c>
      <c r="E103" s="14" t="s">
        <v>460</v>
      </c>
      <c r="F103" s="15">
        <v>46037.727106481485</v>
      </c>
    </row>
    <row r="104">
      <c r="A104" s="13" t="s">
        <v>461</v>
      </c>
      <c r="B104" s="13">
        <v>86.0</v>
      </c>
      <c r="C104" s="13" t="s">
        <v>462</v>
      </c>
      <c r="D104" s="13" t="s">
        <v>160</v>
      </c>
      <c r="E104" s="14" t="s">
        <v>463</v>
      </c>
      <c r="F104" s="15">
        <v>46037.72724537037</v>
      </c>
    </row>
    <row r="105">
      <c r="A105" s="13" t="s">
        <v>464</v>
      </c>
      <c r="B105" s="13">
        <v>9.0</v>
      </c>
      <c r="C105" s="13" t="s">
        <v>465</v>
      </c>
      <c r="D105" s="13" t="s">
        <v>160</v>
      </c>
      <c r="E105" s="14" t="s">
        <v>466</v>
      </c>
      <c r="F105" s="15">
        <v>46037.727372685185</v>
      </c>
    </row>
    <row r="106">
      <c r="A106" s="13" t="s">
        <v>467</v>
      </c>
      <c r="B106" s="13">
        <v>121.0</v>
      </c>
      <c r="C106" s="13" t="s">
        <v>12</v>
      </c>
      <c r="D106" s="13" t="s">
        <v>468</v>
      </c>
      <c r="E106" s="14" t="s">
        <v>469</v>
      </c>
      <c r="F106" s="15">
        <v>46038.9325</v>
      </c>
    </row>
    <row r="107">
      <c r="A107" s="13" t="s">
        <v>470</v>
      </c>
      <c r="B107" s="13">
        <v>44.0</v>
      </c>
      <c r="C107" s="13" t="s">
        <v>408</v>
      </c>
      <c r="D107" s="13" t="s">
        <v>468</v>
      </c>
      <c r="E107" s="14" t="s">
        <v>471</v>
      </c>
      <c r="F107" s="15">
        <v>46038.93261574074</v>
      </c>
    </row>
    <row r="108">
      <c r="A108" s="13" t="s">
        <v>472</v>
      </c>
      <c r="B108" s="13">
        <v>120.0</v>
      </c>
      <c r="C108" s="13" t="s">
        <v>26</v>
      </c>
      <c r="D108" s="13" t="s">
        <v>468</v>
      </c>
      <c r="E108" s="14" t="s">
        <v>473</v>
      </c>
      <c r="F108" s="15">
        <v>46039.11552083334</v>
      </c>
    </row>
    <row r="109">
      <c r="A109" s="13" t="s">
        <v>474</v>
      </c>
      <c r="B109" s="13">
        <v>59.0</v>
      </c>
      <c r="C109" s="13" t="s">
        <v>444</v>
      </c>
      <c r="D109" s="13" t="s">
        <v>468</v>
      </c>
      <c r="E109" s="14" t="s">
        <v>475</v>
      </c>
      <c r="F109" s="15">
        <v>46039.115648148145</v>
      </c>
    </row>
    <row r="110">
      <c r="A110" s="13" t="s">
        <v>476</v>
      </c>
      <c r="B110" s="13">
        <v>60.0</v>
      </c>
      <c r="C110" s="13" t="s">
        <v>34</v>
      </c>
      <c r="D110" s="13" t="s">
        <v>468</v>
      </c>
      <c r="E110" s="14" t="s">
        <v>477</v>
      </c>
      <c r="F110" s="15">
        <v>46039.117685185185</v>
      </c>
    </row>
    <row r="111">
      <c r="A111" s="13" t="s">
        <v>478</v>
      </c>
      <c r="B111" s="13">
        <v>63.0</v>
      </c>
      <c r="C111" s="13" t="s">
        <v>453</v>
      </c>
      <c r="D111" s="13" t="s">
        <v>468</v>
      </c>
      <c r="E111" s="14" t="s">
        <v>479</v>
      </c>
      <c r="F111" s="15">
        <v>46039.117800925924</v>
      </c>
    </row>
    <row r="112">
      <c r="A112" s="13" t="s">
        <v>480</v>
      </c>
      <c r="B112" s="13">
        <v>2.0</v>
      </c>
      <c r="C112" s="13" t="s">
        <v>351</v>
      </c>
      <c r="D112" s="13" t="s">
        <v>481</v>
      </c>
      <c r="E112" s="14" t="s">
        <v>482</v>
      </c>
      <c r="F112" s="15">
        <v>46044.915613425925</v>
      </c>
    </row>
    <row r="113">
      <c r="A113" s="13" t="s">
        <v>483</v>
      </c>
      <c r="B113" s="13">
        <v>3.0</v>
      </c>
      <c r="C113" s="13" t="s">
        <v>372</v>
      </c>
      <c r="D113" s="13" t="s">
        <v>481</v>
      </c>
      <c r="E113" s="14" t="s">
        <v>484</v>
      </c>
      <c r="F113" s="15">
        <v>46044.91575231482</v>
      </c>
    </row>
    <row r="114">
      <c r="A114" s="13" t="s">
        <v>485</v>
      </c>
      <c r="B114" s="13">
        <v>4.0</v>
      </c>
      <c r="C114" s="13" t="s">
        <v>402</v>
      </c>
      <c r="D114" s="13" t="s">
        <v>481</v>
      </c>
      <c r="E114" s="14" t="s">
        <v>486</v>
      </c>
      <c r="F114" s="15">
        <v>46044.915972222225</v>
      </c>
    </row>
    <row r="115">
      <c r="A115" s="13" t="s">
        <v>487</v>
      </c>
      <c r="B115" s="13">
        <v>5.0</v>
      </c>
      <c r="C115" s="13" t="s">
        <v>423</v>
      </c>
      <c r="D115" s="13" t="s">
        <v>481</v>
      </c>
      <c r="E115" s="14" t="s">
        <v>488</v>
      </c>
      <c r="F115" s="15">
        <v>46044.91611111111</v>
      </c>
    </row>
    <row r="116">
      <c r="A116" s="13" t="s">
        <v>489</v>
      </c>
      <c r="B116" s="13">
        <v>6.0</v>
      </c>
      <c r="C116" s="13" t="s">
        <v>447</v>
      </c>
      <c r="D116" s="13" t="s">
        <v>481</v>
      </c>
      <c r="E116" s="14" t="s">
        <v>490</v>
      </c>
      <c r="F116" s="15">
        <v>46044.91625</v>
      </c>
    </row>
    <row r="117">
      <c r="A117" s="13" t="s">
        <v>491</v>
      </c>
      <c r="B117" s="13">
        <v>105.0</v>
      </c>
      <c r="C117" s="13" t="s">
        <v>175</v>
      </c>
      <c r="D117" s="13" t="s">
        <v>481</v>
      </c>
      <c r="E117" s="14" t="s">
        <v>492</v>
      </c>
      <c r="F117" s="15">
        <v>46044.91648148148</v>
      </c>
    </row>
    <row r="118">
      <c r="A118" s="13" t="s">
        <v>493</v>
      </c>
      <c r="B118" s="13">
        <v>103.0</v>
      </c>
      <c r="C118" s="13" t="s">
        <v>169</v>
      </c>
      <c r="D118" s="13" t="s">
        <v>481</v>
      </c>
      <c r="E118" s="14" t="s">
        <v>494</v>
      </c>
      <c r="F118" s="15">
        <v>46044.91662037037</v>
      </c>
    </row>
    <row r="119">
      <c r="A119" s="13" t="s">
        <v>495</v>
      </c>
      <c r="B119" s="13">
        <v>79.0</v>
      </c>
      <c r="C119" s="13" t="s">
        <v>252</v>
      </c>
      <c r="D119" s="13" t="s">
        <v>481</v>
      </c>
      <c r="E119" s="14" t="s">
        <v>496</v>
      </c>
      <c r="F119" s="15">
        <v>46044.91675925926</v>
      </c>
    </row>
    <row r="120">
      <c r="A120" s="13" t="s">
        <v>497</v>
      </c>
      <c r="B120" s="13">
        <v>8.0</v>
      </c>
      <c r="C120" s="13" t="s">
        <v>459</v>
      </c>
      <c r="D120" s="13" t="s">
        <v>481</v>
      </c>
      <c r="E120" s="14" t="s">
        <v>498</v>
      </c>
      <c r="F120" s="15">
        <v>46044.916909722226</v>
      </c>
    </row>
    <row r="121">
      <c r="A121" s="13" t="s">
        <v>499</v>
      </c>
      <c r="B121" s="13">
        <v>9.0</v>
      </c>
      <c r="C121" s="13" t="s">
        <v>465</v>
      </c>
      <c r="D121" s="13" t="s">
        <v>481</v>
      </c>
      <c r="E121" s="14" t="s">
        <v>500</v>
      </c>
      <c r="F121" s="15">
        <v>46044.91704861111</v>
      </c>
    </row>
    <row r="122">
      <c r="A122" s="13" t="s">
        <v>501</v>
      </c>
      <c r="B122" s="13">
        <v>10.0</v>
      </c>
      <c r="C122" s="13" t="s">
        <v>288</v>
      </c>
      <c r="D122" s="13" t="s">
        <v>481</v>
      </c>
      <c r="E122" s="14" t="s">
        <v>502</v>
      </c>
      <c r="F122" s="15">
        <v>46044.91730324074</v>
      </c>
    </row>
    <row r="123">
      <c r="A123" s="13" t="s">
        <v>503</v>
      </c>
      <c r="B123" s="13">
        <v>68.0</v>
      </c>
      <c r="C123" s="13" t="s">
        <v>231</v>
      </c>
      <c r="D123" s="13" t="s">
        <v>481</v>
      </c>
      <c r="E123" s="14" t="s">
        <v>504</v>
      </c>
      <c r="F123" s="15">
        <v>46044.9174537037</v>
      </c>
    </row>
    <row r="124">
      <c r="A124" s="13" t="s">
        <v>505</v>
      </c>
      <c r="B124" s="13">
        <v>104.0</v>
      </c>
      <c r="C124" s="13" t="s">
        <v>172</v>
      </c>
      <c r="D124" s="13" t="s">
        <v>481</v>
      </c>
      <c r="E124" s="14" t="s">
        <v>506</v>
      </c>
      <c r="F124" s="15">
        <v>46044.91761574074</v>
      </c>
    </row>
    <row r="125">
      <c r="A125" s="13" t="s">
        <v>507</v>
      </c>
      <c r="B125" s="13">
        <v>93.0</v>
      </c>
      <c r="C125" s="13" t="s">
        <v>276</v>
      </c>
      <c r="D125" s="13" t="s">
        <v>481</v>
      </c>
      <c r="E125" s="14" t="s">
        <v>508</v>
      </c>
      <c r="F125" s="15">
        <v>46044.917766203704</v>
      </c>
    </row>
    <row r="126">
      <c r="A126" s="13" t="s">
        <v>509</v>
      </c>
      <c r="B126" s="13">
        <v>66.0</v>
      </c>
      <c r="C126" s="13" t="s">
        <v>225</v>
      </c>
      <c r="D126" s="13" t="s">
        <v>481</v>
      </c>
      <c r="E126" s="14" t="s">
        <v>510</v>
      </c>
      <c r="F126" s="15">
        <v>46044.91788194444</v>
      </c>
    </row>
    <row r="127">
      <c r="A127" s="13" t="s">
        <v>511</v>
      </c>
      <c r="B127" s="13">
        <v>11.0</v>
      </c>
      <c r="C127" s="13" t="s">
        <v>291</v>
      </c>
      <c r="D127" s="13" t="s">
        <v>481</v>
      </c>
      <c r="E127" s="14" t="s">
        <v>512</v>
      </c>
      <c r="F127" s="15">
        <v>46044.91815972222</v>
      </c>
    </row>
    <row r="128">
      <c r="A128" s="13" t="s">
        <v>513</v>
      </c>
      <c r="B128" s="13">
        <v>78.0</v>
      </c>
      <c r="C128" s="13" t="s">
        <v>249</v>
      </c>
      <c r="D128" s="13" t="s">
        <v>481</v>
      </c>
      <c r="E128" s="14" t="s">
        <v>514</v>
      </c>
      <c r="F128" s="15">
        <v>46044.91831018519</v>
      </c>
    </row>
    <row r="129">
      <c r="A129" s="13" t="s">
        <v>515</v>
      </c>
      <c r="B129" s="13">
        <v>67.0</v>
      </c>
      <c r="C129" s="13" t="s">
        <v>228</v>
      </c>
      <c r="D129" s="13" t="s">
        <v>481</v>
      </c>
      <c r="E129" s="14" t="s">
        <v>516</v>
      </c>
      <c r="F129" s="15">
        <v>46044.91846064815</v>
      </c>
    </row>
    <row r="130">
      <c r="A130" s="13" t="s">
        <v>517</v>
      </c>
      <c r="B130" s="13">
        <v>82.0</v>
      </c>
      <c r="C130" s="13" t="s">
        <v>258</v>
      </c>
      <c r="D130" s="13" t="s">
        <v>481</v>
      </c>
      <c r="E130" s="14" t="s">
        <v>518</v>
      </c>
      <c r="F130" s="15">
        <v>46044.91861111111</v>
      </c>
    </row>
    <row r="131">
      <c r="A131" s="13" t="s">
        <v>519</v>
      </c>
      <c r="B131" s="13">
        <v>12.0</v>
      </c>
      <c r="C131" s="13" t="s">
        <v>324</v>
      </c>
      <c r="D131" s="13" t="s">
        <v>481</v>
      </c>
      <c r="E131" s="14" t="s">
        <v>520</v>
      </c>
      <c r="F131" s="15">
        <v>46044.91875</v>
      </c>
    </row>
    <row r="132">
      <c r="A132" s="13" t="s">
        <v>521</v>
      </c>
      <c r="B132" s="13">
        <v>13.0</v>
      </c>
      <c r="C132" s="13" t="s">
        <v>330</v>
      </c>
      <c r="D132" s="13" t="s">
        <v>481</v>
      </c>
      <c r="E132" s="14" t="s">
        <v>522</v>
      </c>
      <c r="F132" s="15">
        <v>46044.91915509259</v>
      </c>
    </row>
    <row r="133">
      <c r="A133" s="13" t="s">
        <v>523</v>
      </c>
      <c r="B133" s="13">
        <v>14.0</v>
      </c>
      <c r="C133" s="13" t="s">
        <v>333</v>
      </c>
      <c r="D133" s="13" t="s">
        <v>481</v>
      </c>
      <c r="E133" s="14" t="s">
        <v>524</v>
      </c>
      <c r="F133" s="15">
        <v>46044.91931712963</v>
      </c>
    </row>
    <row r="134">
      <c r="A134" s="13" t="s">
        <v>525</v>
      </c>
      <c r="B134" s="13">
        <v>15.0</v>
      </c>
      <c r="C134" s="13" t="s">
        <v>336</v>
      </c>
      <c r="D134" s="13" t="s">
        <v>481</v>
      </c>
      <c r="E134" s="14" t="s">
        <v>526</v>
      </c>
      <c r="F134" s="15">
        <v>46044.91946759259</v>
      </c>
    </row>
    <row r="135">
      <c r="A135" s="13" t="s">
        <v>527</v>
      </c>
      <c r="B135" s="13">
        <v>16.0</v>
      </c>
      <c r="C135" s="13" t="s">
        <v>339</v>
      </c>
      <c r="D135" s="13" t="s">
        <v>481</v>
      </c>
      <c r="E135" s="14" t="s">
        <v>528</v>
      </c>
      <c r="F135" s="15">
        <v>46044.91962962963</v>
      </c>
    </row>
    <row r="136">
      <c r="A136" s="13" t="s">
        <v>529</v>
      </c>
      <c r="B136" s="13">
        <v>17.0</v>
      </c>
      <c r="C136" s="13" t="s">
        <v>342</v>
      </c>
      <c r="D136" s="13" t="s">
        <v>481</v>
      </c>
      <c r="E136" s="14" t="s">
        <v>530</v>
      </c>
      <c r="F136" s="15">
        <v>46044.91978009259</v>
      </c>
    </row>
    <row r="137">
      <c r="A137" s="13" t="s">
        <v>531</v>
      </c>
      <c r="B137" s="13">
        <v>18.0</v>
      </c>
      <c r="C137" s="13" t="s">
        <v>345</v>
      </c>
      <c r="D137" s="13" t="s">
        <v>481</v>
      </c>
      <c r="E137" s="14" t="s">
        <v>532</v>
      </c>
      <c r="F137" s="15">
        <v>46044.92005787037</v>
      </c>
    </row>
    <row r="138">
      <c r="A138" s="13" t="s">
        <v>533</v>
      </c>
      <c r="B138" s="13">
        <v>19.0</v>
      </c>
      <c r="C138" s="13" t="s">
        <v>348</v>
      </c>
      <c r="D138" s="13" t="s">
        <v>481</v>
      </c>
      <c r="E138" s="14" t="s">
        <v>534</v>
      </c>
      <c r="F138" s="15">
        <v>46044.92023148148</v>
      </c>
    </row>
    <row r="139">
      <c r="A139" s="13" t="s">
        <v>535</v>
      </c>
      <c r="B139" s="13">
        <v>21.0</v>
      </c>
      <c r="C139" s="13" t="s">
        <v>354</v>
      </c>
      <c r="D139" s="13" t="s">
        <v>481</v>
      </c>
      <c r="E139" s="14" t="s">
        <v>536</v>
      </c>
      <c r="F139" s="15">
        <v>46044.92040509259</v>
      </c>
    </row>
    <row r="140">
      <c r="A140" s="13" t="s">
        <v>537</v>
      </c>
      <c r="B140" s="13">
        <v>22.0</v>
      </c>
      <c r="C140" s="13" t="s">
        <v>357</v>
      </c>
      <c r="D140" s="13" t="s">
        <v>481</v>
      </c>
      <c r="E140" s="14" t="s">
        <v>538</v>
      </c>
      <c r="F140" s="15">
        <v>46044.92053240741</v>
      </c>
    </row>
    <row r="141">
      <c r="A141" s="13" t="s">
        <v>539</v>
      </c>
      <c r="B141" s="13">
        <v>25.0</v>
      </c>
      <c r="C141" s="13" t="s">
        <v>360</v>
      </c>
      <c r="D141" s="13" t="s">
        <v>481</v>
      </c>
      <c r="E141" s="14" t="s">
        <v>540</v>
      </c>
      <c r="F141" s="15">
        <v>46044.92072916667</v>
      </c>
    </row>
    <row r="142">
      <c r="A142" s="13" t="s">
        <v>541</v>
      </c>
      <c r="B142" s="13">
        <v>26.0</v>
      </c>
      <c r="C142" s="13" t="s">
        <v>363</v>
      </c>
      <c r="D142" s="13" t="s">
        <v>481</v>
      </c>
      <c r="E142" s="14" t="s">
        <v>542</v>
      </c>
      <c r="F142" s="15">
        <v>46044.92118055555</v>
      </c>
    </row>
    <row r="143">
      <c r="A143" s="13" t="s">
        <v>543</v>
      </c>
      <c r="B143" s="13">
        <v>101.0</v>
      </c>
      <c r="C143" s="13" t="s">
        <v>163</v>
      </c>
      <c r="D143" s="13" t="s">
        <v>481</v>
      </c>
      <c r="E143" s="14" t="s">
        <v>544</v>
      </c>
      <c r="F143" s="15">
        <v>46044.92135416667</v>
      </c>
    </row>
    <row r="144">
      <c r="A144" s="13" t="s">
        <v>545</v>
      </c>
      <c r="B144" s="13">
        <v>27.0</v>
      </c>
      <c r="C144" s="13" t="s">
        <v>366</v>
      </c>
      <c r="D144" s="13" t="s">
        <v>481</v>
      </c>
      <c r="E144" s="14" t="s">
        <v>546</v>
      </c>
      <c r="F144" s="15">
        <v>46044.92152777778</v>
      </c>
    </row>
    <row r="145">
      <c r="A145" s="13" t="s">
        <v>547</v>
      </c>
      <c r="B145" s="13">
        <v>28.0</v>
      </c>
      <c r="C145" s="13" t="s">
        <v>369</v>
      </c>
      <c r="D145" s="13" t="s">
        <v>481</v>
      </c>
      <c r="E145" s="14" t="s">
        <v>548</v>
      </c>
      <c r="F145" s="15">
        <v>46044.921689814815</v>
      </c>
    </row>
    <row r="146">
      <c r="A146" s="13" t="s">
        <v>549</v>
      </c>
      <c r="B146" s="13">
        <v>30.0</v>
      </c>
      <c r="C146" s="13" t="s">
        <v>375</v>
      </c>
      <c r="D146" s="13" t="s">
        <v>481</v>
      </c>
      <c r="E146" s="14" t="s">
        <v>550</v>
      </c>
      <c r="F146" s="15">
        <v>46044.9219212963</v>
      </c>
    </row>
    <row r="147">
      <c r="A147" s="13" t="s">
        <v>551</v>
      </c>
      <c r="B147" s="13">
        <v>31.0</v>
      </c>
      <c r="C147" s="13" t="s">
        <v>378</v>
      </c>
      <c r="D147" s="13" t="s">
        <v>481</v>
      </c>
      <c r="E147" s="14" t="s">
        <v>552</v>
      </c>
      <c r="F147" s="15">
        <v>46044.92212962963</v>
      </c>
    </row>
    <row r="148">
      <c r="A148" s="13" t="s">
        <v>553</v>
      </c>
      <c r="B148" s="13">
        <v>33.0</v>
      </c>
      <c r="C148" s="13" t="s">
        <v>381</v>
      </c>
      <c r="D148" s="13" t="s">
        <v>481</v>
      </c>
      <c r="E148" s="14" t="s">
        <v>554</v>
      </c>
      <c r="F148" s="15">
        <v>46044.92228009259</v>
      </c>
    </row>
    <row r="149">
      <c r="A149" s="13" t="s">
        <v>555</v>
      </c>
      <c r="B149" s="13">
        <v>76.0</v>
      </c>
      <c r="C149" s="13" t="s">
        <v>243</v>
      </c>
      <c r="D149" s="13" t="s">
        <v>481</v>
      </c>
      <c r="E149" s="14" t="s">
        <v>556</v>
      </c>
      <c r="F149" s="15">
        <v>46044.922418981485</v>
      </c>
    </row>
    <row r="150">
      <c r="A150" s="13" t="s">
        <v>557</v>
      </c>
      <c r="B150" s="13">
        <v>80.0</v>
      </c>
      <c r="C150" s="13" t="s">
        <v>255</v>
      </c>
      <c r="D150" s="13" t="s">
        <v>481</v>
      </c>
      <c r="E150" s="14" t="s">
        <v>558</v>
      </c>
      <c r="F150" s="15">
        <v>46044.92255787037</v>
      </c>
    </row>
    <row r="151">
      <c r="A151" s="13" t="s">
        <v>559</v>
      </c>
      <c r="B151" s="13">
        <v>97.0</v>
      </c>
      <c r="C151" s="13" t="s">
        <v>279</v>
      </c>
      <c r="D151" s="13" t="s">
        <v>481</v>
      </c>
      <c r="E151" s="14" t="s">
        <v>560</v>
      </c>
      <c r="F151" s="15">
        <v>46044.92270833333</v>
      </c>
    </row>
    <row r="152">
      <c r="A152" s="13" t="s">
        <v>561</v>
      </c>
      <c r="B152" s="13">
        <v>112.0</v>
      </c>
      <c r="C152" s="13" t="s">
        <v>300</v>
      </c>
      <c r="D152" s="13" t="s">
        <v>481</v>
      </c>
      <c r="E152" s="14" t="s">
        <v>562</v>
      </c>
      <c r="F152" s="15">
        <v>46044.92292824074</v>
      </c>
    </row>
    <row r="153">
      <c r="A153" s="13" t="s">
        <v>563</v>
      </c>
      <c r="B153" s="13">
        <v>34.0</v>
      </c>
      <c r="C153" s="13" t="s">
        <v>384</v>
      </c>
      <c r="D153" s="13" t="s">
        <v>481</v>
      </c>
      <c r="E153" s="14" t="s">
        <v>564</v>
      </c>
      <c r="F153" s="15">
        <v>46044.923055555555</v>
      </c>
    </row>
    <row r="154">
      <c r="A154" s="13" t="s">
        <v>565</v>
      </c>
      <c r="B154" s="13">
        <v>35.0</v>
      </c>
      <c r="C154" s="13" t="s">
        <v>387</v>
      </c>
      <c r="D154" s="13" t="s">
        <v>481</v>
      </c>
      <c r="E154" s="14" t="s">
        <v>566</v>
      </c>
      <c r="F154" s="15">
        <v>46044.92319444445</v>
      </c>
    </row>
    <row r="155">
      <c r="A155" s="13" t="s">
        <v>567</v>
      </c>
      <c r="B155" s="13">
        <v>36.0</v>
      </c>
      <c r="C155" s="13" t="s">
        <v>390</v>
      </c>
      <c r="D155" s="13" t="s">
        <v>481</v>
      </c>
      <c r="E155" s="14" t="s">
        <v>568</v>
      </c>
      <c r="F155" s="15">
        <v>46044.923368055555</v>
      </c>
    </row>
    <row r="156">
      <c r="A156" s="13" t="s">
        <v>569</v>
      </c>
      <c r="B156" s="13">
        <v>37.0</v>
      </c>
      <c r="C156" s="13" t="s">
        <v>393</v>
      </c>
      <c r="D156" s="13" t="s">
        <v>481</v>
      </c>
      <c r="E156" s="14" t="s">
        <v>570</v>
      </c>
      <c r="F156" s="15">
        <v>46044.92350694445</v>
      </c>
    </row>
    <row r="157">
      <c r="A157" s="13" t="s">
        <v>571</v>
      </c>
      <c r="B157" s="13">
        <v>38.0</v>
      </c>
      <c r="C157" s="13" t="s">
        <v>396</v>
      </c>
      <c r="D157" s="13" t="s">
        <v>481</v>
      </c>
      <c r="E157" s="14" t="s">
        <v>572</v>
      </c>
      <c r="F157" s="15">
        <v>46044.92376157407</v>
      </c>
    </row>
    <row r="158">
      <c r="A158" s="13" t="s">
        <v>573</v>
      </c>
      <c r="B158" s="13">
        <v>39.0</v>
      </c>
      <c r="C158" s="13" t="s">
        <v>399</v>
      </c>
      <c r="D158" s="13" t="s">
        <v>481</v>
      </c>
      <c r="E158" s="14" t="s">
        <v>574</v>
      </c>
      <c r="F158" s="15">
        <v>46044.92390046296</v>
      </c>
    </row>
    <row r="159">
      <c r="A159" s="13" t="s">
        <v>575</v>
      </c>
      <c r="B159" s="13">
        <v>77.0</v>
      </c>
      <c r="C159" s="13" t="s">
        <v>246</v>
      </c>
      <c r="D159" s="13" t="s">
        <v>481</v>
      </c>
      <c r="E159" s="14" t="s">
        <v>576</v>
      </c>
      <c r="F159" s="15">
        <v>46044.92407407407</v>
      </c>
    </row>
    <row r="160">
      <c r="A160" s="13" t="s">
        <v>577</v>
      </c>
      <c r="B160" s="13">
        <v>87.0</v>
      </c>
      <c r="C160" s="13" t="s">
        <v>264</v>
      </c>
      <c r="D160" s="13" t="s">
        <v>481</v>
      </c>
      <c r="E160" s="14" t="s">
        <v>578</v>
      </c>
      <c r="F160" s="15">
        <v>46044.924259259256</v>
      </c>
    </row>
    <row r="161">
      <c r="A161" s="13" t="s">
        <v>579</v>
      </c>
      <c r="B161" s="13">
        <v>24.0</v>
      </c>
      <c r="C161" s="13" t="s">
        <v>196</v>
      </c>
      <c r="D161" s="13" t="s">
        <v>481</v>
      </c>
      <c r="E161" s="14" t="s">
        <v>580</v>
      </c>
      <c r="F161" s="15">
        <v>46044.92439814815</v>
      </c>
    </row>
    <row r="162">
      <c r="A162" s="13" t="s">
        <v>581</v>
      </c>
      <c r="B162" s="13">
        <v>42.0</v>
      </c>
      <c r="C162" s="13" t="s">
        <v>211</v>
      </c>
      <c r="D162" s="13" t="s">
        <v>481</v>
      </c>
      <c r="E162" s="14" t="s">
        <v>582</v>
      </c>
      <c r="F162" s="15">
        <v>46044.9246412037</v>
      </c>
    </row>
    <row r="163">
      <c r="A163" s="13" t="s">
        <v>583</v>
      </c>
      <c r="B163" s="13">
        <v>98.0</v>
      </c>
      <c r="C163" s="13" t="s">
        <v>282</v>
      </c>
      <c r="D163" s="13" t="s">
        <v>481</v>
      </c>
      <c r="E163" s="14" t="s">
        <v>584</v>
      </c>
      <c r="F163" s="15">
        <v>46044.924780092595</v>
      </c>
    </row>
    <row r="164">
      <c r="A164" s="13" t="s">
        <v>585</v>
      </c>
      <c r="B164" s="13">
        <v>48.0</v>
      </c>
      <c r="C164" s="13" t="s">
        <v>417</v>
      </c>
      <c r="D164" s="13" t="s">
        <v>481</v>
      </c>
      <c r="E164" s="14" t="s">
        <v>586</v>
      </c>
      <c r="F164" s="15">
        <v>46044.9249537037</v>
      </c>
    </row>
    <row r="165">
      <c r="A165" s="13" t="s">
        <v>587</v>
      </c>
      <c r="B165" s="13">
        <v>43.0</v>
      </c>
      <c r="C165" s="13" t="s">
        <v>405</v>
      </c>
      <c r="D165" s="13" t="s">
        <v>481</v>
      </c>
      <c r="E165" s="14" t="s">
        <v>588</v>
      </c>
      <c r="F165" s="15">
        <v>46044.925104166665</v>
      </c>
    </row>
    <row r="166">
      <c r="A166" s="13" t="s">
        <v>589</v>
      </c>
      <c r="B166" s="13">
        <v>46.0</v>
      </c>
      <c r="C166" s="13" t="s">
        <v>411</v>
      </c>
      <c r="D166" s="13" t="s">
        <v>481</v>
      </c>
      <c r="E166" s="14" t="s">
        <v>590</v>
      </c>
      <c r="F166" s="15">
        <v>46044.9252662037</v>
      </c>
    </row>
    <row r="167">
      <c r="A167" s="13" t="s">
        <v>591</v>
      </c>
      <c r="B167" s="13">
        <v>49.0</v>
      </c>
      <c r="C167" s="13" t="s">
        <v>420</v>
      </c>
      <c r="D167" s="13" t="s">
        <v>481</v>
      </c>
      <c r="E167" s="14" t="s">
        <v>592</v>
      </c>
      <c r="F167" s="15">
        <v>46044.92568287037</v>
      </c>
    </row>
    <row r="168">
      <c r="A168" s="13" t="s">
        <v>593</v>
      </c>
      <c r="B168" s="13">
        <v>102.0</v>
      </c>
      <c r="C168" s="13" t="s">
        <v>166</v>
      </c>
      <c r="D168" s="13" t="s">
        <v>481</v>
      </c>
      <c r="E168" s="14" t="s">
        <v>594</v>
      </c>
      <c r="F168" s="15">
        <v>46044.925833333335</v>
      </c>
    </row>
    <row r="169">
      <c r="A169" s="13" t="s">
        <v>595</v>
      </c>
      <c r="B169" s="13">
        <v>41.0</v>
      </c>
      <c r="C169" s="13" t="s">
        <v>208</v>
      </c>
      <c r="D169" s="13" t="s">
        <v>481</v>
      </c>
      <c r="E169" s="14" t="s">
        <v>596</v>
      </c>
      <c r="F169" s="15">
        <v>46044.926087962966</v>
      </c>
    </row>
    <row r="170">
      <c r="A170" s="13" t="s">
        <v>597</v>
      </c>
      <c r="B170" s="13">
        <v>47.0</v>
      </c>
      <c r="C170" s="13" t="s">
        <v>414</v>
      </c>
      <c r="D170" s="13" t="s">
        <v>481</v>
      </c>
      <c r="E170" s="14" t="s">
        <v>598</v>
      </c>
      <c r="F170" s="15">
        <v>46044.933020833334</v>
      </c>
    </row>
    <row r="171">
      <c r="A171" s="13" t="s">
        <v>599</v>
      </c>
      <c r="B171" s="13">
        <v>102.0</v>
      </c>
      <c r="C171" s="13" t="s">
        <v>166</v>
      </c>
      <c r="D171" s="13" t="s">
        <v>481</v>
      </c>
      <c r="E171" s="14" t="s">
        <v>600</v>
      </c>
      <c r="F171" s="15">
        <v>46044.933333333334</v>
      </c>
    </row>
    <row r="172">
      <c r="A172" s="13" t="s">
        <v>601</v>
      </c>
      <c r="B172" s="13">
        <v>41.0</v>
      </c>
      <c r="C172" s="13" t="s">
        <v>208</v>
      </c>
      <c r="D172" s="13" t="s">
        <v>481</v>
      </c>
      <c r="E172" s="14" t="s">
        <v>602</v>
      </c>
      <c r="F172" s="15">
        <v>46044.93373842593</v>
      </c>
    </row>
    <row r="173">
      <c r="A173" s="13" t="s">
        <v>603</v>
      </c>
      <c r="B173" s="13">
        <v>64.0</v>
      </c>
      <c r="C173" s="13" t="s">
        <v>222</v>
      </c>
      <c r="D173" s="13" t="s">
        <v>481</v>
      </c>
      <c r="E173" s="14" t="s">
        <v>604</v>
      </c>
      <c r="F173" s="15">
        <v>46044.93398148148</v>
      </c>
    </row>
    <row r="174">
      <c r="A174" s="13" t="s">
        <v>605</v>
      </c>
      <c r="B174" s="13">
        <v>51.0</v>
      </c>
      <c r="C174" s="13" t="s">
        <v>426</v>
      </c>
      <c r="D174" s="13" t="s">
        <v>481</v>
      </c>
      <c r="E174" s="14" t="s">
        <v>606</v>
      </c>
      <c r="F174" s="15">
        <v>46044.93412037037</v>
      </c>
    </row>
    <row r="175">
      <c r="A175" s="13" t="s">
        <v>607</v>
      </c>
      <c r="B175" s="13">
        <v>54.0</v>
      </c>
      <c r="C175" s="13" t="s">
        <v>429</v>
      </c>
      <c r="D175" s="13" t="s">
        <v>481</v>
      </c>
      <c r="E175" s="14" t="s">
        <v>608</v>
      </c>
      <c r="F175" s="15">
        <v>46044.934270833335</v>
      </c>
    </row>
    <row r="176">
      <c r="A176" s="13" t="s">
        <v>609</v>
      </c>
      <c r="B176" s="13">
        <v>55.0</v>
      </c>
      <c r="C176" s="13" t="s">
        <v>432</v>
      </c>
      <c r="D176" s="13" t="s">
        <v>481</v>
      </c>
      <c r="E176" s="14" t="s">
        <v>610</v>
      </c>
      <c r="F176" s="15">
        <v>46044.93440972222</v>
      </c>
    </row>
    <row r="177">
      <c r="A177" s="13" t="s">
        <v>611</v>
      </c>
      <c r="B177" s="13">
        <v>56.0</v>
      </c>
      <c r="C177" s="13" t="s">
        <v>435</v>
      </c>
      <c r="D177" s="13" t="s">
        <v>481</v>
      </c>
      <c r="E177" s="14" t="s">
        <v>612</v>
      </c>
      <c r="F177" s="15">
        <v>46044.93456018518</v>
      </c>
    </row>
    <row r="178">
      <c r="A178" s="13" t="s">
        <v>613</v>
      </c>
      <c r="B178" s="13">
        <v>58.0</v>
      </c>
      <c r="C178" s="13" t="s">
        <v>441</v>
      </c>
      <c r="D178" s="13" t="s">
        <v>481</v>
      </c>
      <c r="E178" s="14" t="s">
        <v>614</v>
      </c>
      <c r="F178" s="15">
        <v>46044.93478009259</v>
      </c>
    </row>
    <row r="179">
      <c r="A179" s="13" t="s">
        <v>615</v>
      </c>
      <c r="B179" s="13">
        <v>73.0</v>
      </c>
      <c r="C179" s="13" t="s">
        <v>237</v>
      </c>
      <c r="D179" s="13" t="s">
        <v>481</v>
      </c>
      <c r="E179" s="14" t="s">
        <v>616</v>
      </c>
      <c r="F179" s="15">
        <v>46044.93494212963</v>
      </c>
    </row>
    <row r="180">
      <c r="A180" s="13" t="s">
        <v>617</v>
      </c>
      <c r="B180" s="13">
        <v>74.0</v>
      </c>
      <c r="C180" s="13" t="s">
        <v>240</v>
      </c>
      <c r="D180" s="13" t="s">
        <v>481</v>
      </c>
      <c r="E180" s="14" t="s">
        <v>618</v>
      </c>
      <c r="F180" s="15">
        <v>46044.93509259259</v>
      </c>
    </row>
    <row r="181">
      <c r="A181" s="13" t="s">
        <v>619</v>
      </c>
      <c r="B181" s="13">
        <v>106.0</v>
      </c>
      <c r="C181" s="13" t="s">
        <v>178</v>
      </c>
      <c r="D181" s="13" t="s">
        <v>481</v>
      </c>
      <c r="E181" s="14" t="s">
        <v>620</v>
      </c>
      <c r="F181" s="15">
        <v>46044.93524305556</v>
      </c>
    </row>
    <row r="182">
      <c r="A182" s="13" t="s">
        <v>621</v>
      </c>
      <c r="B182" s="13">
        <v>107.0</v>
      </c>
      <c r="C182" s="13" t="s">
        <v>181</v>
      </c>
      <c r="D182" s="13" t="s">
        <v>481</v>
      </c>
      <c r="E182" s="14" t="s">
        <v>622</v>
      </c>
      <c r="F182" s="15">
        <v>46044.93539351852</v>
      </c>
    </row>
    <row r="183">
      <c r="A183" s="13" t="s">
        <v>623</v>
      </c>
      <c r="B183" s="13">
        <v>23.0</v>
      </c>
      <c r="C183" s="13" t="s">
        <v>193</v>
      </c>
      <c r="D183" s="13" t="s">
        <v>481</v>
      </c>
      <c r="E183" s="14" t="s">
        <v>624</v>
      </c>
      <c r="F183" s="15">
        <v>46044.935636574075</v>
      </c>
    </row>
    <row r="184">
      <c r="A184" s="13" t="s">
        <v>625</v>
      </c>
      <c r="B184" s="13">
        <v>40.0</v>
      </c>
      <c r="C184" s="13" t="s">
        <v>205</v>
      </c>
      <c r="D184" s="13" t="s">
        <v>481</v>
      </c>
      <c r="E184" s="14" t="s">
        <v>626</v>
      </c>
      <c r="F184" s="15">
        <v>46044.93582175926</v>
      </c>
    </row>
    <row r="185">
      <c r="A185" s="13" t="s">
        <v>627</v>
      </c>
      <c r="B185" s="13">
        <v>71.0</v>
      </c>
      <c r="C185" s="13" t="s">
        <v>234</v>
      </c>
      <c r="D185" s="13" t="s">
        <v>481</v>
      </c>
      <c r="E185" s="14" t="s">
        <v>628</v>
      </c>
      <c r="F185" s="15">
        <v>46044.9359837963</v>
      </c>
    </row>
    <row r="186">
      <c r="A186" s="13" t="s">
        <v>629</v>
      </c>
      <c r="B186" s="13">
        <v>65.0</v>
      </c>
      <c r="C186" s="13" t="s">
        <v>456</v>
      </c>
      <c r="D186" s="13" t="s">
        <v>481</v>
      </c>
      <c r="E186" s="14" t="s">
        <v>630</v>
      </c>
      <c r="F186" s="15">
        <v>46044.936203703706</v>
      </c>
    </row>
    <row r="187">
      <c r="A187" s="13" t="s">
        <v>631</v>
      </c>
      <c r="B187" s="13">
        <v>100.0</v>
      </c>
      <c r="C187" s="13" t="s">
        <v>159</v>
      </c>
      <c r="D187" s="13" t="s">
        <v>481</v>
      </c>
      <c r="E187" s="14" t="s">
        <v>632</v>
      </c>
      <c r="F187" s="15">
        <v>46044.93646990741</v>
      </c>
    </row>
    <row r="188">
      <c r="A188" s="13" t="s">
        <v>633</v>
      </c>
      <c r="B188" s="13">
        <v>123.0</v>
      </c>
      <c r="C188" s="13" t="s">
        <v>18</v>
      </c>
      <c r="D188" s="13" t="s">
        <v>481</v>
      </c>
      <c r="E188" s="14" t="s">
        <v>634</v>
      </c>
      <c r="F188" s="15">
        <v>46044.94913194444</v>
      </c>
    </row>
    <row r="189">
      <c r="A189" s="13" t="s">
        <v>635</v>
      </c>
      <c r="B189" s="13">
        <v>61.0</v>
      </c>
      <c r="C189" s="13" t="s">
        <v>450</v>
      </c>
      <c r="D189" s="13" t="s">
        <v>481</v>
      </c>
      <c r="E189" s="14" t="s">
        <v>636</v>
      </c>
      <c r="F189" s="15">
        <v>46044.95017361111</v>
      </c>
    </row>
    <row r="190">
      <c r="A190" s="13" t="s">
        <v>637</v>
      </c>
      <c r="B190" s="13">
        <v>110.0</v>
      </c>
      <c r="C190" s="13" t="s">
        <v>294</v>
      </c>
      <c r="D190" s="13" t="s">
        <v>481</v>
      </c>
      <c r="E190" s="14" t="s">
        <v>638</v>
      </c>
      <c r="F190" s="15">
        <v>46044.9503125</v>
      </c>
    </row>
    <row r="191">
      <c r="A191" s="13" t="s">
        <v>639</v>
      </c>
      <c r="B191" s="13">
        <v>111.0</v>
      </c>
      <c r="C191" s="13" t="s">
        <v>297</v>
      </c>
      <c r="D191" s="13" t="s">
        <v>481</v>
      </c>
      <c r="E191" s="14" t="s">
        <v>640</v>
      </c>
      <c r="F191" s="15">
        <v>46044.950474537036</v>
      </c>
    </row>
    <row r="192">
      <c r="A192" s="13" t="s">
        <v>641</v>
      </c>
      <c r="B192" s="13">
        <v>113.0</v>
      </c>
      <c r="C192" s="13" t="s">
        <v>303</v>
      </c>
      <c r="D192" s="13" t="s">
        <v>481</v>
      </c>
      <c r="E192" s="14" t="s">
        <v>642</v>
      </c>
      <c r="F192" s="15">
        <v>46044.950636574074</v>
      </c>
    </row>
    <row r="193">
      <c r="A193" s="13" t="s">
        <v>643</v>
      </c>
      <c r="B193" s="13">
        <v>114.0</v>
      </c>
      <c r="C193" s="13" t="s">
        <v>306</v>
      </c>
      <c r="D193" s="13" t="s">
        <v>481</v>
      </c>
      <c r="E193" s="14" t="s">
        <v>644</v>
      </c>
      <c r="F193" s="15">
        <v>46044.95076388889</v>
      </c>
    </row>
    <row r="194">
      <c r="A194" s="13" t="s">
        <v>645</v>
      </c>
      <c r="B194" s="13">
        <v>116.0</v>
      </c>
      <c r="C194" s="13" t="s">
        <v>312</v>
      </c>
      <c r="D194" s="13" t="s">
        <v>481</v>
      </c>
      <c r="E194" s="14" t="s">
        <v>646</v>
      </c>
      <c r="F194" s="15">
        <v>46044.95112268518</v>
      </c>
    </row>
    <row r="195">
      <c r="A195" s="13" t="s">
        <v>647</v>
      </c>
      <c r="B195" s="13">
        <v>118.0</v>
      </c>
      <c r="C195" s="13" t="s">
        <v>318</v>
      </c>
      <c r="D195" s="13" t="s">
        <v>481</v>
      </c>
      <c r="E195" s="14" t="s">
        <v>648</v>
      </c>
      <c r="F195" s="15">
        <v>46044.951273148145</v>
      </c>
    </row>
    <row r="196">
      <c r="A196" s="13" t="s">
        <v>649</v>
      </c>
      <c r="B196" s="13">
        <v>119.0</v>
      </c>
      <c r="C196" s="13" t="s">
        <v>321</v>
      </c>
      <c r="D196" s="13" t="s">
        <v>481</v>
      </c>
      <c r="E196" s="14" t="s">
        <v>650</v>
      </c>
      <c r="F196" s="15">
        <v>46044.951469907406</v>
      </c>
    </row>
    <row r="197">
      <c r="A197" s="13" t="s">
        <v>651</v>
      </c>
      <c r="B197" s="13">
        <v>124.0</v>
      </c>
      <c r="C197" s="13" t="s">
        <v>327</v>
      </c>
      <c r="D197" s="13" t="s">
        <v>481</v>
      </c>
      <c r="E197" s="14" t="s">
        <v>652</v>
      </c>
      <c r="F197" s="15">
        <v>46044.95166666667</v>
      </c>
    </row>
    <row r="198">
      <c r="A198" s="13" t="s">
        <v>653</v>
      </c>
      <c r="B198" s="13">
        <v>57.0</v>
      </c>
      <c r="C198" s="13" t="s">
        <v>438</v>
      </c>
      <c r="D198" s="13" t="s">
        <v>481</v>
      </c>
      <c r="E198" s="14" t="s">
        <v>654</v>
      </c>
      <c r="F198" s="15">
        <v>46044.951875</v>
      </c>
    </row>
    <row r="199">
      <c r="A199" s="13" t="s">
        <v>655</v>
      </c>
      <c r="B199" s="13">
        <v>86.0</v>
      </c>
      <c r="C199" s="13" t="s">
        <v>462</v>
      </c>
      <c r="D199" s="13" t="s">
        <v>481</v>
      </c>
      <c r="E199" s="14" t="s">
        <v>656</v>
      </c>
      <c r="F199" s="15">
        <v>46044.95216435185</v>
      </c>
    </row>
    <row r="200">
      <c r="A200" s="13" t="s">
        <v>657</v>
      </c>
      <c r="B200" s="13">
        <v>125.0</v>
      </c>
      <c r="C200" s="13" t="s">
        <v>658</v>
      </c>
      <c r="D200" s="13" t="s">
        <v>481</v>
      </c>
      <c r="E200" s="14" t="s">
        <v>659</v>
      </c>
      <c r="F200" s="15">
        <v>46044.952314814815</v>
      </c>
    </row>
    <row r="201">
      <c r="A201" s="13" t="s">
        <v>660</v>
      </c>
      <c r="B201" s="13">
        <v>127.0</v>
      </c>
      <c r="C201" s="13" t="s">
        <v>661</v>
      </c>
      <c r="D201" s="13" t="s">
        <v>481</v>
      </c>
      <c r="E201" s="14" t="s">
        <v>662</v>
      </c>
      <c r="F201" s="15">
        <v>46044.952511574076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</hyperlinks>
  <drawing r:id="rId20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107</v>
      </c>
      <c r="B1" s="13" t="s">
        <v>663</v>
      </c>
      <c r="C1" s="13" t="s">
        <v>664</v>
      </c>
      <c r="D1" s="13" t="s">
        <v>665</v>
      </c>
      <c r="E1" s="13" t="s">
        <v>666</v>
      </c>
      <c r="F1" s="13" t="s">
        <v>667</v>
      </c>
      <c r="G1" s="13" t="s">
        <v>668</v>
      </c>
      <c r="H1" s="13" t="s">
        <v>669</v>
      </c>
    </row>
    <row r="2">
      <c r="A2" s="16">
        <v>1.0</v>
      </c>
      <c r="B2" s="16" t="s">
        <v>468</v>
      </c>
      <c r="C2" s="16" t="s">
        <v>670</v>
      </c>
      <c r="D2" s="16" t="s">
        <v>671</v>
      </c>
    </row>
    <row r="3">
      <c r="A3" s="13" t="s">
        <v>672</v>
      </c>
      <c r="B3" s="13" t="s">
        <v>673</v>
      </c>
      <c r="C3" s="13" t="s">
        <v>670</v>
      </c>
      <c r="D3" s="13" t="s">
        <v>671</v>
      </c>
      <c r="E3" s="13" t="s">
        <v>674</v>
      </c>
      <c r="F3" s="17">
        <v>46014.84714841435</v>
      </c>
      <c r="G3" s="13" t="s">
        <v>675</v>
      </c>
      <c r="H3" s="13" t="b">
        <v>1</v>
      </c>
    </row>
    <row r="4">
      <c r="A4" s="13" t="s">
        <v>676</v>
      </c>
      <c r="B4" s="13" t="s">
        <v>160</v>
      </c>
      <c r="C4" s="13" t="s">
        <v>677</v>
      </c>
      <c r="D4" s="13" t="s">
        <v>678</v>
      </c>
      <c r="E4" s="13" t="s">
        <v>674</v>
      </c>
      <c r="F4" s="17">
        <v>46037.53466510416</v>
      </c>
      <c r="G4" s="13" t="s">
        <v>675</v>
      </c>
      <c r="H4" s="13" t="b">
        <v>1</v>
      </c>
    </row>
    <row r="5">
      <c r="A5" s="13" t="s">
        <v>679</v>
      </c>
      <c r="B5" s="13" t="s">
        <v>481</v>
      </c>
      <c r="C5" s="13" t="s">
        <v>680</v>
      </c>
      <c r="D5" s="13" t="s">
        <v>681</v>
      </c>
      <c r="E5" s="13" t="s">
        <v>674</v>
      </c>
      <c r="F5" s="17">
        <v>46044.91448082176</v>
      </c>
      <c r="G5" s="13" t="s">
        <v>675</v>
      </c>
      <c r="H5" s="13" t="b">
        <v>1</v>
      </c>
    </row>
    <row r="6">
      <c r="A6" s="13" t="s">
        <v>682</v>
      </c>
      <c r="B6" s="13" t="s">
        <v>683</v>
      </c>
      <c r="C6" s="13" t="s">
        <v>684</v>
      </c>
      <c r="D6" s="13" t="s">
        <v>685</v>
      </c>
      <c r="E6" s="13" t="s">
        <v>674</v>
      </c>
      <c r="F6" s="17">
        <v>46153.674679351854</v>
      </c>
      <c r="G6" s="13" t="s">
        <v>675</v>
      </c>
      <c r="H6" s="13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13"/>
    <col customWidth="1" min="3" max="3" width="22.88"/>
    <col customWidth="1" min="4" max="4" width="14.13"/>
    <col customWidth="1" min="6" max="6" width="25.13"/>
  </cols>
  <sheetData>
    <row r="1" ht="22.5" customHeight="1">
      <c r="A1" s="18" t="s">
        <v>107</v>
      </c>
      <c r="B1" s="18" t="s">
        <v>0</v>
      </c>
      <c r="C1" s="18" t="s">
        <v>1</v>
      </c>
      <c r="D1" s="18" t="s">
        <v>686</v>
      </c>
      <c r="E1" s="19" t="s">
        <v>687</v>
      </c>
      <c r="F1" s="18" t="s">
        <v>157</v>
      </c>
      <c r="G1" s="20" t="s">
        <v>688</v>
      </c>
      <c r="H1" s="20" t="s">
        <v>689</v>
      </c>
      <c r="I1" s="20" t="s">
        <v>690</v>
      </c>
      <c r="J1" s="20" t="s">
        <v>691</v>
      </c>
      <c r="K1" s="20" t="s">
        <v>692</v>
      </c>
    </row>
    <row r="2" ht="22.5" customHeight="1">
      <c r="A2" s="21" t="s">
        <v>693</v>
      </c>
      <c r="B2" s="22" t="s">
        <v>694</v>
      </c>
      <c r="C2" s="22" t="s">
        <v>175</v>
      </c>
      <c r="D2" s="21"/>
      <c r="E2" s="21" t="s">
        <v>137</v>
      </c>
      <c r="F2" s="22" t="s">
        <v>695</v>
      </c>
      <c r="G2" s="21" t="s">
        <v>695</v>
      </c>
      <c r="H2" s="21" t="str">
        <f t="array" ref="H2:H102">if(B2:B102="","",XLOOKUP(E2:E102,departments!A2:A14,departments!B2:B14))</f>
        <v>🎉 สวัสดิการ/นันทนาการ</v>
      </c>
      <c r="I2" s="21"/>
      <c r="J2" s="21"/>
      <c r="K2" s="21" t="str">
        <f>IFERROR(__xludf.DUMMYFUNCTION("IF(OR(REGEXMATCH(C2,""^(เด็กหญิง|ด\.ญ\.|นางสาว|น\.ส\.)""),REGEXMATCH(C2,""หญิง"")),""หญิง"",IF(OR(REGEXMATCH(C2,""^(เด็กชาย|ด\.ช\.|นาย)""),REGEXMATCH(C2,""ชาย"")),""ชาย"",""""))"),"ชาย")</f>
        <v>ชาย</v>
      </c>
    </row>
    <row r="3" ht="22.5" customHeight="1">
      <c r="A3" s="23" t="s">
        <v>696</v>
      </c>
      <c r="B3" s="24" t="s">
        <v>697</v>
      </c>
      <c r="C3" s="24" t="s">
        <v>261</v>
      </c>
      <c r="D3" s="23"/>
      <c r="E3" s="21" t="s">
        <v>144</v>
      </c>
      <c r="F3" s="24" t="s">
        <v>698</v>
      </c>
      <c r="G3" s="21" t="s">
        <v>698</v>
      </c>
      <c r="H3" s="21" t="s">
        <v>699</v>
      </c>
      <c r="I3" s="21"/>
      <c r="J3" s="21"/>
      <c r="K3" s="21" t="str">
        <f>IFERROR(__xludf.DUMMYFUNCTION("IF(OR(REGEXMATCH(C3,""^(เด็กหญิง|ด\.ญ\.|นางสาว|น\.ส\.)""),REGEXMATCH(C3,""หญิง"")),""หญิง"",IF(OR(REGEXMATCH(C3,""^(เด็กชาย|ด\.ช\.|นาย)""),REGEXMATCH(C3,""ชาย"")),""ชาย"",""""))"),"ชาย")</f>
        <v>ชาย</v>
      </c>
    </row>
    <row r="4" ht="22.5" customHeight="1">
      <c r="A4" s="21" t="s">
        <v>700</v>
      </c>
      <c r="B4" s="22" t="s">
        <v>701</v>
      </c>
      <c r="C4" s="22" t="s">
        <v>169</v>
      </c>
      <c r="D4" s="21"/>
      <c r="E4" s="21" t="s">
        <v>151</v>
      </c>
      <c r="F4" s="22" t="s">
        <v>702</v>
      </c>
      <c r="G4" s="21" t="s">
        <v>702</v>
      </c>
      <c r="H4" s="21" t="s">
        <v>703</v>
      </c>
      <c r="I4" s="21"/>
      <c r="J4" s="21"/>
      <c r="K4" s="21" t="str">
        <f>IFERROR(__xludf.DUMMYFUNCTION("IF(OR(REGEXMATCH(C4,""^(เด็กหญิง|ด\.ญ\.|นางสาว|น\.ส\.)""),REGEXMATCH(C4,""หญิง"")),""หญิง"",IF(OR(REGEXMATCH(C4,""^(เด็กชาย|ด\.ช\.|นาย)""),REGEXMATCH(C4,""ชาย"")),""ชาย"",""""))"),"ชาย")</f>
        <v>ชาย</v>
      </c>
    </row>
    <row r="5" ht="22.5" customHeight="1">
      <c r="A5" s="23" t="s">
        <v>704</v>
      </c>
      <c r="B5" s="24" t="s">
        <v>705</v>
      </c>
      <c r="C5" s="24" t="s">
        <v>252</v>
      </c>
      <c r="D5" s="23"/>
      <c r="E5" s="21" t="s">
        <v>137</v>
      </c>
      <c r="F5" s="24" t="s">
        <v>706</v>
      </c>
      <c r="G5" s="21" t="s">
        <v>706</v>
      </c>
      <c r="H5" s="21" t="s">
        <v>707</v>
      </c>
      <c r="I5" s="21"/>
      <c r="J5" s="21"/>
      <c r="K5" s="21" t="str">
        <f>IFERROR(__xludf.DUMMYFUNCTION("IF(OR(REGEXMATCH(C5,""^(เด็กหญิง|ด\.ญ\.|นางสาว|น\.ส\.)""),REGEXMATCH(C5,""หญิง"")),""หญิง"",IF(OR(REGEXMATCH(C5,""^(เด็กชาย|ด\.ช\.|นาย)""),REGEXMATCH(C5,""ชาย"")),""ชาย"",""""))"),"ชาย")</f>
        <v>ชาย</v>
      </c>
    </row>
    <row r="6" ht="22.5" customHeight="1">
      <c r="A6" s="23" t="s">
        <v>708</v>
      </c>
      <c r="B6" s="24" t="s">
        <v>709</v>
      </c>
      <c r="C6" s="24" t="s">
        <v>231</v>
      </c>
      <c r="D6" s="23"/>
      <c r="E6" s="21" t="s">
        <v>131</v>
      </c>
      <c r="F6" s="24" t="s">
        <v>710</v>
      </c>
      <c r="G6" s="21" t="s">
        <v>710</v>
      </c>
      <c r="H6" s="21" t="s">
        <v>711</v>
      </c>
      <c r="I6" s="21"/>
      <c r="J6" s="21"/>
      <c r="K6" s="21" t="str">
        <f>IFERROR(__xludf.DUMMYFUNCTION("IF(OR(REGEXMATCH(C6,""^(เด็กหญิง|ด\.ญ\.|นางสาว|น\.ส\.)""),REGEXMATCH(C6,""หญิง"")),""หญิง"",IF(OR(REGEXMATCH(C6,""^(เด็กชาย|ด\.ช\.|นาย)""),REGEXMATCH(C6,""ชาย"")),""ชาย"",""""))"),"ชาย")</f>
        <v>ชาย</v>
      </c>
    </row>
    <row r="7" ht="22.5" customHeight="1">
      <c r="A7" s="25" t="s">
        <v>712</v>
      </c>
      <c r="B7" s="26" t="s">
        <v>713</v>
      </c>
      <c r="C7" s="26" t="s">
        <v>172</v>
      </c>
      <c r="D7" s="25"/>
      <c r="E7" s="25" t="s">
        <v>144</v>
      </c>
      <c r="F7" s="26" t="s">
        <v>714</v>
      </c>
      <c r="G7" s="25" t="s">
        <v>714</v>
      </c>
      <c r="H7" s="25" t="s">
        <v>699</v>
      </c>
      <c r="I7" s="25"/>
      <c r="J7" s="25"/>
      <c r="K7" s="21" t="str">
        <f>IFERROR(__xludf.DUMMYFUNCTION("IF(OR(REGEXMATCH(C7,""^(เด็กหญิง|ด\.ญ\.|นางสาว|น\.ส\.)""),REGEXMATCH(C7,""หญิง"")),""หญิง"",IF(OR(REGEXMATCH(C7,""^(เด็กชาย|ด\.ช\.|นาย)""),REGEXMATCH(C7,""ชาย"")),""ชาย"",""""))"),"ชาย")</f>
        <v>ชาย</v>
      </c>
    </row>
    <row r="8" ht="22.5" customHeight="1">
      <c r="A8" s="23" t="s">
        <v>715</v>
      </c>
      <c r="B8" s="24" t="s">
        <v>716</v>
      </c>
      <c r="C8" s="24" t="s">
        <v>276</v>
      </c>
      <c r="D8" s="23"/>
      <c r="E8" s="21" t="s">
        <v>123</v>
      </c>
      <c r="F8" s="24" t="s">
        <v>717</v>
      </c>
      <c r="G8" s="21" t="s">
        <v>717</v>
      </c>
      <c r="H8" s="21" t="s">
        <v>718</v>
      </c>
      <c r="I8" s="21"/>
      <c r="J8" s="21"/>
      <c r="K8" s="21" t="str">
        <f>IFERROR(__xludf.DUMMYFUNCTION("IF(OR(REGEXMATCH(C8,""^(เด็กหญิง|ด\.ญ\.|นางสาว|น\.ส\.)""),REGEXMATCH(C8,""หญิง"")),""หญิง"",IF(OR(REGEXMATCH(C8,""^(เด็กชาย|ด\.ช\.|นาย)""),REGEXMATCH(C8,""ชาย"")),""ชาย"",""""))"),"ชาย")</f>
        <v>ชาย</v>
      </c>
    </row>
    <row r="9" ht="22.5" customHeight="1">
      <c r="A9" s="23" t="s">
        <v>719</v>
      </c>
      <c r="B9" s="24" t="s">
        <v>720</v>
      </c>
      <c r="C9" s="24" t="s">
        <v>225</v>
      </c>
      <c r="D9" s="23"/>
      <c r="E9" s="21" t="s">
        <v>144</v>
      </c>
      <c r="F9" s="24" t="s">
        <v>721</v>
      </c>
      <c r="G9" s="21" t="s">
        <v>721</v>
      </c>
      <c r="H9" s="21" t="s">
        <v>699</v>
      </c>
      <c r="I9" s="21"/>
      <c r="J9" s="21"/>
      <c r="K9" s="21" t="str">
        <f>IFERROR(__xludf.DUMMYFUNCTION("IF(OR(REGEXMATCH(C9,""^(เด็กหญิง|ด\.ญ\.|นางสาว|น\.ส\.)""),REGEXMATCH(C9,""หญิง"")),""หญิง"",IF(OR(REGEXMATCH(C9,""^(เด็กชาย|ด\.ช\.|นาย)""),REGEXMATCH(C9,""ชาย"")),""ชาย"",""""))"),"ชาย")</f>
        <v>ชาย</v>
      </c>
    </row>
    <row r="10" ht="22.5" customHeight="1">
      <c r="A10" s="23" t="s">
        <v>722</v>
      </c>
      <c r="B10" s="24" t="s">
        <v>723</v>
      </c>
      <c r="C10" s="24" t="s">
        <v>249</v>
      </c>
      <c r="D10" s="23"/>
      <c r="E10" s="21" t="s">
        <v>131</v>
      </c>
      <c r="F10" s="24" t="s">
        <v>724</v>
      </c>
      <c r="G10" s="21" t="s">
        <v>724</v>
      </c>
      <c r="H10" s="21" t="s">
        <v>711</v>
      </c>
      <c r="I10" s="21"/>
      <c r="J10" s="21"/>
      <c r="K10" s="21" t="str">
        <f>IFERROR(__xludf.DUMMYFUNCTION("IF(OR(REGEXMATCH(C10,""^(เด็กหญิง|ด\.ญ\.|นางสาว|น\.ส\.)""),REGEXMATCH(C10,""หญิง"")),""หญิง"",IF(OR(REGEXMATCH(C10,""^(เด็กชาย|ด\.ช\.|นาย)""),REGEXMATCH(C10,""ชาย"")),""ชาย"",""""))"),"ชาย")</f>
        <v>ชาย</v>
      </c>
    </row>
    <row r="11" ht="22.5" customHeight="1">
      <c r="A11" s="23" t="s">
        <v>725</v>
      </c>
      <c r="B11" s="24" t="s">
        <v>726</v>
      </c>
      <c r="C11" s="24" t="s">
        <v>228</v>
      </c>
      <c r="D11" s="23"/>
      <c r="E11" s="21" t="s">
        <v>148</v>
      </c>
      <c r="F11" s="24" t="s">
        <v>727</v>
      </c>
      <c r="G11" s="21" t="s">
        <v>727</v>
      </c>
      <c r="H11" s="21" t="s">
        <v>728</v>
      </c>
      <c r="I11" s="21"/>
      <c r="J11" s="21"/>
      <c r="K11" s="21" t="str">
        <f>IFERROR(__xludf.DUMMYFUNCTION("IF(OR(REGEXMATCH(C11,""^(เด็กหญิง|ด\.ญ\.|นางสาว|น\.ส\.)""),REGEXMATCH(C11,""หญิง"")),""หญิง"",IF(OR(REGEXMATCH(C11,""^(เด็กชาย|ด\.ช\.|นาย)""),REGEXMATCH(C11,""ชาย"")),""ชาย"",""""))"),"ชาย")</f>
        <v>ชาย</v>
      </c>
    </row>
    <row r="12" ht="22.5" customHeight="1">
      <c r="A12" s="23" t="s">
        <v>729</v>
      </c>
      <c r="B12" s="23" t="s">
        <v>730</v>
      </c>
      <c r="C12" s="23" t="s">
        <v>258</v>
      </c>
      <c r="D12" s="23"/>
      <c r="E12" s="21" t="s">
        <v>148</v>
      </c>
      <c r="F12" s="23" t="s">
        <v>731</v>
      </c>
      <c r="G12" s="21" t="s">
        <v>731</v>
      </c>
      <c r="H12" s="21" t="s">
        <v>728</v>
      </c>
      <c r="I12" s="21"/>
      <c r="J12" s="21"/>
      <c r="K12" s="21" t="str">
        <f>IFERROR(__xludf.DUMMYFUNCTION("IF(OR(REGEXMATCH(C12,""^(เด็กหญิง|ด\.ญ\.|นางสาว|น\.ส\.)""),REGEXMATCH(C12,""หญิง"")),""หญิง"",IF(OR(REGEXMATCH(C12,""^(เด็กชาย|ด\.ช\.|นาย)""),REGEXMATCH(C12,""ชาย"")),""ชาย"",""""))"),"ชาย")</f>
        <v>ชาย</v>
      </c>
    </row>
    <row r="13" ht="22.5" customHeight="1">
      <c r="A13" s="25" t="s">
        <v>732</v>
      </c>
      <c r="B13" s="25" t="s">
        <v>733</v>
      </c>
      <c r="C13" s="25" t="s">
        <v>163</v>
      </c>
      <c r="D13" s="25"/>
      <c r="E13" s="25" t="s">
        <v>734</v>
      </c>
      <c r="F13" s="25" t="s">
        <v>735</v>
      </c>
      <c r="G13" s="25" t="s">
        <v>735</v>
      </c>
      <c r="H13" s="25" t="s">
        <v>736</v>
      </c>
      <c r="I13" s="25"/>
      <c r="J13" s="25"/>
      <c r="K13" s="21" t="str">
        <f>IFERROR(__xludf.DUMMYFUNCTION("IF(OR(REGEXMATCH(C13,""^(เด็กหญิง|ด\.ญ\.|นางสาว|น\.ส\.)""),REGEXMATCH(C13,""หญิง"")),""หญิง"",IF(OR(REGEXMATCH(C13,""^(เด็กชาย|ด\.ช\.|นาย)""),REGEXMATCH(C13,""ชาย"")),""ชาย"",""""))"),"ชาย")</f>
        <v>ชาย</v>
      </c>
    </row>
    <row r="14" ht="22.5" customHeight="1">
      <c r="A14" s="23" t="s">
        <v>737</v>
      </c>
      <c r="B14" s="23" t="s">
        <v>738</v>
      </c>
      <c r="C14" s="23" t="s">
        <v>243</v>
      </c>
      <c r="D14" s="23"/>
      <c r="E14" s="21" t="s">
        <v>144</v>
      </c>
      <c r="F14" s="23" t="s">
        <v>739</v>
      </c>
      <c r="G14" s="21" t="s">
        <v>739</v>
      </c>
      <c r="H14" s="21" t="s">
        <v>699</v>
      </c>
      <c r="I14" s="21"/>
      <c r="J14" s="21"/>
      <c r="K14" s="21" t="str">
        <f>IFERROR(__xludf.DUMMYFUNCTION("IF(OR(REGEXMATCH(C14,""^(เด็กหญิง|ด\.ญ\.|นางสาว|น\.ส\.)""),REGEXMATCH(C14,""หญิง"")),""หญิง"",IF(OR(REGEXMATCH(C14,""^(เด็กชาย|ด\.ช\.|นาย)""),REGEXMATCH(C14,""ชาย"")),""ชาย"",""""))"),"ชาย")</f>
        <v>ชาย</v>
      </c>
    </row>
    <row r="15" ht="22.5" customHeight="1">
      <c r="A15" s="23" t="s">
        <v>740</v>
      </c>
      <c r="B15" s="23" t="s">
        <v>741</v>
      </c>
      <c r="C15" s="23" t="s">
        <v>255</v>
      </c>
      <c r="D15" s="23"/>
      <c r="E15" s="21" t="s">
        <v>148</v>
      </c>
      <c r="F15" s="23" t="s">
        <v>742</v>
      </c>
      <c r="G15" s="21" t="s">
        <v>742</v>
      </c>
      <c r="H15" s="21" t="s">
        <v>728</v>
      </c>
      <c r="I15" s="21"/>
      <c r="J15" s="21"/>
      <c r="K15" s="21" t="str">
        <f>IFERROR(__xludf.DUMMYFUNCTION("IF(OR(REGEXMATCH(C15,""^(เด็กหญิง|ด\.ญ\.|นางสาว|น\.ส\.)""),REGEXMATCH(C15,""หญิง"")),""หญิง"",IF(OR(REGEXMATCH(C15,""^(เด็กชาย|ด\.ช\.|นาย)""),REGEXMATCH(C15,""ชาย"")),""ชาย"",""""))"),"ชาย")</f>
        <v>ชาย</v>
      </c>
    </row>
    <row r="16" ht="22.5" customHeight="1">
      <c r="A16" s="23" t="s">
        <v>743</v>
      </c>
      <c r="B16" s="23" t="s">
        <v>744</v>
      </c>
      <c r="C16" s="23" t="s">
        <v>279</v>
      </c>
      <c r="D16" s="23"/>
      <c r="E16" s="21" t="s">
        <v>148</v>
      </c>
      <c r="F16" s="23" t="s">
        <v>745</v>
      </c>
      <c r="G16" s="21" t="s">
        <v>745</v>
      </c>
      <c r="H16" s="21" t="s">
        <v>728</v>
      </c>
      <c r="I16" s="21"/>
      <c r="J16" s="21"/>
      <c r="K16" s="21" t="str">
        <f>IFERROR(__xludf.DUMMYFUNCTION("IF(OR(REGEXMATCH(C16,""^(เด็กหญิง|ด\.ญ\.|นางสาว|น\.ส\.)""),REGEXMATCH(C16,""หญิง"")),""หญิง"",IF(OR(REGEXMATCH(C16,""^(เด็กชาย|ด\.ช\.|นาย)""),REGEXMATCH(C16,""ชาย"")),""ชาย"",""""))"),"ชาย")</f>
        <v>ชาย</v>
      </c>
    </row>
    <row r="17" ht="22.5" customHeight="1">
      <c r="A17" s="23" t="s">
        <v>746</v>
      </c>
      <c r="B17" s="23" t="s">
        <v>747</v>
      </c>
      <c r="C17" s="23" t="s">
        <v>246</v>
      </c>
      <c r="D17" s="23"/>
      <c r="E17" s="21" t="s">
        <v>131</v>
      </c>
      <c r="F17" s="23" t="s">
        <v>748</v>
      </c>
      <c r="G17" s="21" t="s">
        <v>748</v>
      </c>
      <c r="H17" s="21" t="s">
        <v>711</v>
      </c>
      <c r="I17" s="21"/>
      <c r="J17" s="21"/>
      <c r="K17" s="21" t="str">
        <f>IFERROR(__xludf.DUMMYFUNCTION("IF(OR(REGEXMATCH(C17,""^(เด็กหญิง|ด\.ญ\.|นางสาว|น\.ส\.)""),REGEXMATCH(C17,""หญิง"")),""หญิง"",IF(OR(REGEXMATCH(C17,""^(เด็กชาย|ด\.ช\.|นาย)""),REGEXMATCH(C17,""ชาย"")),""ชาย"",""""))"),"ชาย")</f>
        <v>ชาย</v>
      </c>
    </row>
    <row r="18" ht="22.5" customHeight="1">
      <c r="A18" s="23" t="s">
        <v>749</v>
      </c>
      <c r="B18" s="23" t="s">
        <v>750</v>
      </c>
      <c r="C18" s="23" t="s">
        <v>264</v>
      </c>
      <c r="D18" s="23"/>
      <c r="E18" s="21" t="s">
        <v>144</v>
      </c>
      <c r="F18" s="23" t="s">
        <v>751</v>
      </c>
      <c r="G18" s="21" t="s">
        <v>751</v>
      </c>
      <c r="H18" s="21" t="s">
        <v>699</v>
      </c>
      <c r="I18" s="21"/>
      <c r="J18" s="21"/>
      <c r="K18" s="21" t="str">
        <f>IFERROR(__xludf.DUMMYFUNCTION("IF(OR(REGEXMATCH(C18,""^(เด็กหญิง|ด\.ญ\.|นางสาว|น\.ส\.)""),REGEXMATCH(C18,""หญิง"")),""หญิง"",IF(OR(REGEXMATCH(C18,""^(เด็กชาย|ด\.ช\.|นาย)""),REGEXMATCH(C18,""ชาย"")),""ชาย"",""""))"),"ชาย")</f>
        <v>ชาย</v>
      </c>
    </row>
    <row r="19" ht="22.5" customHeight="1">
      <c r="A19" s="23" t="s">
        <v>752</v>
      </c>
      <c r="B19" s="23" t="s">
        <v>753</v>
      </c>
      <c r="C19" s="23" t="s">
        <v>196</v>
      </c>
      <c r="D19" s="23" t="s">
        <v>754</v>
      </c>
      <c r="E19" s="21" t="s">
        <v>148</v>
      </c>
      <c r="F19" s="23" t="s">
        <v>755</v>
      </c>
      <c r="G19" s="21" t="s">
        <v>755</v>
      </c>
      <c r="H19" s="21" t="s">
        <v>728</v>
      </c>
      <c r="I19" s="21"/>
      <c r="J19" s="21"/>
      <c r="K19" s="21" t="str">
        <f>IFERROR(__xludf.DUMMYFUNCTION("IF(OR(REGEXMATCH(C19,""^(เด็กหญิง|ด\.ญ\.|นางสาว|น\.ส\.)""),REGEXMATCH(C19,""หญิง"")),""หญิง"",IF(OR(REGEXMATCH(C19,""^(เด็กชาย|ด\.ช\.|นาย)""),REGEXMATCH(C19,""ชาย"")),""ชาย"",""""))"),"ชาย")</f>
        <v>ชาย</v>
      </c>
    </row>
    <row r="20" ht="22.5" customHeight="1">
      <c r="A20" s="23" t="s">
        <v>756</v>
      </c>
      <c r="B20" s="23" t="s">
        <v>757</v>
      </c>
      <c r="C20" s="23" t="s">
        <v>211</v>
      </c>
      <c r="D20" s="23" t="s">
        <v>754</v>
      </c>
      <c r="E20" s="21" t="s">
        <v>148</v>
      </c>
      <c r="F20" s="23" t="s">
        <v>755</v>
      </c>
      <c r="G20" s="21" t="s">
        <v>755</v>
      </c>
      <c r="H20" s="21" t="s">
        <v>728</v>
      </c>
      <c r="I20" s="21"/>
      <c r="J20" s="21"/>
      <c r="K20" s="21" t="str">
        <f>IFERROR(__xludf.DUMMYFUNCTION("IF(OR(REGEXMATCH(C20,""^(เด็กหญิง|ด\.ญ\.|นางสาว|น\.ส\.)""),REGEXMATCH(C20,""หญิง"")),""หญิง"",IF(OR(REGEXMATCH(C20,""^(เด็กชาย|ด\.ช\.|นาย)""),REGEXMATCH(C20,""ชาย"")),""ชาย"",""""))"),"ชาย")</f>
        <v>ชาย</v>
      </c>
    </row>
    <row r="21" ht="22.5" customHeight="1">
      <c r="A21" s="25" t="s">
        <v>758</v>
      </c>
      <c r="B21" s="25" t="s">
        <v>759</v>
      </c>
      <c r="C21" s="25" t="s">
        <v>166</v>
      </c>
      <c r="D21" s="25"/>
      <c r="E21" s="25" t="s">
        <v>123</v>
      </c>
      <c r="F21" s="25" t="s">
        <v>760</v>
      </c>
      <c r="G21" s="25" t="s">
        <v>760</v>
      </c>
      <c r="H21" s="25" t="s">
        <v>718</v>
      </c>
      <c r="I21" s="25"/>
      <c r="J21" s="25"/>
      <c r="K21" s="21" t="str">
        <f>IFERROR(__xludf.DUMMYFUNCTION("IF(OR(REGEXMATCH(C21,""^(เด็กหญิง|ด\.ญ\.|นางสาว|น\.ส\.)""),REGEXMATCH(C21,""หญิง"")),""หญิง"",IF(OR(REGEXMATCH(C21,""^(เด็กชาย|ด\.ช\.|นาย)""),REGEXMATCH(C21,""ชาย"")),""ชาย"",""""))"),"ชาย")</f>
        <v>ชาย</v>
      </c>
    </row>
    <row r="22" ht="22.5" customHeight="1">
      <c r="A22" s="27" t="s">
        <v>761</v>
      </c>
      <c r="B22" s="27" t="s">
        <v>762</v>
      </c>
      <c r="C22" s="27" t="s">
        <v>184</v>
      </c>
      <c r="D22" s="27"/>
      <c r="E22" s="25" t="s">
        <v>131</v>
      </c>
      <c r="F22" s="27" t="s">
        <v>763</v>
      </c>
      <c r="G22" s="25" t="s">
        <v>763</v>
      </c>
      <c r="H22" s="25" t="s">
        <v>711</v>
      </c>
      <c r="I22" s="25"/>
      <c r="J22" s="25"/>
      <c r="K22" s="21" t="str">
        <f>IFERROR(__xludf.DUMMYFUNCTION("IF(OR(REGEXMATCH(C22,""^(เด็กหญิง|ด\.ญ\.|นางสาว|น\.ส\.)""),REGEXMATCH(C22,""หญิง"")),""หญิง"",IF(OR(REGEXMATCH(C22,""^(เด็กชาย|ด\.ช\.|นาย)""),REGEXMATCH(C22,""ชาย"")),""ชาย"",""""))"),"ชาย")</f>
        <v>ชาย</v>
      </c>
    </row>
    <row r="23" ht="22.5" customHeight="1">
      <c r="A23" s="23" t="s">
        <v>764</v>
      </c>
      <c r="B23" s="23" t="s">
        <v>765</v>
      </c>
      <c r="C23" s="23" t="s">
        <v>199</v>
      </c>
      <c r="D23" s="23"/>
      <c r="E23" s="21" t="s">
        <v>131</v>
      </c>
      <c r="F23" s="23" t="s">
        <v>755</v>
      </c>
      <c r="G23" s="21" t="s">
        <v>755</v>
      </c>
      <c r="H23" s="21" t="s">
        <v>711</v>
      </c>
      <c r="I23" s="21"/>
      <c r="J23" s="21"/>
      <c r="K23" s="21" t="str">
        <f>IFERROR(__xludf.DUMMYFUNCTION("IF(OR(REGEXMATCH(C23,""^(เด็กหญิง|ด\.ญ\.|นางสาว|น\.ส\.)""),REGEXMATCH(C23,""หญิง"")),""หญิง"",IF(OR(REGEXMATCH(C23,""^(เด็กชาย|ด\.ช\.|นาย)""),REGEXMATCH(C23,""ชาย"")),""ชาย"",""""))"),"ชาย")</f>
        <v>ชาย</v>
      </c>
    </row>
    <row r="24" ht="22.5" customHeight="1">
      <c r="A24" s="23" t="s">
        <v>766</v>
      </c>
      <c r="B24" s="23" t="s">
        <v>767</v>
      </c>
      <c r="C24" s="23" t="s">
        <v>208</v>
      </c>
      <c r="D24" s="23" t="s">
        <v>768</v>
      </c>
      <c r="E24" s="21" t="s">
        <v>148</v>
      </c>
      <c r="F24" s="23" t="s">
        <v>755</v>
      </c>
      <c r="G24" s="21" t="s">
        <v>755</v>
      </c>
      <c r="H24" s="21" t="s">
        <v>728</v>
      </c>
      <c r="I24" s="21"/>
      <c r="J24" s="21"/>
      <c r="K24" s="21" t="str">
        <f>IFERROR(__xludf.DUMMYFUNCTION("IF(OR(REGEXMATCH(C24,""^(เด็กหญิง|ด\.ญ\.|นางสาว|น\.ส\.)""),REGEXMATCH(C24,""หญิง"")),""หญิง"",IF(OR(REGEXMATCH(C24,""^(เด็กชาย|ด\.ช\.|นาย)""),REGEXMATCH(C24,""ชาย"")),""ชาย"",""""))"),"ชาย")</f>
        <v>ชาย</v>
      </c>
    </row>
    <row r="25" ht="22.5" customHeight="1">
      <c r="A25" s="23" t="s">
        <v>769</v>
      </c>
      <c r="B25" s="23" t="s">
        <v>770</v>
      </c>
      <c r="C25" s="23" t="s">
        <v>214</v>
      </c>
      <c r="D25" s="23" t="s">
        <v>768</v>
      </c>
      <c r="E25" s="21" t="s">
        <v>131</v>
      </c>
      <c r="F25" s="23" t="s">
        <v>755</v>
      </c>
      <c r="G25" s="21" t="s">
        <v>755</v>
      </c>
      <c r="H25" s="21" t="s">
        <v>711</v>
      </c>
      <c r="I25" s="21"/>
      <c r="J25" s="21"/>
      <c r="K25" s="21" t="str">
        <f>IFERROR(__xludf.DUMMYFUNCTION("IF(OR(REGEXMATCH(C25,""^(เด็กหญิง|ด\.ญ\.|นางสาว|น\.ส\.)""),REGEXMATCH(C25,""หญิง"")),""หญิง"",IF(OR(REGEXMATCH(C25,""^(เด็กชาย|ด\.ช\.|นาย)""),REGEXMATCH(C25,""ชาย"")),""ชาย"",""""))"),"ชาย")</f>
        <v>ชาย</v>
      </c>
    </row>
    <row r="26" ht="22.5" customHeight="1">
      <c r="A26" s="23" t="s">
        <v>771</v>
      </c>
      <c r="B26" s="23" t="s">
        <v>772</v>
      </c>
      <c r="C26" s="23" t="s">
        <v>219</v>
      </c>
      <c r="D26" s="23" t="s">
        <v>768</v>
      </c>
      <c r="E26" s="21" t="s">
        <v>734</v>
      </c>
      <c r="F26" s="23" t="s">
        <v>755</v>
      </c>
      <c r="G26" s="21" t="s">
        <v>755</v>
      </c>
      <c r="H26" s="21" t="s">
        <v>736</v>
      </c>
      <c r="I26" s="21"/>
      <c r="J26" s="21"/>
      <c r="K26" s="21" t="str">
        <f>IFERROR(__xludf.DUMMYFUNCTION("IF(OR(REGEXMATCH(C26,""^(เด็กหญิง|ด\.ญ\.|นางสาว|น\.ส\.)""),REGEXMATCH(C26,""หญิง"")),""หญิง"",IF(OR(REGEXMATCH(C26,""^(เด็กชาย|ด\.ช\.|นาย)""),REGEXMATCH(C26,""ชาย"")),""ชาย"",""""))"),"ชาย")</f>
        <v>ชาย</v>
      </c>
    </row>
    <row r="27" ht="22.5" customHeight="1">
      <c r="A27" s="23" t="s">
        <v>773</v>
      </c>
      <c r="B27" s="23" t="s">
        <v>774</v>
      </c>
      <c r="C27" s="23" t="s">
        <v>222</v>
      </c>
      <c r="D27" s="23"/>
      <c r="E27" s="21" t="s">
        <v>734</v>
      </c>
      <c r="F27" s="23" t="s">
        <v>755</v>
      </c>
      <c r="G27" s="21" t="s">
        <v>755</v>
      </c>
      <c r="H27" s="21" t="s">
        <v>736</v>
      </c>
      <c r="I27" s="21"/>
      <c r="J27" s="21"/>
      <c r="K27" s="21" t="str">
        <f>IFERROR(__xludf.DUMMYFUNCTION("IF(OR(REGEXMATCH(C27,""^(เด็กหญิง|ด\.ญ\.|นางสาว|น\.ส\.)""),REGEXMATCH(C27,""หญิง"")),""หญิง"",IF(OR(REGEXMATCH(C27,""^(เด็กชาย|ด\.ช\.|นาย)""),REGEXMATCH(C27,""ชาย"")),""ชาย"",""""))"),"ชาย")</f>
        <v>ชาย</v>
      </c>
    </row>
    <row r="28" ht="22.5" customHeight="1">
      <c r="A28" s="23" t="s">
        <v>775</v>
      </c>
      <c r="B28" s="23" t="s">
        <v>776</v>
      </c>
      <c r="C28" s="23" t="s">
        <v>267</v>
      </c>
      <c r="D28" s="23"/>
      <c r="E28" s="23" t="s">
        <v>148</v>
      </c>
      <c r="F28" s="23" t="s">
        <v>777</v>
      </c>
      <c r="G28" s="21" t="s">
        <v>777</v>
      </c>
      <c r="H28" s="21" t="s">
        <v>728</v>
      </c>
      <c r="I28" s="21"/>
      <c r="J28" s="21"/>
      <c r="K28" s="21" t="str">
        <f>IFERROR(__xludf.DUMMYFUNCTION("IF(OR(REGEXMATCH(C28,""^(เด็กหญิง|ด\.ญ\.|นางสาว|น\.ส\.)""),REGEXMATCH(C28,""หญิง"")),""หญิง"",IF(OR(REGEXMATCH(C28,""^(เด็กชาย|ด\.ช\.|นาย)""),REGEXMATCH(C28,""ชาย"")),""ชาย"",""""))"),"ชาย")</f>
        <v>ชาย</v>
      </c>
    </row>
    <row r="29" ht="22.5" customHeight="1">
      <c r="A29" s="23" t="s">
        <v>778</v>
      </c>
      <c r="B29" s="23" t="s">
        <v>779</v>
      </c>
      <c r="C29" s="23" t="s">
        <v>270</v>
      </c>
      <c r="D29" s="23"/>
      <c r="E29" s="21" t="s">
        <v>148</v>
      </c>
      <c r="F29" s="23" t="s">
        <v>780</v>
      </c>
      <c r="G29" s="21" t="s">
        <v>780</v>
      </c>
      <c r="H29" s="21" t="s">
        <v>728</v>
      </c>
      <c r="I29" s="21"/>
      <c r="J29" s="21"/>
      <c r="K29" s="21" t="str">
        <f>IFERROR(__xludf.DUMMYFUNCTION("IF(OR(REGEXMATCH(C29,""^(เด็กหญิง|ด\.ญ\.|นางสาว|น\.ส\.)""),REGEXMATCH(C29,""หญิง"")),""หญิง"",IF(OR(REGEXMATCH(C29,""^(เด็กชาย|ด\.ช\.|นาย)""),REGEXMATCH(C29,""ชาย"")),""ชาย"",""""))"),"ชาย")</f>
        <v>ชาย</v>
      </c>
    </row>
    <row r="30" ht="22.5" customHeight="1">
      <c r="A30" s="23" t="s">
        <v>781</v>
      </c>
      <c r="B30" s="23" t="s">
        <v>782</v>
      </c>
      <c r="C30" s="23" t="s">
        <v>237</v>
      </c>
      <c r="D30" s="23"/>
      <c r="E30" s="21" t="s">
        <v>144</v>
      </c>
      <c r="F30" s="23" t="s">
        <v>783</v>
      </c>
      <c r="G30" s="21" t="s">
        <v>783</v>
      </c>
      <c r="H30" s="21" t="s">
        <v>699</v>
      </c>
      <c r="I30" s="21"/>
      <c r="J30" s="21"/>
      <c r="K30" s="21" t="str">
        <f>IFERROR(__xludf.DUMMYFUNCTION("IF(OR(REGEXMATCH(C30,""^(เด็กหญิง|ด\.ญ\.|นางสาว|น\.ส\.)""),REGEXMATCH(C30,""หญิง"")),""หญิง"",IF(OR(REGEXMATCH(C30,""^(เด็กชาย|ด\.ช\.|นาย)""),REGEXMATCH(C30,""ชาย"")),""ชาย"",""""))"),"ชาย")</f>
        <v>ชาย</v>
      </c>
    </row>
    <row r="31" ht="22.5" customHeight="1">
      <c r="A31" s="23" t="s">
        <v>784</v>
      </c>
      <c r="B31" s="23" t="s">
        <v>785</v>
      </c>
      <c r="C31" s="23" t="s">
        <v>240</v>
      </c>
      <c r="D31" s="23"/>
      <c r="E31" s="21" t="s">
        <v>144</v>
      </c>
      <c r="F31" s="23" t="s">
        <v>786</v>
      </c>
      <c r="G31" s="21" t="s">
        <v>786</v>
      </c>
      <c r="H31" s="21" t="s">
        <v>699</v>
      </c>
      <c r="I31" s="21"/>
      <c r="J31" s="21"/>
      <c r="K31" s="21" t="str">
        <f>IFERROR(__xludf.DUMMYFUNCTION("IF(OR(REGEXMATCH(C31,""^(เด็กหญิง|ด\.ญ\.|นางสาว|น\.ส\.)""),REGEXMATCH(C31,""หญิง"")),""หญิง"",IF(OR(REGEXMATCH(C31,""^(เด็กชาย|ด\.ช\.|นาย)""),REGEXMATCH(C31,""ชาย"")),""ชาย"",""""))"),"ชาย")</f>
        <v>ชาย</v>
      </c>
    </row>
    <row r="32" ht="22.5" customHeight="1">
      <c r="A32" s="21" t="s">
        <v>787</v>
      </c>
      <c r="B32" s="21" t="s">
        <v>788</v>
      </c>
      <c r="C32" s="21" t="s">
        <v>178</v>
      </c>
      <c r="D32" s="21"/>
      <c r="E32" s="21" t="s">
        <v>144</v>
      </c>
      <c r="F32" s="21" t="s">
        <v>789</v>
      </c>
      <c r="G32" s="21" t="s">
        <v>789</v>
      </c>
      <c r="H32" s="21" t="s">
        <v>699</v>
      </c>
      <c r="I32" s="21"/>
      <c r="J32" s="21"/>
      <c r="K32" s="21" t="str">
        <f>IFERROR(__xludf.DUMMYFUNCTION("IF(OR(REGEXMATCH(C32,""^(เด็กหญิง|ด\.ญ\.|นางสาว|น\.ส\.)""),REGEXMATCH(C32,""หญิง"")),""หญิง"",IF(OR(REGEXMATCH(C32,""^(เด็กชาย|ด\.ช\.|นาย)""),REGEXMATCH(C32,""ชาย"")),""ชาย"",""""))"),"ชาย")</f>
        <v>ชาย</v>
      </c>
    </row>
    <row r="33" ht="22.5" customHeight="1">
      <c r="A33" s="21" t="s">
        <v>790</v>
      </c>
      <c r="B33" s="21" t="s">
        <v>791</v>
      </c>
      <c r="C33" s="21" t="s">
        <v>181</v>
      </c>
      <c r="D33" s="21"/>
      <c r="E33" s="21" t="s">
        <v>144</v>
      </c>
      <c r="F33" s="21" t="s">
        <v>792</v>
      </c>
      <c r="G33" s="21" t="s">
        <v>792</v>
      </c>
      <c r="H33" s="21" t="s">
        <v>699</v>
      </c>
      <c r="I33" s="21"/>
      <c r="J33" s="21"/>
      <c r="K33" s="21" t="str">
        <f>IFERROR(__xludf.DUMMYFUNCTION("IF(OR(REGEXMATCH(C33,""^(เด็กหญิง|ด\.ญ\.|นางสาว|น\.ส\.)""),REGEXMATCH(C33,""หญิง"")),""หญิง"",IF(OR(REGEXMATCH(C33,""^(เด็กชาย|ด\.ช\.|นาย)""),REGEXMATCH(C33,""ชาย"")),""ชาย"",""""))"),"ชาย")</f>
        <v>ชาย</v>
      </c>
    </row>
    <row r="34" ht="22.5" customHeight="1">
      <c r="A34" s="23" t="s">
        <v>793</v>
      </c>
      <c r="B34" s="23" t="s">
        <v>794</v>
      </c>
      <c r="C34" s="23" t="s">
        <v>193</v>
      </c>
      <c r="D34" s="23" t="s">
        <v>795</v>
      </c>
      <c r="E34" s="21" t="s">
        <v>148</v>
      </c>
      <c r="F34" s="23" t="s">
        <v>755</v>
      </c>
      <c r="G34" s="21" t="s">
        <v>755</v>
      </c>
      <c r="H34" s="21" t="s">
        <v>728</v>
      </c>
      <c r="I34" s="21"/>
      <c r="J34" s="21"/>
      <c r="K34" s="21" t="str">
        <f>IFERROR(__xludf.DUMMYFUNCTION("IF(OR(REGEXMATCH(C34,""^(เด็กหญิง|ด\.ญ\.|นางสาว|น\.ส\.)""),REGEXMATCH(C34,""หญิง"")),""หญิง"",IF(OR(REGEXMATCH(C34,""^(เด็กชาย|ด\.ช\.|นาย)""),REGEXMATCH(C34,""ชาย"")),""ชาย"",""""))"),"ชาย")</f>
        <v>ชาย</v>
      </c>
    </row>
    <row r="35" ht="22.5" customHeight="1">
      <c r="A35" s="23" t="s">
        <v>796</v>
      </c>
      <c r="B35" s="23" t="s">
        <v>797</v>
      </c>
      <c r="C35" s="23" t="s">
        <v>205</v>
      </c>
      <c r="D35" s="23" t="s">
        <v>795</v>
      </c>
      <c r="E35" s="21" t="s">
        <v>148</v>
      </c>
      <c r="F35" s="23" t="s">
        <v>755</v>
      </c>
      <c r="G35" s="21" t="s">
        <v>755</v>
      </c>
      <c r="H35" s="21" t="s">
        <v>728</v>
      </c>
      <c r="I35" s="21"/>
      <c r="J35" s="21"/>
      <c r="K35" s="21" t="str">
        <f>IFERROR(__xludf.DUMMYFUNCTION("IF(OR(REGEXMATCH(C35,""^(เด็กหญิง|ด\.ญ\.|นางสาว|น\.ส\.)""),REGEXMATCH(C35,""หญิง"")),""หญิง"",IF(OR(REGEXMATCH(C35,""^(เด็กชาย|ด\.ช\.|นาย)""),REGEXMATCH(C35,""ชาย"")),""ชาย"",""""))"),"ชาย")</f>
        <v>ชาย</v>
      </c>
    </row>
    <row r="36" ht="22.5" customHeight="1">
      <c r="A36" s="23" t="s">
        <v>798</v>
      </c>
      <c r="B36" s="23" t="s">
        <v>799</v>
      </c>
      <c r="C36" s="23" t="s">
        <v>234</v>
      </c>
      <c r="D36" s="23"/>
      <c r="E36" s="21" t="s">
        <v>144</v>
      </c>
      <c r="F36" s="23" t="s">
        <v>800</v>
      </c>
      <c r="G36" s="21" t="s">
        <v>800</v>
      </c>
      <c r="H36" s="21" t="s">
        <v>699</v>
      </c>
      <c r="I36" s="21"/>
      <c r="J36" s="21"/>
      <c r="K36" s="21" t="str">
        <f>IFERROR(__xludf.DUMMYFUNCTION("IF(OR(REGEXMATCH(C36,""^(เด็กหญิง|ด\.ญ\.|นางสาว|น\.ส\.)""),REGEXMATCH(C36,""หญิง"")),""หญิง"",IF(OR(REGEXMATCH(C36,""^(เด็กชาย|ด\.ช\.|นาย)""),REGEXMATCH(C36,""ชาย"")),""ชาย"",""""))"),"ชาย")</f>
        <v>ชาย</v>
      </c>
    </row>
    <row r="37" ht="22.5" customHeight="1">
      <c r="A37" s="25" t="s">
        <v>801</v>
      </c>
      <c r="B37" s="25" t="s">
        <v>802</v>
      </c>
      <c r="C37" s="25" t="s">
        <v>159</v>
      </c>
      <c r="D37" s="25"/>
      <c r="E37" s="25" t="s">
        <v>131</v>
      </c>
      <c r="F37" s="25" t="s">
        <v>803</v>
      </c>
      <c r="G37" s="25" t="s">
        <v>803</v>
      </c>
      <c r="H37" s="25" t="s">
        <v>711</v>
      </c>
      <c r="I37" s="25"/>
      <c r="J37" s="25"/>
      <c r="K37" s="21" t="str">
        <f>IFERROR(__xludf.DUMMYFUNCTION("IF(OR(REGEXMATCH(C37,""^(เด็กหญิง|ด\.ญ\.|นางสาว|น\.ส\.)""),REGEXMATCH(C37,""หญิง"")),""หญิง"",IF(OR(REGEXMATCH(C37,""^(เด็กชาย|ด\.ช\.|นาย)""),REGEXMATCH(C37,""ชาย"")),""ชาย"",""""))"),"ชาย")</f>
        <v>ชาย</v>
      </c>
    </row>
    <row r="38" ht="22.5" customHeight="1">
      <c r="A38" s="23" t="s">
        <v>804</v>
      </c>
      <c r="B38" s="23" t="s">
        <v>25</v>
      </c>
      <c r="C38" s="23" t="s">
        <v>26</v>
      </c>
      <c r="D38" s="23"/>
      <c r="E38" s="21" t="s">
        <v>116</v>
      </c>
      <c r="F38" s="23"/>
      <c r="G38" s="21"/>
      <c r="H38" s="21" t="s">
        <v>805</v>
      </c>
      <c r="I38" s="21"/>
      <c r="J38" s="21"/>
      <c r="K38" s="21" t="str">
        <f>IFERROR(__xludf.DUMMYFUNCTION("IF(OR(REGEXMATCH(C38,""^(เด็กหญิง|ด\.ญ\.|นางสาว|น\.ส\.)""),REGEXMATCH(C38,""หญิง"")),""หญิง"",IF(OR(REGEXMATCH(C38,""^(เด็กชาย|ด\.ช\.|นาย)""),REGEXMATCH(C38,""ชาย"")),""ชาย"",""""))"),"ชาย")</f>
        <v>ชาย</v>
      </c>
    </row>
    <row r="39" ht="22.5" customHeight="1">
      <c r="A39" s="23" t="s">
        <v>806</v>
      </c>
      <c r="B39" s="23" t="s">
        <v>11</v>
      </c>
      <c r="C39" s="23" t="s">
        <v>12</v>
      </c>
      <c r="D39" s="23"/>
      <c r="E39" s="21" t="s">
        <v>807</v>
      </c>
      <c r="F39" s="23"/>
      <c r="G39" s="21"/>
      <c r="H39" s="21" t="s">
        <v>808</v>
      </c>
      <c r="I39" s="21"/>
      <c r="J39" s="21"/>
      <c r="K39" s="21" t="str">
        <f>IFERROR(__xludf.DUMMYFUNCTION("IF(OR(REGEXMATCH(C39,""^(เด็กหญิง|ด\.ญ\.|นางสาว|น\.ส\.)""),REGEXMATCH(C39,""หญิง"")),""หญิง"",IF(OR(REGEXMATCH(C39,""^(เด็กชาย|ด\.ช\.|นาย)""),REGEXMATCH(C39,""ชาย"")),""ชาย"",""""))"),"ชาย")</f>
        <v>ชาย</v>
      </c>
    </row>
    <row r="40" ht="22.5" customHeight="1">
      <c r="A40" s="27" t="s">
        <v>809</v>
      </c>
      <c r="B40" s="27" t="s">
        <v>17</v>
      </c>
      <c r="C40" s="27" t="s">
        <v>18</v>
      </c>
      <c r="D40" s="27"/>
      <c r="E40" s="25" t="s">
        <v>148</v>
      </c>
      <c r="F40" s="27"/>
      <c r="G40" s="25"/>
      <c r="H40" s="25" t="s">
        <v>728</v>
      </c>
      <c r="I40" s="25"/>
      <c r="J40" s="25"/>
      <c r="K40" s="21" t="str">
        <f>IFERROR(__xludf.DUMMYFUNCTION("IF(OR(REGEXMATCH(C40,""^(เด็กหญิง|ด\.ญ\.|นางสาว|น\.ส\.)""),REGEXMATCH(C40,""หญิง"")),""หญิง"",IF(OR(REGEXMATCH(C40,""^(เด็กชาย|ด\.ช\.|นาย)""),REGEXMATCH(C40,""ชาย"")),""ชาย"",""""))"),"ชาย")</f>
        <v>ชาย</v>
      </c>
    </row>
    <row r="41" ht="22.5" customHeight="1">
      <c r="A41" s="23" t="s">
        <v>810</v>
      </c>
      <c r="B41" s="23" t="s">
        <v>33</v>
      </c>
      <c r="C41" s="23" t="s">
        <v>34</v>
      </c>
      <c r="D41" s="23"/>
      <c r="E41" s="21" t="s">
        <v>811</v>
      </c>
      <c r="F41" s="23" t="s">
        <v>755</v>
      </c>
      <c r="G41" s="21" t="s">
        <v>755</v>
      </c>
      <c r="H41" s="21" t="s">
        <v>812</v>
      </c>
      <c r="I41" s="21"/>
      <c r="J41" s="21"/>
      <c r="K41" s="21" t="str">
        <f>IFERROR(__xludf.DUMMYFUNCTION("IF(OR(REGEXMATCH(C41,""^(เด็กหญิง|ด\.ญ\.|นางสาว|น\.ส\.)""),REGEXMATCH(C41,""หญิง"")),""หญิง"",IF(OR(REGEXMATCH(C41,""^(เด็กชาย|ด\.ช\.|นาย)""),REGEXMATCH(C41,""ชาย"")),""ชาย"",""""))"),"ชาย")</f>
        <v>ชาย</v>
      </c>
    </row>
    <row r="42" ht="22.5" customHeight="1">
      <c r="A42" s="23" t="s">
        <v>116</v>
      </c>
      <c r="B42" s="23" t="s">
        <v>813</v>
      </c>
      <c r="C42" s="23" t="s">
        <v>351</v>
      </c>
      <c r="D42" s="23"/>
      <c r="E42" s="21" t="s">
        <v>137</v>
      </c>
      <c r="F42" s="23" t="s">
        <v>814</v>
      </c>
      <c r="G42" s="21" t="s">
        <v>814</v>
      </c>
      <c r="H42" s="21" t="s">
        <v>707</v>
      </c>
      <c r="I42" s="21"/>
      <c r="J42" s="21"/>
      <c r="K42" s="21" t="str">
        <f>IFERROR(__xludf.DUMMYFUNCTION("IF(OR(REGEXMATCH(C42,""^(เด็กหญิง|ด\.ญ\.|นางสาว|น\.ส\.)""),REGEXMATCH(C42,""หญิง"")),""หญิง"",IF(OR(REGEXMATCH(C42,""^(เด็กชาย|ด\.ช\.|นาย)""),REGEXMATCH(C42,""ชาย"")),""ชาย"",""""))"),"หญิง")</f>
        <v>หญิง</v>
      </c>
    </row>
    <row r="43" ht="22.5" customHeight="1">
      <c r="A43" s="23" t="s">
        <v>123</v>
      </c>
      <c r="B43" s="23" t="s">
        <v>815</v>
      </c>
      <c r="C43" s="23" t="s">
        <v>372</v>
      </c>
      <c r="D43" s="23"/>
      <c r="E43" s="21" t="s">
        <v>131</v>
      </c>
      <c r="F43" s="23" t="s">
        <v>816</v>
      </c>
      <c r="G43" s="21" t="s">
        <v>817</v>
      </c>
      <c r="H43" s="21" t="s">
        <v>711</v>
      </c>
      <c r="I43" s="21"/>
      <c r="J43" s="21"/>
      <c r="K43" s="21" t="str">
        <f>IFERROR(__xludf.DUMMYFUNCTION("IF(OR(REGEXMATCH(C43,""^(เด็กหญิง|ด\.ญ\.|นางสาว|น\.ส\.)""),REGEXMATCH(C43,""หญิง"")),""หญิง"",IF(OR(REGEXMATCH(C43,""^(เด็กชาย|ด\.ช\.|นาย)""),REGEXMATCH(C43,""ชาย"")),""ชาย"",""""))"),"หญิง")</f>
        <v>หญิง</v>
      </c>
    </row>
    <row r="44" ht="22.5" customHeight="1">
      <c r="A44" s="23" t="s">
        <v>131</v>
      </c>
      <c r="B44" s="23" t="s">
        <v>818</v>
      </c>
      <c r="C44" s="23" t="s">
        <v>402</v>
      </c>
      <c r="D44" s="23" t="s">
        <v>819</v>
      </c>
      <c r="E44" s="21" t="s">
        <v>137</v>
      </c>
      <c r="F44" s="23" t="s">
        <v>820</v>
      </c>
      <c r="G44" s="21" t="s">
        <v>821</v>
      </c>
      <c r="H44" s="21" t="s">
        <v>707</v>
      </c>
      <c r="I44" s="21"/>
      <c r="J44" s="21"/>
      <c r="K44" s="21" t="str">
        <f>IFERROR(__xludf.DUMMYFUNCTION("IF(OR(REGEXMATCH(C44,""^(เด็กหญิง|ด\.ญ\.|นางสาว|น\.ส\.)""),REGEXMATCH(C44,""หญิง"")),""หญิง"",IF(OR(REGEXMATCH(C44,""^(เด็กชาย|ด\.ช\.|นาย)""),REGEXMATCH(C44,""ชาย"")),""ชาย"",""""))"),"หญิง")</f>
        <v>หญิง</v>
      </c>
    </row>
    <row r="45" ht="22.5" customHeight="1">
      <c r="A45" s="23" t="s">
        <v>137</v>
      </c>
      <c r="B45" s="23" t="s">
        <v>822</v>
      </c>
      <c r="C45" s="23" t="s">
        <v>423</v>
      </c>
      <c r="D45" s="23" t="s">
        <v>819</v>
      </c>
      <c r="E45" s="21" t="s">
        <v>137</v>
      </c>
      <c r="F45" s="23" t="s">
        <v>823</v>
      </c>
      <c r="G45" s="21" t="s">
        <v>823</v>
      </c>
      <c r="H45" s="21" t="s">
        <v>707</v>
      </c>
      <c r="I45" s="21"/>
      <c r="J45" s="21"/>
      <c r="K45" s="21" t="str">
        <f>IFERROR(__xludf.DUMMYFUNCTION("IF(OR(REGEXMATCH(C45,""^(เด็กหญิง|ด\.ญ\.|นางสาว|น\.ส\.)""),REGEXMATCH(C45,""หญิง"")),""หญิง"",IF(OR(REGEXMATCH(C45,""^(เด็กชาย|ด\.ช\.|นาย)""),REGEXMATCH(C45,""ชาย"")),""ชาย"",""""))"),"หญิง")</f>
        <v>หญิง</v>
      </c>
    </row>
    <row r="46" ht="22.5" customHeight="1">
      <c r="A46" s="23" t="s">
        <v>144</v>
      </c>
      <c r="B46" s="23" t="s">
        <v>824</v>
      </c>
      <c r="C46" s="23" t="s">
        <v>447</v>
      </c>
      <c r="D46" s="23" t="s">
        <v>825</v>
      </c>
      <c r="E46" s="21" t="s">
        <v>137</v>
      </c>
      <c r="F46" s="23" t="s">
        <v>826</v>
      </c>
      <c r="G46" s="21" t="s">
        <v>826</v>
      </c>
      <c r="H46" s="21" t="s">
        <v>707</v>
      </c>
      <c r="I46" s="21"/>
      <c r="J46" s="21"/>
      <c r="K46" s="21" t="str">
        <f>IFERROR(__xludf.DUMMYFUNCTION("IF(OR(REGEXMATCH(C46,""^(เด็กหญิง|ด\.ญ\.|นางสาว|น\.ส\.)""),REGEXMATCH(C46,""หญิง"")),""หญิง"",IF(OR(REGEXMATCH(C46,""^(เด็กชาย|ด\.ช\.|นาย)""),REGEXMATCH(C46,""ชาย"")),""ชาย"",""""))"),"หญิง")</f>
        <v>หญิง</v>
      </c>
    </row>
    <row r="47" ht="22.5" customHeight="1">
      <c r="A47" s="23" t="s">
        <v>151</v>
      </c>
      <c r="B47" s="23" t="s">
        <v>827</v>
      </c>
      <c r="C47" s="23" t="s">
        <v>459</v>
      </c>
      <c r="D47" s="23" t="s">
        <v>828</v>
      </c>
      <c r="E47" s="23" t="s">
        <v>151</v>
      </c>
      <c r="F47" s="23" t="s">
        <v>829</v>
      </c>
      <c r="G47" s="21" t="s">
        <v>829</v>
      </c>
      <c r="H47" s="21" t="s">
        <v>703</v>
      </c>
      <c r="I47" s="21"/>
      <c r="J47" s="21"/>
      <c r="K47" s="21" t="str">
        <f>IFERROR(__xludf.DUMMYFUNCTION("IF(OR(REGEXMATCH(C47,""^(เด็กหญิง|ด\.ญ\.|นางสาว|น\.ส\.)""),REGEXMATCH(C47,""หญิง"")),""หญิง"",IF(OR(REGEXMATCH(C47,""^(เด็กชาย|ด\.ช\.|นาย)""),REGEXMATCH(C47,""ชาย"")),""ชาย"",""""))"),"หญิง")</f>
        <v>หญิง</v>
      </c>
    </row>
    <row r="48" ht="22.5" customHeight="1">
      <c r="A48" s="23" t="s">
        <v>734</v>
      </c>
      <c r="B48" s="23" t="s">
        <v>830</v>
      </c>
      <c r="C48" s="23" t="s">
        <v>465</v>
      </c>
      <c r="D48" s="23"/>
      <c r="E48" s="21" t="s">
        <v>131</v>
      </c>
      <c r="F48" s="23" t="s">
        <v>755</v>
      </c>
      <c r="G48" s="21" t="s">
        <v>755</v>
      </c>
      <c r="H48" s="21" t="s">
        <v>711</v>
      </c>
      <c r="I48" s="21"/>
      <c r="J48" s="21"/>
      <c r="K48" s="21" t="str">
        <f>IFERROR(__xludf.DUMMYFUNCTION("IF(OR(REGEXMATCH(C48,""^(เด็กหญิง|ด\.ญ\.|นางสาว|น\.ส\.)""),REGEXMATCH(C48,""หญิง"")),""หญิง"",IF(OR(REGEXMATCH(C48,""^(เด็กชาย|ด\.ช\.|นาย)""),REGEXMATCH(C48,""ชาย"")),""ชาย"",""""))"),"หญิง")</f>
        <v>หญิง</v>
      </c>
    </row>
    <row r="49" ht="22.5" customHeight="1">
      <c r="A49" s="25" t="s">
        <v>831</v>
      </c>
      <c r="B49" s="25" t="s">
        <v>832</v>
      </c>
      <c r="C49" s="25" t="s">
        <v>288</v>
      </c>
      <c r="D49" s="25"/>
      <c r="E49" s="25" t="s">
        <v>123</v>
      </c>
      <c r="F49" s="25" t="s">
        <v>755</v>
      </c>
      <c r="G49" s="25" t="s">
        <v>755</v>
      </c>
      <c r="H49" s="25" t="s">
        <v>718</v>
      </c>
      <c r="I49" s="25"/>
      <c r="J49" s="25"/>
      <c r="K49" s="21" t="str">
        <f>IFERROR(__xludf.DUMMYFUNCTION("IF(OR(REGEXMATCH(C49,""^(เด็กหญิง|ด\.ญ\.|นางสาว|น\.ส\.)""),REGEXMATCH(C49,""หญิง"")),""หญิง"",IF(OR(REGEXMATCH(C49,""^(เด็กชาย|ด\.ช\.|นาย)""),REGEXMATCH(C49,""ชาย"")),""ชาย"",""""))"),"หญิง")</f>
        <v>หญิง</v>
      </c>
    </row>
    <row r="50" ht="22.5" customHeight="1">
      <c r="A50" s="27" t="s">
        <v>833</v>
      </c>
      <c r="B50" s="27" t="s">
        <v>834</v>
      </c>
      <c r="C50" s="27" t="s">
        <v>291</v>
      </c>
      <c r="D50" s="27" t="s">
        <v>835</v>
      </c>
      <c r="E50" s="25" t="s">
        <v>151</v>
      </c>
      <c r="F50" s="27" t="s">
        <v>755</v>
      </c>
      <c r="G50" s="25" t="s">
        <v>755</v>
      </c>
      <c r="H50" s="25" t="s">
        <v>703</v>
      </c>
      <c r="I50" s="25"/>
      <c r="J50" s="25"/>
      <c r="K50" s="21" t="str">
        <f>IFERROR(__xludf.DUMMYFUNCTION("IF(OR(REGEXMATCH(C50,""^(เด็กหญิง|ด\.ญ\.|นางสาว|น\.ส\.)""),REGEXMATCH(C50,""หญิง"")),""หญิง"",IF(OR(REGEXMATCH(C50,""^(เด็กชาย|ด\.ช\.|นาย)""),REGEXMATCH(C50,""ชาย"")),""ชาย"",""""))"),"หญิง")</f>
        <v>หญิง</v>
      </c>
    </row>
    <row r="51" ht="22.5" customHeight="1">
      <c r="A51" s="23" t="s">
        <v>811</v>
      </c>
      <c r="B51" s="23" t="s">
        <v>836</v>
      </c>
      <c r="C51" s="23" t="s">
        <v>324</v>
      </c>
      <c r="D51" s="23" t="s">
        <v>837</v>
      </c>
      <c r="E51" s="21" t="s">
        <v>148</v>
      </c>
      <c r="F51" s="23" t="s">
        <v>755</v>
      </c>
      <c r="G51" s="21" t="s">
        <v>755</v>
      </c>
      <c r="H51" s="21" t="s">
        <v>728</v>
      </c>
      <c r="I51" s="21"/>
      <c r="J51" s="21"/>
      <c r="K51" s="21" t="str">
        <f>IFERROR(__xludf.DUMMYFUNCTION("IF(OR(REGEXMATCH(C51,""^(เด็กหญิง|ด\.ญ\.|นางสาว|น\.ส\.)""),REGEXMATCH(C51,""หญิง"")),""หญิง"",IF(OR(REGEXMATCH(C51,""^(เด็กชาย|ด\.ช\.|นาย)""),REGEXMATCH(C51,""ชาย"")),""ชาย"",""""))"),"หญิง")</f>
        <v>หญิง</v>
      </c>
    </row>
    <row r="52" ht="22.5" customHeight="1">
      <c r="A52" s="23" t="s">
        <v>838</v>
      </c>
      <c r="B52" s="23" t="s">
        <v>839</v>
      </c>
      <c r="C52" s="23" t="s">
        <v>330</v>
      </c>
      <c r="D52" s="23" t="s">
        <v>837</v>
      </c>
      <c r="E52" s="21" t="s">
        <v>148</v>
      </c>
      <c r="F52" s="23" t="s">
        <v>755</v>
      </c>
      <c r="G52" s="21" t="s">
        <v>755</v>
      </c>
      <c r="H52" s="21" t="s">
        <v>728</v>
      </c>
      <c r="I52" s="21"/>
      <c r="J52" s="21"/>
      <c r="K52" s="21" t="str">
        <f>IFERROR(__xludf.DUMMYFUNCTION("IF(OR(REGEXMATCH(C52,""^(เด็กหญิง|ด\.ญ\.|นางสาว|น\.ส\.)""),REGEXMATCH(C52,""หญิง"")),""หญิง"",IF(OR(REGEXMATCH(C52,""^(เด็กชาย|ด\.ช\.|นาย)""),REGEXMATCH(C52,""ชาย"")),""ชาย"",""""))"),"หญิง")</f>
        <v>หญิง</v>
      </c>
    </row>
    <row r="53" ht="22.5" customHeight="1">
      <c r="A53" s="23" t="s">
        <v>840</v>
      </c>
      <c r="B53" s="23" t="s">
        <v>841</v>
      </c>
      <c r="C53" s="23" t="s">
        <v>333</v>
      </c>
      <c r="D53" s="23"/>
      <c r="E53" s="21" t="s">
        <v>131</v>
      </c>
      <c r="F53" s="23" t="s">
        <v>755</v>
      </c>
      <c r="G53" s="21" t="s">
        <v>755</v>
      </c>
      <c r="H53" s="21" t="s">
        <v>711</v>
      </c>
      <c r="I53" s="21"/>
      <c r="J53" s="21"/>
      <c r="K53" s="21" t="str">
        <f>IFERROR(__xludf.DUMMYFUNCTION("IF(OR(REGEXMATCH(C53,""^(เด็กหญิง|ด\.ญ\.|นางสาว|น\.ส\.)""),REGEXMATCH(C53,""หญิง"")),""หญิง"",IF(OR(REGEXMATCH(C53,""^(เด็กชาย|ด\.ช\.|นาย)""),REGEXMATCH(C53,""ชาย"")),""ชาย"",""""))"),"หญิง")</f>
        <v>หญิง</v>
      </c>
    </row>
    <row r="54" ht="22.5" customHeight="1">
      <c r="A54" s="23" t="s">
        <v>842</v>
      </c>
      <c r="B54" s="23" t="s">
        <v>843</v>
      </c>
      <c r="C54" s="23" t="s">
        <v>336</v>
      </c>
      <c r="D54" s="23" t="s">
        <v>837</v>
      </c>
      <c r="E54" s="21" t="s">
        <v>131</v>
      </c>
      <c r="F54" s="23" t="s">
        <v>755</v>
      </c>
      <c r="G54" s="21" t="s">
        <v>755</v>
      </c>
      <c r="H54" s="21" t="s">
        <v>711</v>
      </c>
      <c r="I54" s="21"/>
      <c r="J54" s="21"/>
      <c r="K54" s="21" t="str">
        <f>IFERROR(__xludf.DUMMYFUNCTION("IF(OR(REGEXMATCH(C54,""^(เด็กหญิง|ด\.ญ\.|นางสาว|น\.ส\.)""),REGEXMATCH(C54,""หญิง"")),""หญิง"",IF(OR(REGEXMATCH(C54,""^(เด็กชาย|ด\.ช\.|นาย)""),REGEXMATCH(C54,""ชาย"")),""ชาย"",""""))"),"หญิง")</f>
        <v>หญิง</v>
      </c>
    </row>
    <row r="55" ht="22.5" customHeight="1">
      <c r="A55" s="23" t="s">
        <v>844</v>
      </c>
      <c r="B55" s="23" t="s">
        <v>845</v>
      </c>
      <c r="C55" s="23" t="s">
        <v>339</v>
      </c>
      <c r="D55" s="23"/>
      <c r="E55" s="21" t="s">
        <v>131</v>
      </c>
      <c r="F55" s="23" t="s">
        <v>755</v>
      </c>
      <c r="G55" s="21" t="s">
        <v>755</v>
      </c>
      <c r="H55" s="21" t="s">
        <v>711</v>
      </c>
      <c r="I55" s="21"/>
      <c r="J55" s="21"/>
      <c r="K55" s="21" t="str">
        <f>IFERROR(__xludf.DUMMYFUNCTION("IF(OR(REGEXMATCH(C55,""^(เด็กหญิง|ด\.ญ\.|นางสาว|น\.ส\.)""),REGEXMATCH(C55,""หญิง"")),""หญิง"",IF(OR(REGEXMATCH(C55,""^(เด็กชาย|ด\.ช\.|นาย)""),REGEXMATCH(C55,""ชาย"")),""ชาย"",""""))"),"หญิง")</f>
        <v>หญิง</v>
      </c>
    </row>
    <row r="56" ht="22.5" customHeight="1">
      <c r="A56" s="23" t="s">
        <v>846</v>
      </c>
      <c r="B56" s="23" t="s">
        <v>847</v>
      </c>
      <c r="C56" s="23" t="s">
        <v>342</v>
      </c>
      <c r="D56" s="23"/>
      <c r="E56" s="21" t="s">
        <v>734</v>
      </c>
      <c r="F56" s="23" t="s">
        <v>755</v>
      </c>
      <c r="G56" s="21" t="s">
        <v>755</v>
      </c>
      <c r="H56" s="21" t="s">
        <v>736</v>
      </c>
      <c r="I56" s="21"/>
      <c r="J56" s="21"/>
      <c r="K56" s="21" t="str">
        <f>IFERROR(__xludf.DUMMYFUNCTION("IF(OR(REGEXMATCH(C56,""^(เด็กหญิง|ด\.ญ\.|นางสาว|น\.ส\.)""),REGEXMATCH(C56,""หญิง"")),""หญิง"",IF(OR(REGEXMATCH(C56,""^(เด็กชาย|ด\.ช\.|นาย)""),REGEXMATCH(C56,""ชาย"")),""ชาย"",""""))"),"หญิง")</f>
        <v>หญิง</v>
      </c>
    </row>
    <row r="57" ht="22.5" customHeight="1">
      <c r="A57" s="23" t="s">
        <v>848</v>
      </c>
      <c r="B57" s="23" t="s">
        <v>849</v>
      </c>
      <c r="C57" s="23" t="s">
        <v>345</v>
      </c>
      <c r="D57" s="23" t="s">
        <v>837</v>
      </c>
      <c r="E57" s="21" t="s">
        <v>131</v>
      </c>
      <c r="F57" s="23" t="s">
        <v>755</v>
      </c>
      <c r="G57" s="21" t="s">
        <v>755</v>
      </c>
      <c r="H57" s="21" t="s">
        <v>711</v>
      </c>
      <c r="I57" s="21"/>
      <c r="J57" s="21"/>
      <c r="K57" s="21" t="str">
        <f>IFERROR(__xludf.DUMMYFUNCTION("IF(OR(REGEXMATCH(C57,""^(เด็กหญิง|ด\.ญ\.|นางสาว|น\.ส\.)""),REGEXMATCH(C57,""หญิง"")),""หญิง"",IF(OR(REGEXMATCH(C57,""^(เด็กชาย|ด\.ช\.|นาย)""),REGEXMATCH(C57,""ชาย"")),""ชาย"",""""))"),"หญิง")</f>
        <v>หญิง</v>
      </c>
    </row>
    <row r="58" ht="22.5" customHeight="1">
      <c r="A58" s="23" t="s">
        <v>850</v>
      </c>
      <c r="B58" s="23" t="s">
        <v>851</v>
      </c>
      <c r="C58" s="23" t="s">
        <v>348</v>
      </c>
      <c r="D58" s="23" t="s">
        <v>852</v>
      </c>
      <c r="E58" s="21" t="s">
        <v>137</v>
      </c>
      <c r="F58" s="23" t="s">
        <v>755</v>
      </c>
      <c r="G58" s="21" t="s">
        <v>755</v>
      </c>
      <c r="H58" s="21" t="s">
        <v>707</v>
      </c>
      <c r="I58" s="21"/>
      <c r="J58" s="21"/>
      <c r="K58" s="21" t="str">
        <f>IFERROR(__xludf.DUMMYFUNCTION("IF(OR(REGEXMATCH(C58,""^(เด็กหญิง|ด\.ญ\.|นางสาว|น\.ส\.)""),REGEXMATCH(C58,""หญิง"")),""หญิง"",IF(OR(REGEXMATCH(C58,""^(เด็กชาย|ด\.ช\.|นาย)""),REGEXMATCH(C58,""ชาย"")),""ชาย"",""""))"),"หญิง")</f>
        <v>หญิง</v>
      </c>
    </row>
    <row r="59" ht="22.5" customHeight="1">
      <c r="A59" s="23" t="s">
        <v>853</v>
      </c>
      <c r="B59" s="23" t="s">
        <v>854</v>
      </c>
      <c r="C59" s="23" t="s">
        <v>354</v>
      </c>
      <c r="D59" s="23" t="s">
        <v>852</v>
      </c>
      <c r="E59" s="21" t="s">
        <v>137</v>
      </c>
      <c r="F59" s="23" t="s">
        <v>755</v>
      </c>
      <c r="G59" s="21" t="s">
        <v>755</v>
      </c>
      <c r="H59" s="21" t="s">
        <v>707</v>
      </c>
      <c r="I59" s="21"/>
      <c r="J59" s="21"/>
      <c r="K59" s="21" t="str">
        <f>IFERROR(__xludf.DUMMYFUNCTION("IF(OR(REGEXMATCH(C59,""^(เด็กหญิง|ด\.ญ\.|นางสาว|น\.ส\.)""),REGEXMATCH(C59,""หญิง"")),""หญิง"",IF(OR(REGEXMATCH(C59,""^(เด็กชาย|ด\.ช\.|นาย)""),REGEXMATCH(C59,""ชาย"")),""ชาย"",""""))"),"หญิง")</f>
        <v>หญิง</v>
      </c>
    </row>
    <row r="60" ht="22.5" customHeight="1">
      <c r="A60" s="23" t="s">
        <v>855</v>
      </c>
      <c r="B60" s="23" t="s">
        <v>856</v>
      </c>
      <c r="C60" s="23" t="s">
        <v>357</v>
      </c>
      <c r="D60" s="23"/>
      <c r="E60" s="21" t="s">
        <v>123</v>
      </c>
      <c r="F60" s="23" t="s">
        <v>755</v>
      </c>
      <c r="G60" s="21" t="s">
        <v>755</v>
      </c>
      <c r="H60" s="21" t="s">
        <v>718</v>
      </c>
      <c r="I60" s="21"/>
      <c r="J60" s="21"/>
      <c r="K60" s="21" t="str">
        <f>IFERROR(__xludf.DUMMYFUNCTION("IF(OR(REGEXMATCH(C60,""^(เด็กหญิง|ด\.ญ\.|นางสาว|น\.ส\.)""),REGEXMATCH(C60,""หญิง"")),""หญิง"",IF(OR(REGEXMATCH(C60,""^(เด็กชาย|ด\.ช\.|นาย)""),REGEXMATCH(C60,""ชาย"")),""ชาย"",""""))"),"หญิง")</f>
        <v>หญิง</v>
      </c>
    </row>
    <row r="61" ht="22.5" customHeight="1">
      <c r="A61" s="23" t="s">
        <v>857</v>
      </c>
      <c r="B61" s="23" t="s">
        <v>858</v>
      </c>
      <c r="C61" s="23" t="s">
        <v>360</v>
      </c>
      <c r="D61" s="23" t="s">
        <v>859</v>
      </c>
      <c r="E61" s="21" t="s">
        <v>137</v>
      </c>
      <c r="F61" s="23" t="s">
        <v>755</v>
      </c>
      <c r="G61" s="21" t="s">
        <v>755</v>
      </c>
      <c r="H61" s="21" t="s">
        <v>707</v>
      </c>
      <c r="I61" s="21"/>
      <c r="J61" s="21"/>
      <c r="K61" s="21" t="str">
        <f>IFERROR(__xludf.DUMMYFUNCTION("IF(OR(REGEXMATCH(C61,""^(เด็กหญิง|ด\.ญ\.|นางสาว|น\.ส\.)""),REGEXMATCH(C61,""หญิง"")),""หญิง"",IF(OR(REGEXMATCH(C61,""^(เด็กชาย|ด\.ช\.|นาย)""),REGEXMATCH(C61,""ชาย"")),""ชาย"",""""))"),"หญิง")</f>
        <v>หญิง</v>
      </c>
    </row>
    <row r="62" ht="22.5" customHeight="1">
      <c r="A62" s="23" t="s">
        <v>860</v>
      </c>
      <c r="B62" s="23" t="s">
        <v>861</v>
      </c>
      <c r="C62" s="23" t="s">
        <v>363</v>
      </c>
      <c r="D62" s="23" t="s">
        <v>859</v>
      </c>
      <c r="E62" s="21" t="s">
        <v>734</v>
      </c>
      <c r="F62" s="23" t="s">
        <v>755</v>
      </c>
      <c r="G62" s="21" t="s">
        <v>755</v>
      </c>
      <c r="H62" s="21" t="s">
        <v>736</v>
      </c>
      <c r="I62" s="21"/>
      <c r="J62" s="21"/>
      <c r="K62" s="21" t="str">
        <f>IFERROR(__xludf.DUMMYFUNCTION("IF(OR(REGEXMATCH(C62,""^(เด็กหญิง|ด\.ญ\.|นางสาว|น\.ส\.)""),REGEXMATCH(C62,""หญิง"")),""หญิง"",IF(OR(REGEXMATCH(C62,""^(เด็กชาย|ด\.ช\.|นาย)""),REGEXMATCH(C62,""ชาย"")),""ชาย"",""""))"),"หญิง")</f>
        <v>หญิง</v>
      </c>
    </row>
    <row r="63" ht="22.5" customHeight="1">
      <c r="A63" s="23" t="s">
        <v>862</v>
      </c>
      <c r="B63" s="23" t="s">
        <v>863</v>
      </c>
      <c r="C63" s="23" t="s">
        <v>366</v>
      </c>
      <c r="D63" s="23" t="s">
        <v>864</v>
      </c>
      <c r="E63" s="21" t="s">
        <v>151</v>
      </c>
      <c r="F63" s="23" t="s">
        <v>755</v>
      </c>
      <c r="G63" s="21" t="s">
        <v>755</v>
      </c>
      <c r="H63" s="21" t="s">
        <v>703</v>
      </c>
      <c r="I63" s="21"/>
      <c r="J63" s="21"/>
      <c r="K63" s="21" t="str">
        <f>IFERROR(__xludf.DUMMYFUNCTION("IF(OR(REGEXMATCH(C63,""^(เด็กหญิง|ด\.ญ\.|นางสาว|น\.ส\.)""),REGEXMATCH(C63,""หญิง"")),""หญิง"",IF(OR(REGEXMATCH(C63,""^(เด็กชาย|ด\.ช\.|นาย)""),REGEXMATCH(C63,""ชาย"")),""ชาย"",""""))"),"หญิง")</f>
        <v>หญิง</v>
      </c>
    </row>
    <row r="64" ht="22.5" customHeight="1">
      <c r="A64" s="23" t="s">
        <v>865</v>
      </c>
      <c r="B64" s="23" t="s">
        <v>866</v>
      </c>
      <c r="C64" s="23" t="s">
        <v>369</v>
      </c>
      <c r="D64" s="23" t="s">
        <v>864</v>
      </c>
      <c r="E64" s="21" t="s">
        <v>144</v>
      </c>
      <c r="F64" s="23" t="s">
        <v>755</v>
      </c>
      <c r="G64" s="21" t="s">
        <v>755</v>
      </c>
      <c r="H64" s="21" t="s">
        <v>699</v>
      </c>
      <c r="I64" s="21"/>
      <c r="J64" s="21"/>
      <c r="K64" s="21" t="str">
        <f>IFERROR(__xludf.DUMMYFUNCTION("IF(OR(REGEXMATCH(C64,""^(เด็กหญิง|ด\.ญ\.|นางสาว|น\.ส\.)""),REGEXMATCH(C64,""หญิง"")),""หญิง"",IF(OR(REGEXMATCH(C64,""^(เด็กชาย|ด\.ช\.|นาย)""),REGEXMATCH(C64,""ชาย"")),""ชาย"",""""))"),"หญิง")</f>
        <v>หญิง</v>
      </c>
    </row>
    <row r="65" ht="22.5" customHeight="1">
      <c r="A65" s="23" t="s">
        <v>867</v>
      </c>
      <c r="B65" s="23" t="s">
        <v>868</v>
      </c>
      <c r="C65" s="23" t="s">
        <v>375</v>
      </c>
      <c r="D65" s="23" t="s">
        <v>864</v>
      </c>
      <c r="E65" s="21" t="s">
        <v>144</v>
      </c>
      <c r="F65" s="23" t="s">
        <v>755</v>
      </c>
      <c r="G65" s="21" t="s">
        <v>755</v>
      </c>
      <c r="H65" s="21" t="s">
        <v>699</v>
      </c>
      <c r="I65" s="21"/>
      <c r="J65" s="21"/>
      <c r="K65" s="21" t="str">
        <f>IFERROR(__xludf.DUMMYFUNCTION("IF(OR(REGEXMATCH(C65,""^(เด็กหญิง|ด\.ญ\.|นางสาว|น\.ส\.)""),REGEXMATCH(C65,""หญิง"")),""หญิง"",IF(OR(REGEXMATCH(C65,""^(เด็กชาย|ด\.ช\.|นาย)""),REGEXMATCH(C65,""ชาย"")),""ชาย"",""""))"),"หญิง")</f>
        <v>หญิง</v>
      </c>
    </row>
    <row r="66" ht="22.5" customHeight="1">
      <c r="A66" s="23" t="s">
        <v>869</v>
      </c>
      <c r="B66" s="23" t="s">
        <v>870</v>
      </c>
      <c r="C66" s="23" t="s">
        <v>378</v>
      </c>
      <c r="D66" s="23" t="s">
        <v>864</v>
      </c>
      <c r="E66" s="21" t="s">
        <v>144</v>
      </c>
      <c r="F66" s="23" t="s">
        <v>755</v>
      </c>
      <c r="G66" s="21" t="s">
        <v>755</v>
      </c>
      <c r="H66" s="21" t="s">
        <v>699</v>
      </c>
      <c r="I66" s="21"/>
      <c r="J66" s="21"/>
      <c r="K66" s="21" t="str">
        <f>IFERROR(__xludf.DUMMYFUNCTION("IF(OR(REGEXMATCH(C66,""^(เด็กหญิง|ด\.ญ\.|นางสาว|น\.ส\.)""),REGEXMATCH(C66,""หญิง"")),""หญิง"",IF(OR(REGEXMATCH(C66,""^(เด็กชาย|ด\.ช\.|นาย)""),REGEXMATCH(C66,""ชาย"")),""ชาย"",""""))"),"หญิง")</f>
        <v>หญิง</v>
      </c>
    </row>
    <row r="67" ht="22.5" customHeight="1">
      <c r="A67" s="23" t="s">
        <v>871</v>
      </c>
      <c r="B67" s="23" t="s">
        <v>872</v>
      </c>
      <c r="C67" s="23" t="s">
        <v>381</v>
      </c>
      <c r="D67" s="23" t="s">
        <v>864</v>
      </c>
      <c r="E67" s="21" t="s">
        <v>144</v>
      </c>
      <c r="F67" s="23" t="s">
        <v>755</v>
      </c>
      <c r="G67" s="21" t="s">
        <v>755</v>
      </c>
      <c r="H67" s="21" t="s">
        <v>699</v>
      </c>
      <c r="I67" s="21"/>
      <c r="J67" s="21"/>
      <c r="K67" s="21" t="str">
        <f>IFERROR(__xludf.DUMMYFUNCTION("IF(OR(REGEXMATCH(C67,""^(เด็กหญิง|ด\.ญ\.|นางสาว|น\.ส\.)""),REGEXMATCH(C67,""หญิง"")),""หญิง"",IF(OR(REGEXMATCH(C67,""^(เด็กชาย|ด\.ช\.|นาย)""),REGEXMATCH(C67,""ชาย"")),""ชาย"",""""))"),"หญิง")</f>
        <v>หญิง</v>
      </c>
    </row>
    <row r="68" ht="22.5" customHeight="1">
      <c r="A68" s="23" t="s">
        <v>873</v>
      </c>
      <c r="B68" s="23" t="s">
        <v>874</v>
      </c>
      <c r="C68" s="23" t="s">
        <v>300</v>
      </c>
      <c r="D68" s="23"/>
      <c r="E68" s="21" t="s">
        <v>137</v>
      </c>
      <c r="F68" s="23" t="s">
        <v>875</v>
      </c>
      <c r="G68" s="21" t="s">
        <v>875</v>
      </c>
      <c r="H68" s="21" t="s">
        <v>707</v>
      </c>
      <c r="I68" s="21"/>
      <c r="J68" s="21"/>
      <c r="K68" s="21" t="str">
        <f>IFERROR(__xludf.DUMMYFUNCTION("IF(OR(REGEXMATCH(C68,""^(เด็กหญิง|ด\.ญ\.|นางสาว|น\.ส\.)""),REGEXMATCH(C68,""หญิง"")),""หญิง"",IF(OR(REGEXMATCH(C68,""^(เด็กชาย|ด\.ช\.|นาย)""),REGEXMATCH(C68,""ชาย"")),""ชาย"",""""))"),"หญิง")</f>
        <v>หญิง</v>
      </c>
    </row>
    <row r="69" ht="22.5" customHeight="1">
      <c r="A69" s="23" t="s">
        <v>876</v>
      </c>
      <c r="B69" s="23" t="s">
        <v>877</v>
      </c>
      <c r="C69" s="23" t="s">
        <v>384</v>
      </c>
      <c r="D69" s="23" t="s">
        <v>878</v>
      </c>
      <c r="E69" s="21" t="s">
        <v>734</v>
      </c>
      <c r="F69" s="23" t="s">
        <v>755</v>
      </c>
      <c r="G69" s="21" t="s">
        <v>755</v>
      </c>
      <c r="H69" s="21" t="s">
        <v>736</v>
      </c>
      <c r="I69" s="21"/>
      <c r="J69" s="21"/>
      <c r="K69" s="21" t="str">
        <f>IFERROR(__xludf.DUMMYFUNCTION("IF(OR(REGEXMATCH(C69,""^(เด็กหญิง|ด\.ญ\.|นางสาว|น\.ส\.)""),REGEXMATCH(C69,""หญิง"")),""หญิง"",IF(OR(REGEXMATCH(C69,""^(เด็กชาย|ด\.ช\.|นาย)""),REGEXMATCH(C69,""ชาย"")),""ชาย"",""""))"),"หญิง")</f>
        <v>หญิง</v>
      </c>
    </row>
    <row r="70" ht="22.5" customHeight="1">
      <c r="A70" s="23" t="s">
        <v>879</v>
      </c>
      <c r="B70" s="23" t="s">
        <v>880</v>
      </c>
      <c r="C70" s="23" t="s">
        <v>387</v>
      </c>
      <c r="D70" s="23"/>
      <c r="E70" s="21" t="s">
        <v>131</v>
      </c>
      <c r="F70" s="23" t="s">
        <v>755</v>
      </c>
      <c r="G70" s="21" t="s">
        <v>755</v>
      </c>
      <c r="H70" s="21" t="s">
        <v>711</v>
      </c>
      <c r="I70" s="21"/>
      <c r="J70" s="21"/>
      <c r="K70" s="21" t="str">
        <f>IFERROR(__xludf.DUMMYFUNCTION("IF(OR(REGEXMATCH(C70,""^(เด็กหญิง|ด\.ญ\.|นางสาว|น\.ส\.)""),REGEXMATCH(C70,""หญิง"")),""หญิง"",IF(OR(REGEXMATCH(C70,""^(เด็กชาย|ด\.ช\.|นาย)""),REGEXMATCH(C70,""ชาย"")),""ชาย"",""""))"),"หญิง")</f>
        <v>หญิง</v>
      </c>
    </row>
    <row r="71" ht="22.5" customHeight="1">
      <c r="A71" s="23" t="s">
        <v>881</v>
      </c>
      <c r="B71" s="23" t="s">
        <v>882</v>
      </c>
      <c r="C71" s="23" t="s">
        <v>390</v>
      </c>
      <c r="D71" s="23" t="s">
        <v>878</v>
      </c>
      <c r="E71" s="21" t="s">
        <v>123</v>
      </c>
      <c r="F71" s="23" t="s">
        <v>755</v>
      </c>
      <c r="G71" s="21" t="s">
        <v>755</v>
      </c>
      <c r="H71" s="21" t="s">
        <v>718</v>
      </c>
      <c r="I71" s="21"/>
      <c r="J71" s="21"/>
      <c r="K71" s="21" t="str">
        <f>IFERROR(__xludf.DUMMYFUNCTION("IF(OR(REGEXMATCH(C71,""^(เด็กหญิง|ด\.ญ\.|นางสาว|น\.ส\.)""),REGEXMATCH(C71,""หญิง"")),""หญิง"",IF(OR(REGEXMATCH(C71,""^(เด็กชาย|ด\.ช\.|นาย)""),REGEXMATCH(C71,""ชาย"")),""ชาย"",""""))"),"หญิง")</f>
        <v>หญิง</v>
      </c>
    </row>
    <row r="72" ht="22.5" customHeight="1">
      <c r="A72" s="23" t="s">
        <v>883</v>
      </c>
      <c r="B72" s="23" t="s">
        <v>884</v>
      </c>
      <c r="C72" s="23" t="s">
        <v>393</v>
      </c>
      <c r="D72" s="23" t="s">
        <v>878</v>
      </c>
      <c r="E72" s="21" t="s">
        <v>123</v>
      </c>
      <c r="F72" s="23" t="s">
        <v>755</v>
      </c>
      <c r="G72" s="21" t="s">
        <v>755</v>
      </c>
      <c r="H72" s="21" t="s">
        <v>718</v>
      </c>
      <c r="I72" s="21"/>
      <c r="J72" s="21"/>
      <c r="K72" s="21" t="str">
        <f>IFERROR(__xludf.DUMMYFUNCTION("IF(OR(REGEXMATCH(C72,""^(เด็กหญิง|ด\.ญ\.|นางสาว|น\.ส\.)""),REGEXMATCH(C72,""หญิง"")),""หญิง"",IF(OR(REGEXMATCH(C72,""^(เด็กชาย|ด\.ช\.|นาย)""),REGEXMATCH(C72,""ชาย"")),""ชาย"",""""))"),"หญิง")</f>
        <v>หญิง</v>
      </c>
    </row>
    <row r="73" ht="22.5" customHeight="1">
      <c r="A73" s="23" t="s">
        <v>885</v>
      </c>
      <c r="B73" s="23" t="s">
        <v>886</v>
      </c>
      <c r="C73" s="23" t="s">
        <v>396</v>
      </c>
      <c r="D73" s="23"/>
      <c r="E73" s="21" t="s">
        <v>734</v>
      </c>
      <c r="F73" s="23" t="s">
        <v>755</v>
      </c>
      <c r="G73" s="21" t="s">
        <v>755</v>
      </c>
      <c r="H73" s="21" t="s">
        <v>736</v>
      </c>
      <c r="I73" s="21"/>
      <c r="J73" s="21"/>
      <c r="K73" s="21" t="str">
        <f>IFERROR(__xludf.DUMMYFUNCTION("IF(OR(REGEXMATCH(C73,""^(เด็กหญิง|ด\.ญ\.|นางสาว|น\.ส\.)""),REGEXMATCH(C73,""หญิง"")),""หญิง"",IF(OR(REGEXMATCH(C73,""^(เด็กชาย|ด\.ช\.|นาย)""),REGEXMATCH(C73,""ชาย"")),""ชาย"",""""))"),"หญิง")</f>
        <v>หญิง</v>
      </c>
    </row>
    <row r="74" ht="22.5" customHeight="1">
      <c r="A74" s="23" t="s">
        <v>887</v>
      </c>
      <c r="B74" s="23" t="s">
        <v>888</v>
      </c>
      <c r="C74" s="23" t="s">
        <v>399</v>
      </c>
      <c r="D74" s="23"/>
      <c r="E74" s="21" t="s">
        <v>151</v>
      </c>
      <c r="F74" s="23" t="s">
        <v>755</v>
      </c>
      <c r="G74" s="21" t="s">
        <v>755</v>
      </c>
      <c r="H74" s="21" t="s">
        <v>703</v>
      </c>
      <c r="I74" s="21"/>
      <c r="J74" s="21"/>
      <c r="K74" s="21" t="str">
        <f>IFERROR(__xludf.DUMMYFUNCTION("IF(OR(REGEXMATCH(C74,""^(เด็กหญิง|ด\.ญ\.|นางสาว|น\.ส\.)""),REGEXMATCH(C74,""หญิง"")),""หญิง"",IF(OR(REGEXMATCH(C74,""^(เด็กชาย|ด\.ช\.|นาย)""),REGEXMATCH(C74,""ชาย"")),""ชาย"",""""))"),"หญิง")</f>
        <v>หญิง</v>
      </c>
    </row>
    <row r="75" ht="22.5" customHeight="1">
      <c r="A75" s="23" t="s">
        <v>889</v>
      </c>
      <c r="B75" s="23" t="s">
        <v>890</v>
      </c>
      <c r="C75" s="23" t="s">
        <v>417</v>
      </c>
      <c r="D75" s="23" t="s">
        <v>891</v>
      </c>
      <c r="E75" s="21" t="s">
        <v>144</v>
      </c>
      <c r="F75" s="23" t="s">
        <v>755</v>
      </c>
      <c r="G75" s="21" t="s">
        <v>755</v>
      </c>
      <c r="H75" s="21" t="s">
        <v>699</v>
      </c>
      <c r="I75" s="21"/>
      <c r="J75" s="21"/>
      <c r="K75" s="21" t="str">
        <f>IFERROR(__xludf.DUMMYFUNCTION("IF(OR(REGEXMATCH(C75,""^(เด็กหญิง|ด\.ญ\.|นางสาว|น\.ส\.)""),REGEXMATCH(C75,""หญิง"")),""หญิง"",IF(OR(REGEXMATCH(C75,""^(เด็กชาย|ด\.ช\.|นาย)""),REGEXMATCH(C75,""ชาย"")),""ชาย"",""""))"),"หญิง")</f>
        <v>หญิง</v>
      </c>
    </row>
    <row r="76" ht="22.5" customHeight="1">
      <c r="A76" s="23" t="s">
        <v>892</v>
      </c>
      <c r="B76" s="23" t="s">
        <v>893</v>
      </c>
      <c r="C76" s="23" t="s">
        <v>405</v>
      </c>
      <c r="D76" s="23" t="s">
        <v>894</v>
      </c>
      <c r="E76" s="21" t="s">
        <v>148</v>
      </c>
      <c r="F76" s="23" t="s">
        <v>755</v>
      </c>
      <c r="G76" s="21" t="s">
        <v>755</v>
      </c>
      <c r="H76" s="21" t="s">
        <v>728</v>
      </c>
      <c r="I76" s="21"/>
      <c r="J76" s="21"/>
      <c r="K76" s="21" t="str">
        <f>IFERROR(__xludf.DUMMYFUNCTION("IF(OR(REGEXMATCH(C76,""^(เด็กหญิง|ด\.ญ\.|นางสาว|น\.ส\.)""),REGEXMATCH(C76,""หญิง"")),""หญิง"",IF(OR(REGEXMATCH(C76,""^(เด็กชาย|ด\.ช\.|นาย)""),REGEXMATCH(C76,""ชาย"")),""ชาย"",""""))"),"หญิง")</f>
        <v>หญิง</v>
      </c>
    </row>
    <row r="77" ht="22.5" customHeight="1">
      <c r="A77" s="23" t="s">
        <v>895</v>
      </c>
      <c r="B77" s="23" t="s">
        <v>896</v>
      </c>
      <c r="C77" s="23" t="s">
        <v>411</v>
      </c>
      <c r="D77" s="23" t="s">
        <v>894</v>
      </c>
      <c r="E77" s="21" t="s">
        <v>148</v>
      </c>
      <c r="F77" s="23" t="s">
        <v>755</v>
      </c>
      <c r="G77" s="21" t="s">
        <v>755</v>
      </c>
      <c r="H77" s="21" t="s">
        <v>728</v>
      </c>
      <c r="I77" s="21"/>
      <c r="J77" s="21"/>
      <c r="K77" s="21" t="str">
        <f>IFERROR(__xludf.DUMMYFUNCTION("IF(OR(REGEXMATCH(C77,""^(เด็กหญิง|ด\.ญ\.|นางสาว|น\.ส\.)""),REGEXMATCH(C77,""หญิง"")),""หญิง"",IF(OR(REGEXMATCH(C77,""^(เด็กชาย|ด\.ช\.|นาย)""),REGEXMATCH(C77,""ชาย"")),""ชาย"",""""))"),"หญิง")</f>
        <v>หญิง</v>
      </c>
    </row>
    <row r="78" ht="22.5" customHeight="1">
      <c r="A78" s="23" t="s">
        <v>897</v>
      </c>
      <c r="B78" s="23" t="s">
        <v>898</v>
      </c>
      <c r="C78" s="23" t="s">
        <v>414</v>
      </c>
      <c r="D78" s="23" t="s">
        <v>894</v>
      </c>
      <c r="E78" s="21" t="s">
        <v>148</v>
      </c>
      <c r="F78" s="23" t="s">
        <v>755</v>
      </c>
      <c r="G78" s="21" t="s">
        <v>755</v>
      </c>
      <c r="H78" s="21" t="s">
        <v>728</v>
      </c>
      <c r="I78" s="21"/>
      <c r="J78" s="21"/>
      <c r="K78" s="21" t="str">
        <f>IFERROR(__xludf.DUMMYFUNCTION("IF(OR(REGEXMATCH(C78,""^(เด็กหญิง|ด\.ญ\.|นางสาว|น\.ส\.)""),REGEXMATCH(C78,""หญิง"")),""หญิง"",IF(OR(REGEXMATCH(C78,""^(เด็กชาย|ด\.ช\.|นาย)""),REGEXMATCH(C78,""ชาย"")),""ชาย"",""""))"),"หญิง")</f>
        <v>หญิง</v>
      </c>
    </row>
    <row r="79" ht="22.5" customHeight="1">
      <c r="A79" s="23" t="s">
        <v>899</v>
      </c>
      <c r="B79" s="23" t="s">
        <v>900</v>
      </c>
      <c r="C79" s="23" t="s">
        <v>420</v>
      </c>
      <c r="D79" s="23" t="s">
        <v>894</v>
      </c>
      <c r="E79" s="21" t="s">
        <v>148</v>
      </c>
      <c r="F79" s="23" t="s">
        <v>755</v>
      </c>
      <c r="G79" s="21" t="s">
        <v>755</v>
      </c>
      <c r="H79" s="21" t="s">
        <v>728</v>
      </c>
      <c r="I79" s="21"/>
      <c r="J79" s="21"/>
      <c r="K79" s="21" t="str">
        <f>IFERROR(__xludf.DUMMYFUNCTION("IF(OR(REGEXMATCH(C79,""^(เด็กหญิง|ด\.ญ\.|นางสาว|น\.ส\.)""),REGEXMATCH(C79,""หญิง"")),""หญิง"",IF(OR(REGEXMATCH(C79,""^(เด็กชาย|ด\.ช\.|นาย)""),REGEXMATCH(C79,""ชาย"")),""ชาย"",""""))"),"หญิง")</f>
        <v>หญิง</v>
      </c>
    </row>
    <row r="80" ht="22.5" customHeight="1">
      <c r="A80" s="23" t="s">
        <v>901</v>
      </c>
      <c r="B80" s="23" t="s">
        <v>902</v>
      </c>
      <c r="C80" s="23" t="s">
        <v>426</v>
      </c>
      <c r="D80" s="23" t="s">
        <v>903</v>
      </c>
      <c r="E80" s="21" t="s">
        <v>144</v>
      </c>
      <c r="F80" s="23" t="s">
        <v>755</v>
      </c>
      <c r="G80" s="21" t="s">
        <v>755</v>
      </c>
      <c r="H80" s="21" t="s">
        <v>699</v>
      </c>
      <c r="I80" s="21"/>
      <c r="J80" s="21"/>
      <c r="K80" s="21" t="str">
        <f>IFERROR(__xludf.DUMMYFUNCTION("IF(OR(REGEXMATCH(C80,""^(เด็กหญิง|ด\.ญ\.|นางสาว|น\.ส\.)""),REGEXMATCH(C80,""หญิง"")),""หญิง"",IF(OR(REGEXMATCH(C80,""^(เด็กชาย|ด\.ช\.|นาย)""),REGEXMATCH(C80,""ชาย"")),""ชาย"",""""))"),"หญิง")</f>
        <v>หญิง</v>
      </c>
    </row>
    <row r="81" ht="22.5" customHeight="1">
      <c r="A81" s="23" t="s">
        <v>904</v>
      </c>
      <c r="B81" s="23" t="s">
        <v>905</v>
      </c>
      <c r="C81" s="23" t="s">
        <v>429</v>
      </c>
      <c r="D81" s="23"/>
      <c r="E81" s="21" t="s">
        <v>137</v>
      </c>
      <c r="F81" s="23" t="s">
        <v>755</v>
      </c>
      <c r="G81" s="21" t="s">
        <v>755</v>
      </c>
      <c r="H81" s="21" t="s">
        <v>707</v>
      </c>
      <c r="I81" s="21"/>
      <c r="J81" s="21"/>
      <c r="K81" s="21" t="str">
        <f>IFERROR(__xludf.DUMMYFUNCTION("IF(OR(REGEXMATCH(C81,""^(เด็กหญิง|ด\.ญ\.|นางสาว|น\.ส\.)""),REGEXMATCH(C81,""หญิง"")),""หญิง"",IF(OR(REGEXMATCH(C81,""^(เด็กชาย|ด\.ช\.|นาย)""),REGEXMATCH(C81,""ชาย"")),""ชาย"",""""))"),"หญิง")</f>
        <v>หญิง</v>
      </c>
    </row>
    <row r="82" ht="22.5" customHeight="1">
      <c r="A82" s="23" t="s">
        <v>906</v>
      </c>
      <c r="B82" s="23" t="s">
        <v>907</v>
      </c>
      <c r="C82" s="23" t="s">
        <v>432</v>
      </c>
      <c r="D82" s="23"/>
      <c r="E82" s="21" t="s">
        <v>137</v>
      </c>
      <c r="F82" s="23" t="s">
        <v>755</v>
      </c>
      <c r="G82" s="21" t="s">
        <v>755</v>
      </c>
      <c r="H82" s="21" t="s">
        <v>707</v>
      </c>
      <c r="I82" s="21"/>
      <c r="J82" s="21"/>
      <c r="K82" s="21" t="str">
        <f>IFERROR(__xludf.DUMMYFUNCTION("IF(OR(REGEXMATCH(C82,""^(เด็กหญิง|ด\.ญ\.|นางสาว|น\.ส\.)""),REGEXMATCH(C82,""หญิง"")),""หญิง"",IF(OR(REGEXMATCH(C82,""^(เด็กชาย|ด\.ช\.|นาย)""),REGEXMATCH(C82,""ชาย"")),""ชาย"",""""))"),"หญิง")</f>
        <v>หญิง</v>
      </c>
    </row>
    <row r="83" ht="22.5" customHeight="1">
      <c r="A83" s="23" t="s">
        <v>908</v>
      </c>
      <c r="B83" s="23" t="s">
        <v>909</v>
      </c>
      <c r="C83" s="23" t="s">
        <v>435</v>
      </c>
      <c r="D83" s="23"/>
      <c r="E83" s="21" t="s">
        <v>144</v>
      </c>
      <c r="F83" s="23" t="s">
        <v>755</v>
      </c>
      <c r="G83" s="21" t="s">
        <v>755</v>
      </c>
      <c r="H83" s="21" t="s">
        <v>699</v>
      </c>
      <c r="I83" s="21"/>
      <c r="J83" s="21"/>
      <c r="K83" s="21" t="str">
        <f>IFERROR(__xludf.DUMMYFUNCTION("IF(OR(REGEXMATCH(C83,""^(เด็กหญิง|ด\.ญ\.|นางสาว|น\.ส\.)""),REGEXMATCH(C83,""หญิง"")),""หญิง"",IF(OR(REGEXMATCH(C83,""^(เด็กชาย|ด\.ช\.|นาย)""),REGEXMATCH(C83,""ชาย"")),""ชาย"",""""))"),"หญิง")</f>
        <v>หญิง</v>
      </c>
    </row>
    <row r="84" ht="22.5" customHeight="1">
      <c r="A84" s="23" t="s">
        <v>910</v>
      </c>
      <c r="B84" s="23" t="s">
        <v>911</v>
      </c>
      <c r="C84" s="23" t="s">
        <v>441</v>
      </c>
      <c r="D84" s="23" t="s">
        <v>903</v>
      </c>
      <c r="E84" s="23" t="s">
        <v>131</v>
      </c>
      <c r="F84" s="23" t="s">
        <v>755</v>
      </c>
      <c r="G84" s="21" t="s">
        <v>755</v>
      </c>
      <c r="H84" s="21" t="s">
        <v>711</v>
      </c>
      <c r="I84" s="21"/>
      <c r="J84" s="21"/>
      <c r="K84" s="21" t="str">
        <f>IFERROR(__xludf.DUMMYFUNCTION("IF(OR(REGEXMATCH(C84,""^(เด็กหญิง|ด\.ญ\.|นางสาว|น\.ส\.)""),REGEXMATCH(C84,""หญิง"")),""หญิง"",IF(OR(REGEXMATCH(C84,""^(เด็กชาย|ด\.ช\.|นาย)""),REGEXMATCH(C84,""ชาย"")),""ชาย"",""""))"),"หญิง")</f>
        <v>หญิง</v>
      </c>
    </row>
    <row r="85" ht="22.5" customHeight="1">
      <c r="A85" s="23" t="s">
        <v>912</v>
      </c>
      <c r="B85" s="23" t="s">
        <v>913</v>
      </c>
      <c r="C85" s="23" t="s">
        <v>450</v>
      </c>
      <c r="D85" s="23" t="s">
        <v>795</v>
      </c>
      <c r="E85" s="21" t="s">
        <v>148</v>
      </c>
      <c r="F85" s="23" t="s">
        <v>755</v>
      </c>
      <c r="G85" s="21" t="s">
        <v>755</v>
      </c>
      <c r="H85" s="21" t="s">
        <v>728</v>
      </c>
      <c r="I85" s="21"/>
      <c r="J85" s="21"/>
      <c r="K85" s="21" t="str">
        <f>IFERROR(__xludf.DUMMYFUNCTION("IF(OR(REGEXMATCH(C85,""^(เด็กหญิง|ด\.ญ\.|นางสาว|น\.ส\.)""),REGEXMATCH(C85,""หญิง"")),""หญิง"",IF(OR(REGEXMATCH(C85,""^(เด็กชาย|ด\.ช\.|นาย)""),REGEXMATCH(C85,""ชาย"")),""ชาย"",""""))"),"หญิง")</f>
        <v>หญิง</v>
      </c>
    </row>
    <row r="86" ht="22.5" customHeight="1">
      <c r="A86" s="23" t="s">
        <v>914</v>
      </c>
      <c r="B86" s="23" t="s">
        <v>915</v>
      </c>
      <c r="C86" s="23" t="s">
        <v>456</v>
      </c>
      <c r="D86" s="23" t="s">
        <v>916</v>
      </c>
      <c r="E86" s="21" t="s">
        <v>144</v>
      </c>
      <c r="F86" s="23" t="s">
        <v>755</v>
      </c>
      <c r="G86" s="21" t="s">
        <v>755</v>
      </c>
      <c r="H86" s="21" t="s">
        <v>699</v>
      </c>
      <c r="I86" s="21"/>
      <c r="J86" s="21"/>
      <c r="K86" s="21" t="str">
        <f>IFERROR(__xludf.DUMMYFUNCTION("IF(OR(REGEXMATCH(C86,""^(เด็กหญิง|ด\.ญ\.|นางสาว|น\.ส\.)""),REGEXMATCH(C86,""หญิง"")),""หญิง"",IF(OR(REGEXMATCH(C86,""^(เด็กชาย|ด\.ช\.|นาย)""),REGEXMATCH(C86,""ชาย"")),""ชาย"",""""))"),"หญิง")</f>
        <v>หญิง</v>
      </c>
    </row>
    <row r="87" ht="22.5" customHeight="1">
      <c r="A87" s="23" t="s">
        <v>917</v>
      </c>
      <c r="B87" s="23" t="s">
        <v>918</v>
      </c>
      <c r="C87" s="23" t="s">
        <v>297</v>
      </c>
      <c r="D87" s="23"/>
      <c r="E87" s="21" t="s">
        <v>131</v>
      </c>
      <c r="F87" s="23" t="s">
        <v>919</v>
      </c>
      <c r="G87" s="21" t="s">
        <v>919</v>
      </c>
      <c r="H87" s="21" t="s">
        <v>711</v>
      </c>
      <c r="I87" s="21"/>
      <c r="J87" s="21"/>
      <c r="K87" s="21" t="str">
        <f>IFERROR(__xludf.DUMMYFUNCTION("IF(OR(REGEXMATCH(C87,""^(เด็กหญิง|ด\.ญ\.|นางสาว|น\.ส\.)""),REGEXMATCH(C87,""หญิง"")),""หญิง"",IF(OR(REGEXMATCH(C87,""^(เด็กชาย|ด\.ช\.|นาย)""),REGEXMATCH(C87,""ชาย"")),""ชาย"",""""))"),"หญิง")</f>
        <v>หญิง</v>
      </c>
    </row>
    <row r="88" ht="22.5" customHeight="1">
      <c r="A88" s="23" t="s">
        <v>920</v>
      </c>
      <c r="B88" s="23" t="s">
        <v>921</v>
      </c>
      <c r="C88" s="23" t="s">
        <v>303</v>
      </c>
      <c r="D88" s="23"/>
      <c r="E88" s="21" t="s">
        <v>734</v>
      </c>
      <c r="F88" s="23" t="s">
        <v>922</v>
      </c>
      <c r="G88" s="21" t="s">
        <v>922</v>
      </c>
      <c r="H88" s="21" t="s">
        <v>736</v>
      </c>
      <c r="I88" s="21"/>
      <c r="J88" s="21"/>
      <c r="K88" s="21" t="str">
        <f>IFERROR(__xludf.DUMMYFUNCTION("IF(OR(REGEXMATCH(C88,""^(เด็กหญิง|ด\.ญ\.|นางสาว|น\.ส\.)""),REGEXMATCH(C88,""หญิง"")),""หญิง"",IF(OR(REGEXMATCH(C88,""^(เด็กชาย|ด\.ช\.|นาย)""),REGEXMATCH(C88,""ชาย"")),""ชาย"",""""))"),"หญิง")</f>
        <v>หญิง</v>
      </c>
    </row>
    <row r="89" ht="22.5" customHeight="1">
      <c r="A89" s="23" t="s">
        <v>923</v>
      </c>
      <c r="B89" s="23" t="s">
        <v>924</v>
      </c>
      <c r="C89" s="23" t="s">
        <v>306</v>
      </c>
      <c r="D89" s="23"/>
      <c r="E89" s="21" t="s">
        <v>123</v>
      </c>
      <c r="F89" s="23" t="s">
        <v>925</v>
      </c>
      <c r="G89" s="21" t="s">
        <v>925</v>
      </c>
      <c r="H89" s="21" t="s">
        <v>718</v>
      </c>
      <c r="I89" s="21"/>
      <c r="J89" s="21"/>
      <c r="K89" s="21" t="str">
        <f>IFERROR(__xludf.DUMMYFUNCTION("IF(OR(REGEXMATCH(C89,""^(เด็กหญิง|ด\.ญ\.|นางสาว|น\.ส\.)""),REGEXMATCH(C89,""หญิง"")),""หญิง"",IF(OR(REGEXMATCH(C89,""^(เด็กชาย|ด\.ช\.|นาย)""),REGEXMATCH(C89,""ชาย"")),""ชาย"",""""))"),"หญิง")</f>
        <v>หญิง</v>
      </c>
    </row>
    <row r="90" ht="22.5" customHeight="1">
      <c r="A90" s="23" t="s">
        <v>926</v>
      </c>
      <c r="B90" s="23" t="s">
        <v>927</v>
      </c>
      <c r="C90" s="23" t="s">
        <v>312</v>
      </c>
      <c r="D90" s="23"/>
      <c r="E90" s="21" t="s">
        <v>144</v>
      </c>
      <c r="F90" s="23" t="s">
        <v>928</v>
      </c>
      <c r="G90" s="21" t="s">
        <v>928</v>
      </c>
      <c r="H90" s="21" t="s">
        <v>699</v>
      </c>
      <c r="I90" s="21"/>
      <c r="J90" s="21"/>
      <c r="K90" s="21" t="str">
        <f>IFERROR(__xludf.DUMMYFUNCTION("IF(OR(REGEXMATCH(C90,""^(เด็กหญิง|ด\.ญ\.|นางสาว|น\.ส\.)""),REGEXMATCH(C90,""หญิง"")),""หญิง"",IF(OR(REGEXMATCH(C90,""^(เด็กชาย|ด\.ช\.|นาย)""),REGEXMATCH(C90,""ชาย"")),""ชาย"",""""))"),"หญิง")</f>
        <v>หญิง</v>
      </c>
    </row>
    <row r="91" ht="22.5" customHeight="1">
      <c r="A91" s="23" t="s">
        <v>929</v>
      </c>
      <c r="B91" s="23" t="s">
        <v>930</v>
      </c>
      <c r="C91" s="23" t="s">
        <v>318</v>
      </c>
      <c r="D91" s="23"/>
      <c r="E91" s="21" t="s">
        <v>148</v>
      </c>
      <c r="F91" s="23" t="s">
        <v>931</v>
      </c>
      <c r="G91" s="21" t="s">
        <v>931</v>
      </c>
      <c r="H91" s="21" t="s">
        <v>728</v>
      </c>
      <c r="I91" s="21"/>
      <c r="J91" s="21"/>
      <c r="K91" s="21" t="str">
        <f>IFERROR(__xludf.DUMMYFUNCTION("IF(OR(REGEXMATCH(C91,""^(เด็กหญิง|ด\.ญ\.|นางสาว|น\.ส\.)""),REGEXMATCH(C91,""หญิง"")),""หญิง"",IF(OR(REGEXMATCH(C91,""^(เด็กชาย|ด\.ช\.|นาย)""),REGEXMATCH(C91,""ชาย"")),""ชาย"",""""))"),"หญิง")</f>
        <v>หญิง</v>
      </c>
    </row>
    <row r="92" ht="22.5" customHeight="1">
      <c r="A92" s="23" t="s">
        <v>932</v>
      </c>
      <c r="B92" s="23" t="s">
        <v>933</v>
      </c>
      <c r="C92" s="23" t="s">
        <v>321</v>
      </c>
      <c r="D92" s="23"/>
      <c r="E92" s="21" t="s">
        <v>131</v>
      </c>
      <c r="F92" s="23"/>
      <c r="G92" s="21"/>
      <c r="H92" s="21" t="s">
        <v>711</v>
      </c>
      <c r="I92" s="21"/>
      <c r="J92" s="21"/>
      <c r="K92" s="21" t="str">
        <f>IFERROR(__xludf.DUMMYFUNCTION("IF(OR(REGEXMATCH(C92,""^(เด็กหญิง|ด\.ญ\.|นางสาว|น\.ส\.)""),REGEXMATCH(C92,""หญิง"")),""หญิง"",IF(OR(REGEXMATCH(C92,""^(เด็กชาย|ด\.ช\.|นาย)""),REGEXMATCH(C92,""ชาย"")),""ชาย"",""""))"),"หญิง")</f>
        <v>หญิง</v>
      </c>
    </row>
    <row r="93" ht="22.5" customHeight="1">
      <c r="A93" s="27" t="s">
        <v>934</v>
      </c>
      <c r="B93" s="27" t="s">
        <v>59</v>
      </c>
      <c r="C93" s="27" t="s">
        <v>327</v>
      </c>
      <c r="D93" s="27"/>
      <c r="E93" s="25" t="s">
        <v>148</v>
      </c>
      <c r="F93" s="27"/>
      <c r="G93" s="25"/>
      <c r="H93" s="25" t="s">
        <v>728</v>
      </c>
      <c r="I93" s="25"/>
      <c r="J93" s="25"/>
      <c r="K93" s="21" t="str">
        <f>IFERROR(__xludf.DUMMYFUNCTION("IF(OR(REGEXMATCH(C93,""^(เด็กหญิง|ด\.ญ\.|นางสาว|น\.ส\.)""),REGEXMATCH(C93,""หญิง"")),""หญิง"",IF(OR(REGEXMATCH(C93,""^(เด็กชาย|ด\.ช\.|นาย)""),REGEXMATCH(C93,""ชาย"")),""ชาย"",""""))"),"หญิง")</f>
        <v>หญิง</v>
      </c>
    </row>
    <row r="94" ht="22.5" customHeight="1">
      <c r="A94" s="23" t="s">
        <v>935</v>
      </c>
      <c r="B94" s="23" t="s">
        <v>40</v>
      </c>
      <c r="C94" s="23" t="s">
        <v>408</v>
      </c>
      <c r="D94" s="23"/>
      <c r="E94" s="21" t="s">
        <v>807</v>
      </c>
      <c r="F94" s="23" t="s">
        <v>755</v>
      </c>
      <c r="G94" s="21" t="s">
        <v>755</v>
      </c>
      <c r="H94" s="21" t="s">
        <v>808</v>
      </c>
      <c r="I94" s="21"/>
      <c r="J94" s="21"/>
      <c r="K94" s="21" t="str">
        <f>IFERROR(__xludf.DUMMYFUNCTION("IF(OR(REGEXMATCH(C94,""^(เด็กหญิง|ด\.ญ\.|นางสาว|น\.ส\.)""),REGEXMATCH(C94,""หญิง"")),""หญิง"",IF(OR(REGEXMATCH(C94,""^(เด็กชาย|ด\.ช\.|นาย)""),REGEXMATCH(C94,""ชาย"")),""ชาย"",""""))"),"หญิง")</f>
        <v>หญิง</v>
      </c>
    </row>
    <row r="95" ht="22.5" customHeight="1">
      <c r="A95" s="23" t="s">
        <v>936</v>
      </c>
      <c r="B95" s="23" t="s">
        <v>53</v>
      </c>
      <c r="C95" s="23" t="s">
        <v>438</v>
      </c>
      <c r="D95" s="23"/>
      <c r="E95" s="21" t="s">
        <v>144</v>
      </c>
      <c r="F95" s="23" t="s">
        <v>755</v>
      </c>
      <c r="G95" s="21" t="s">
        <v>755</v>
      </c>
      <c r="H95" s="21" t="s">
        <v>699</v>
      </c>
      <c r="I95" s="21"/>
      <c r="J95" s="21"/>
      <c r="K95" s="21" t="str">
        <f>IFERROR(__xludf.DUMMYFUNCTION("IF(OR(REGEXMATCH(C95,""^(เด็กหญิง|ด\.ญ\.|นางสาว|น\.ส\.)""),REGEXMATCH(C95,""หญิง"")),""หญิง"",IF(OR(REGEXMATCH(C95,""^(เด็กชาย|ด\.ช\.|นาย)""),REGEXMATCH(C95,""ชาย"")),""ชาย"",""""))"),"หญิง")</f>
        <v>หญิง</v>
      </c>
    </row>
    <row r="96" ht="22.5" customHeight="1">
      <c r="A96" s="23" t="s">
        <v>937</v>
      </c>
      <c r="B96" s="23" t="s">
        <v>72</v>
      </c>
      <c r="C96" s="23" t="s">
        <v>444</v>
      </c>
      <c r="D96" s="23"/>
      <c r="E96" s="21" t="s">
        <v>116</v>
      </c>
      <c r="F96" s="23" t="s">
        <v>755</v>
      </c>
      <c r="G96" s="21" t="s">
        <v>755</v>
      </c>
      <c r="H96" s="21" t="s">
        <v>805</v>
      </c>
      <c r="I96" s="21"/>
      <c r="J96" s="21"/>
      <c r="K96" s="21" t="str">
        <f>IFERROR(__xludf.DUMMYFUNCTION("IF(OR(REGEXMATCH(C96,""^(เด็กหญิง|ด\.ญ\.|นางสาว|น\.ส\.)""),REGEXMATCH(C96,""หญิง"")),""หญิง"",IF(OR(REGEXMATCH(C96,""^(เด็กชาย|ด\.ช\.|นาย)""),REGEXMATCH(C96,""ชาย"")),""ชาย"",""""))"),"หญิง")</f>
        <v>หญิง</v>
      </c>
    </row>
    <row r="97" ht="22.5" customHeight="1">
      <c r="A97" s="23" t="s">
        <v>938</v>
      </c>
      <c r="B97" s="23" t="s">
        <v>47</v>
      </c>
      <c r="C97" s="23" t="s">
        <v>453</v>
      </c>
      <c r="D97" s="23"/>
      <c r="E97" s="21" t="s">
        <v>811</v>
      </c>
      <c r="F97" s="23" t="s">
        <v>755</v>
      </c>
      <c r="G97" s="21" t="s">
        <v>755</v>
      </c>
      <c r="H97" s="21" t="s">
        <v>812</v>
      </c>
      <c r="I97" s="21"/>
      <c r="J97" s="21"/>
      <c r="K97" s="21" t="str">
        <f>IFERROR(__xludf.DUMMYFUNCTION("IF(OR(REGEXMATCH(C97,""^(เด็กหญิง|ด\.ญ\.|นางสาว|น\.ส\.)""),REGEXMATCH(C97,""หญิง"")),""หญิง"",IF(OR(REGEXMATCH(C97,""^(เด็กชาย|ด\.ช\.|นาย)""),REGEXMATCH(C97,""ชาย"")),""ชาย"",""""))"),"หญิง")</f>
        <v>หญิง</v>
      </c>
    </row>
    <row r="98" ht="22.5" customHeight="1">
      <c r="A98" s="23" t="s">
        <v>939</v>
      </c>
      <c r="B98" s="23" t="s">
        <v>940</v>
      </c>
      <c r="C98" s="23" t="s">
        <v>462</v>
      </c>
      <c r="D98" s="23"/>
      <c r="E98" s="21" t="s">
        <v>148</v>
      </c>
      <c r="F98" s="23" t="s">
        <v>941</v>
      </c>
      <c r="G98" s="21" t="s">
        <v>941</v>
      </c>
      <c r="H98" s="21" t="s">
        <v>728</v>
      </c>
      <c r="I98" s="21"/>
      <c r="J98" s="21"/>
      <c r="K98" s="21" t="str">
        <f>IFERROR(__xludf.DUMMYFUNCTION("IF(OR(REGEXMATCH(C98,""^(เด็กหญิง|ด\.ญ\.|นางสาว|น\.ส\.)""),REGEXMATCH(C98,""หญิง"")),""หญิง"",IF(OR(REGEXMATCH(C98,""^(เด็กชาย|ด\.ช\.|นาย)""),REGEXMATCH(C98,""ชาย"")),""ชาย"",""""))"),"หญิง")</f>
        <v>หญิง</v>
      </c>
    </row>
    <row r="99" ht="22.5" customHeight="1">
      <c r="A99" s="23" t="s">
        <v>942</v>
      </c>
      <c r="B99" s="23" t="s">
        <v>943</v>
      </c>
      <c r="C99" s="23" t="s">
        <v>658</v>
      </c>
      <c r="D99" s="23"/>
      <c r="E99" s="23" t="s">
        <v>151</v>
      </c>
      <c r="F99" s="23"/>
      <c r="G99" s="21"/>
      <c r="H99" s="21" t="s">
        <v>703</v>
      </c>
      <c r="I99" s="21"/>
      <c r="J99" s="21"/>
      <c r="K99" s="21" t="str">
        <f>IFERROR(__xludf.DUMMYFUNCTION("IF(OR(REGEXMATCH(C99,""^(เด็กหญิง|ด\.ญ\.|นางสาว|น\.ส\.)""),REGEXMATCH(C99,""หญิง"")),""หญิง"",IF(OR(REGEXMATCH(C99,""^(เด็กชาย|ด\.ช\.|นาย)""),REGEXMATCH(C99,""ชาย"")),""ชาย"",""""))"),"หญิง")</f>
        <v>หญิง</v>
      </c>
    </row>
    <row r="100" ht="22.5" customHeight="1">
      <c r="A100" s="23"/>
      <c r="B100" s="23"/>
      <c r="C100" s="23"/>
      <c r="D100" s="23"/>
      <c r="E100" s="23"/>
      <c r="F100" s="23"/>
      <c r="G100" s="21"/>
      <c r="H100" s="21" t="s">
        <v>944</v>
      </c>
      <c r="I100" s="21"/>
      <c r="J100" s="21"/>
      <c r="K100" s="21"/>
    </row>
    <row r="101" ht="22.5" customHeight="1">
      <c r="A101" s="23"/>
      <c r="B101" s="23"/>
      <c r="C101" s="23"/>
      <c r="D101" s="23"/>
      <c r="E101" s="23"/>
      <c r="F101" s="23"/>
      <c r="G101" s="21"/>
      <c r="H101" s="21" t="s">
        <v>944</v>
      </c>
      <c r="I101" s="21"/>
      <c r="J101" s="21"/>
      <c r="K101" s="21"/>
    </row>
    <row r="102" ht="22.5" customHeight="1">
      <c r="A102" s="23"/>
      <c r="B102" s="23"/>
      <c r="C102" s="23"/>
      <c r="D102" s="23"/>
      <c r="E102" s="23"/>
      <c r="F102" s="23"/>
      <c r="G102" s="21"/>
      <c r="H102" s="21" t="s">
        <v>944</v>
      </c>
      <c r="I102" s="21"/>
      <c r="J102" s="21"/>
      <c r="K102" s="21"/>
    </row>
  </sheetData>
  <dataValidations>
    <dataValidation allowBlank="1" showDropDown="1" sqref="B2:C102 F2:F10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107</v>
      </c>
      <c r="B1" s="13" t="s">
        <v>663</v>
      </c>
      <c r="C1" s="13" t="s">
        <v>112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4" max="4" width="15.25"/>
    <col customWidth="1" min="5" max="5" width="13.38"/>
    <col customWidth="1" min="6" max="6" width="14.0"/>
  </cols>
  <sheetData>
    <row r="1" ht="22.5" customHeight="1">
      <c r="A1" s="28" t="s">
        <v>107</v>
      </c>
      <c r="B1" s="28" t="s">
        <v>154</v>
      </c>
      <c r="C1" s="28" t="s">
        <v>945</v>
      </c>
      <c r="D1" s="28" t="s">
        <v>946</v>
      </c>
      <c r="E1" s="28" t="s">
        <v>113</v>
      </c>
      <c r="F1" s="28" t="s">
        <v>947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hidden="1" customHeight="1">
      <c r="A2" s="23" t="s">
        <v>807</v>
      </c>
      <c r="B2" s="23" t="s">
        <v>116</v>
      </c>
      <c r="C2" s="23" t="s">
        <v>118</v>
      </c>
      <c r="D2" s="23" t="s">
        <v>948</v>
      </c>
      <c r="E2" s="23" t="s">
        <v>949</v>
      </c>
      <c r="F2" s="2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hidden="1" customHeight="1">
      <c r="A3" s="23" t="s">
        <v>116</v>
      </c>
      <c r="B3" s="23" t="s">
        <v>123</v>
      </c>
      <c r="C3" s="23" t="s">
        <v>118</v>
      </c>
      <c r="D3" s="23" t="s">
        <v>948</v>
      </c>
      <c r="E3" s="23" t="s">
        <v>949</v>
      </c>
      <c r="F3" s="2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hidden="1" customHeight="1">
      <c r="A4" s="23" t="s">
        <v>123</v>
      </c>
      <c r="B4" s="23" t="s">
        <v>131</v>
      </c>
      <c r="C4" s="23" t="s">
        <v>118</v>
      </c>
      <c r="D4" s="23" t="s">
        <v>948</v>
      </c>
      <c r="E4" s="23" t="s">
        <v>949</v>
      </c>
      <c r="F4" s="2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hidden="1" customHeight="1">
      <c r="A5" s="23" t="s">
        <v>131</v>
      </c>
      <c r="B5" s="23" t="s">
        <v>137</v>
      </c>
      <c r="C5" s="23" t="s">
        <v>118</v>
      </c>
      <c r="D5" s="23" t="s">
        <v>948</v>
      </c>
      <c r="E5" s="23" t="s">
        <v>949</v>
      </c>
      <c r="F5" s="2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hidden="1" customHeight="1">
      <c r="A6" s="23" t="s">
        <v>137</v>
      </c>
      <c r="B6" s="23" t="s">
        <v>144</v>
      </c>
      <c r="C6" s="23" t="s">
        <v>118</v>
      </c>
      <c r="D6" s="23" t="s">
        <v>948</v>
      </c>
      <c r="E6" s="23" t="s">
        <v>949</v>
      </c>
      <c r="F6" s="2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hidden="1" customHeight="1">
      <c r="A7" s="23" t="s">
        <v>144</v>
      </c>
      <c r="B7" s="23" t="s">
        <v>151</v>
      </c>
      <c r="C7" s="23" t="s">
        <v>118</v>
      </c>
      <c r="D7" s="23" t="s">
        <v>948</v>
      </c>
      <c r="E7" s="23" t="s">
        <v>949</v>
      </c>
      <c r="F7" s="2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hidden="1" customHeight="1">
      <c r="A8" s="23" t="s">
        <v>148</v>
      </c>
      <c r="B8" s="23" t="s">
        <v>734</v>
      </c>
      <c r="C8" s="23" t="s">
        <v>118</v>
      </c>
      <c r="D8" s="23" t="s">
        <v>948</v>
      </c>
      <c r="E8" s="23" t="s">
        <v>949</v>
      </c>
      <c r="F8" s="2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hidden="1" customHeight="1">
      <c r="A9" s="23" t="s">
        <v>151</v>
      </c>
      <c r="B9" s="23" t="s">
        <v>831</v>
      </c>
      <c r="C9" s="23" t="s">
        <v>118</v>
      </c>
      <c r="D9" s="23" t="s">
        <v>948</v>
      </c>
      <c r="E9" s="23" t="s">
        <v>949</v>
      </c>
      <c r="F9" s="2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hidden="1" customHeight="1">
      <c r="A10" s="23" t="s">
        <v>734</v>
      </c>
      <c r="B10" s="23" t="s">
        <v>833</v>
      </c>
      <c r="C10" s="23" t="s">
        <v>118</v>
      </c>
      <c r="D10" s="23" t="s">
        <v>948</v>
      </c>
      <c r="E10" s="23" t="s">
        <v>949</v>
      </c>
      <c r="F10" s="2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hidden="1" customHeight="1">
      <c r="A11" s="23" t="s">
        <v>831</v>
      </c>
      <c r="B11" s="23" t="s">
        <v>811</v>
      </c>
      <c r="C11" s="23" t="s">
        <v>118</v>
      </c>
      <c r="D11" s="23" t="s">
        <v>948</v>
      </c>
      <c r="E11" s="23" t="s">
        <v>949</v>
      </c>
      <c r="F11" s="2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hidden="1" customHeight="1">
      <c r="A12" s="23" t="s">
        <v>833</v>
      </c>
      <c r="B12" s="23" t="s">
        <v>838</v>
      </c>
      <c r="C12" s="23" t="s">
        <v>118</v>
      </c>
      <c r="D12" s="23" t="s">
        <v>948</v>
      </c>
      <c r="E12" s="23" t="s">
        <v>949</v>
      </c>
      <c r="F12" s="2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hidden="1" customHeight="1">
      <c r="A13" s="23" t="s">
        <v>811</v>
      </c>
      <c r="B13" s="23" t="s">
        <v>840</v>
      </c>
      <c r="C13" s="23" t="s">
        <v>118</v>
      </c>
      <c r="D13" s="23" t="s">
        <v>948</v>
      </c>
      <c r="E13" s="23" t="s">
        <v>949</v>
      </c>
      <c r="F13" s="2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hidden="1" customHeight="1">
      <c r="A14" s="23" t="s">
        <v>838</v>
      </c>
      <c r="B14" s="23" t="s">
        <v>842</v>
      </c>
      <c r="C14" s="23" t="s">
        <v>118</v>
      </c>
      <c r="D14" s="23" t="s">
        <v>948</v>
      </c>
      <c r="E14" s="23" t="s">
        <v>949</v>
      </c>
      <c r="F14" s="2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hidden="1" customHeight="1">
      <c r="A15" s="23" t="s">
        <v>840</v>
      </c>
      <c r="B15" s="23" t="s">
        <v>844</v>
      </c>
      <c r="C15" s="23" t="s">
        <v>118</v>
      </c>
      <c r="D15" s="23" t="s">
        <v>948</v>
      </c>
      <c r="E15" s="23" t="s">
        <v>949</v>
      </c>
      <c r="F15" s="2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hidden="1" customHeight="1">
      <c r="A16" s="23" t="s">
        <v>842</v>
      </c>
      <c r="B16" s="23" t="s">
        <v>846</v>
      </c>
      <c r="C16" s="23" t="s">
        <v>118</v>
      </c>
      <c r="D16" s="23" t="s">
        <v>948</v>
      </c>
      <c r="E16" s="23" t="s">
        <v>949</v>
      </c>
      <c r="F16" s="2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hidden="1" customHeight="1">
      <c r="A17" s="23" t="s">
        <v>844</v>
      </c>
      <c r="B17" s="23" t="s">
        <v>848</v>
      </c>
      <c r="C17" s="23" t="s">
        <v>118</v>
      </c>
      <c r="D17" s="23" t="s">
        <v>948</v>
      </c>
      <c r="E17" s="23" t="s">
        <v>949</v>
      </c>
      <c r="F17" s="2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hidden="1" customHeight="1">
      <c r="A18" s="23" t="s">
        <v>846</v>
      </c>
      <c r="B18" s="23" t="s">
        <v>850</v>
      </c>
      <c r="C18" s="23" t="s">
        <v>118</v>
      </c>
      <c r="D18" s="23" t="s">
        <v>948</v>
      </c>
      <c r="E18" s="23" t="s">
        <v>949</v>
      </c>
      <c r="F18" s="2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hidden="1" customHeight="1">
      <c r="A19" s="23" t="s">
        <v>848</v>
      </c>
      <c r="B19" s="23" t="s">
        <v>853</v>
      </c>
      <c r="C19" s="23" t="s">
        <v>118</v>
      </c>
      <c r="D19" s="23" t="s">
        <v>948</v>
      </c>
      <c r="E19" s="23" t="s">
        <v>949</v>
      </c>
      <c r="F19" s="2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hidden="1" customHeight="1">
      <c r="A20" s="23" t="s">
        <v>850</v>
      </c>
      <c r="B20" s="23" t="s">
        <v>855</v>
      </c>
      <c r="C20" s="23" t="s">
        <v>118</v>
      </c>
      <c r="D20" s="23" t="s">
        <v>948</v>
      </c>
      <c r="E20" s="23" t="s">
        <v>949</v>
      </c>
      <c r="F20" s="2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hidden="1" customHeight="1">
      <c r="A21" s="23" t="s">
        <v>950</v>
      </c>
      <c r="B21" s="23" t="s">
        <v>857</v>
      </c>
      <c r="C21" s="23" t="s">
        <v>118</v>
      </c>
      <c r="D21" s="23" t="s">
        <v>948</v>
      </c>
      <c r="E21" s="23" t="s">
        <v>949</v>
      </c>
      <c r="F21" s="2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hidden="1" customHeight="1">
      <c r="A22" s="23" t="s">
        <v>853</v>
      </c>
      <c r="B22" s="23" t="s">
        <v>860</v>
      </c>
      <c r="C22" s="23" t="s">
        <v>118</v>
      </c>
      <c r="D22" s="23" t="s">
        <v>948</v>
      </c>
      <c r="E22" s="23" t="s">
        <v>949</v>
      </c>
      <c r="F22" s="2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hidden="1" customHeight="1">
      <c r="A23" s="23" t="s">
        <v>855</v>
      </c>
      <c r="B23" s="23" t="s">
        <v>862</v>
      </c>
      <c r="C23" s="23" t="s">
        <v>118</v>
      </c>
      <c r="D23" s="23" t="s">
        <v>948</v>
      </c>
      <c r="E23" s="23" t="s">
        <v>949</v>
      </c>
      <c r="F23" s="2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hidden="1" customHeight="1">
      <c r="A24" s="23" t="s">
        <v>793</v>
      </c>
      <c r="B24" s="23" t="s">
        <v>865</v>
      </c>
      <c r="C24" s="23" t="s">
        <v>118</v>
      </c>
      <c r="D24" s="23" t="s">
        <v>948</v>
      </c>
      <c r="E24" s="23" t="s">
        <v>949</v>
      </c>
      <c r="F24" s="2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hidden="1" customHeight="1">
      <c r="A25" s="23" t="s">
        <v>752</v>
      </c>
      <c r="B25" s="23" t="s">
        <v>867</v>
      </c>
      <c r="C25" s="23" t="s">
        <v>118</v>
      </c>
      <c r="D25" s="23" t="s">
        <v>948</v>
      </c>
      <c r="E25" s="23" t="s">
        <v>949</v>
      </c>
      <c r="F25" s="2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hidden="1" customHeight="1">
      <c r="A26" s="23" t="s">
        <v>857</v>
      </c>
      <c r="B26" s="23" t="s">
        <v>869</v>
      </c>
      <c r="C26" s="23" t="s">
        <v>118</v>
      </c>
      <c r="D26" s="23" t="s">
        <v>948</v>
      </c>
      <c r="E26" s="23" t="s">
        <v>949</v>
      </c>
      <c r="F26" s="2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hidden="1" customHeight="1">
      <c r="A27" s="23" t="s">
        <v>860</v>
      </c>
      <c r="B27" s="23" t="s">
        <v>871</v>
      </c>
      <c r="C27" s="23" t="s">
        <v>118</v>
      </c>
      <c r="D27" s="23" t="s">
        <v>948</v>
      </c>
      <c r="E27" s="23" t="s">
        <v>949</v>
      </c>
      <c r="F27" s="2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hidden="1" customHeight="1">
      <c r="A28" s="23" t="s">
        <v>862</v>
      </c>
      <c r="B28" s="23" t="s">
        <v>876</v>
      </c>
      <c r="C28" s="23" t="s">
        <v>118</v>
      </c>
      <c r="D28" s="23" t="s">
        <v>948</v>
      </c>
      <c r="E28" s="23" t="s">
        <v>949</v>
      </c>
      <c r="F28" s="2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hidden="1" customHeight="1">
      <c r="A29" s="23" t="s">
        <v>865</v>
      </c>
      <c r="B29" s="23" t="s">
        <v>879</v>
      </c>
      <c r="C29" s="23" t="s">
        <v>118</v>
      </c>
      <c r="D29" s="23" t="s">
        <v>948</v>
      </c>
      <c r="E29" s="23" t="s">
        <v>949</v>
      </c>
      <c r="F29" s="2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hidden="1" customHeight="1">
      <c r="A30" s="23" t="s">
        <v>764</v>
      </c>
      <c r="B30" s="23" t="s">
        <v>881</v>
      </c>
      <c r="C30" s="23" t="s">
        <v>118</v>
      </c>
      <c r="D30" s="23" t="s">
        <v>948</v>
      </c>
      <c r="E30" s="23" t="s">
        <v>949</v>
      </c>
      <c r="F30" s="2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hidden="1" customHeight="1">
      <c r="A31" s="23" t="s">
        <v>867</v>
      </c>
      <c r="B31" s="23" t="s">
        <v>883</v>
      </c>
      <c r="C31" s="23" t="s">
        <v>118</v>
      </c>
      <c r="D31" s="23" t="s">
        <v>948</v>
      </c>
      <c r="E31" s="23" t="s">
        <v>949</v>
      </c>
      <c r="F31" s="2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hidden="1" customHeight="1">
      <c r="A32" s="23" t="s">
        <v>869</v>
      </c>
      <c r="B32" s="23" t="s">
        <v>885</v>
      </c>
      <c r="C32" s="23" t="s">
        <v>118</v>
      </c>
      <c r="D32" s="23" t="s">
        <v>948</v>
      </c>
      <c r="E32" s="23" t="s">
        <v>949</v>
      </c>
      <c r="F32" s="2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hidden="1" customHeight="1">
      <c r="A33" s="23" t="s">
        <v>951</v>
      </c>
      <c r="B33" s="23" t="s">
        <v>887</v>
      </c>
      <c r="C33" s="23" t="s">
        <v>118</v>
      </c>
      <c r="D33" s="23" t="s">
        <v>948</v>
      </c>
      <c r="E33" s="23" t="s">
        <v>949</v>
      </c>
      <c r="F33" s="2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hidden="1" customHeight="1">
      <c r="A34" s="23" t="s">
        <v>871</v>
      </c>
      <c r="B34" s="23" t="s">
        <v>892</v>
      </c>
      <c r="C34" s="23" t="s">
        <v>118</v>
      </c>
      <c r="D34" s="23" t="s">
        <v>948</v>
      </c>
      <c r="E34" s="23" t="s">
        <v>949</v>
      </c>
      <c r="F34" s="2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hidden="1" customHeight="1">
      <c r="A35" s="23" t="s">
        <v>876</v>
      </c>
      <c r="B35" s="23" t="s">
        <v>935</v>
      </c>
      <c r="C35" s="23" t="s">
        <v>118</v>
      </c>
      <c r="D35" s="23" t="s">
        <v>948</v>
      </c>
      <c r="E35" s="23" t="s">
        <v>949</v>
      </c>
      <c r="F35" s="2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hidden="1" customHeight="1">
      <c r="A36" s="23" t="s">
        <v>879</v>
      </c>
      <c r="B36" s="23" t="s">
        <v>895</v>
      </c>
      <c r="C36" s="23" t="s">
        <v>118</v>
      </c>
      <c r="D36" s="23" t="s">
        <v>948</v>
      </c>
      <c r="E36" s="23" t="s">
        <v>949</v>
      </c>
      <c r="F36" s="2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hidden="1" customHeight="1">
      <c r="A37" s="23" t="s">
        <v>881</v>
      </c>
      <c r="B37" s="23" t="s">
        <v>897</v>
      </c>
      <c r="C37" s="23" t="s">
        <v>118</v>
      </c>
      <c r="D37" s="23" t="s">
        <v>948</v>
      </c>
      <c r="E37" s="23" t="s">
        <v>949</v>
      </c>
      <c r="F37" s="2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hidden="1" customHeight="1">
      <c r="A38" s="23" t="s">
        <v>883</v>
      </c>
      <c r="B38" s="23" t="s">
        <v>889</v>
      </c>
      <c r="C38" s="23" t="s">
        <v>118</v>
      </c>
      <c r="D38" s="23" t="s">
        <v>948</v>
      </c>
      <c r="E38" s="23" t="s">
        <v>949</v>
      </c>
      <c r="F38" s="2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hidden="1" customHeight="1">
      <c r="A39" s="23" t="s">
        <v>885</v>
      </c>
      <c r="B39" s="23" t="s">
        <v>899</v>
      </c>
      <c r="C39" s="23" t="s">
        <v>118</v>
      </c>
      <c r="D39" s="23" t="s">
        <v>948</v>
      </c>
      <c r="E39" s="23" t="s">
        <v>949</v>
      </c>
      <c r="F39" s="2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hidden="1" customHeight="1">
      <c r="A40" s="23" t="s">
        <v>887</v>
      </c>
      <c r="B40" s="23" t="s">
        <v>901</v>
      </c>
      <c r="C40" s="23" t="s">
        <v>118</v>
      </c>
      <c r="D40" s="23" t="s">
        <v>948</v>
      </c>
      <c r="E40" s="23" t="s">
        <v>949</v>
      </c>
      <c r="F40" s="2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hidden="1" customHeight="1">
      <c r="A41" s="23" t="s">
        <v>796</v>
      </c>
      <c r="B41" s="23" t="s">
        <v>904</v>
      </c>
      <c r="C41" s="23" t="s">
        <v>118</v>
      </c>
      <c r="D41" s="23" t="s">
        <v>948</v>
      </c>
      <c r="E41" s="23" t="s">
        <v>949</v>
      </c>
      <c r="F41" s="2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hidden="1" customHeight="1">
      <c r="A42" s="23" t="s">
        <v>766</v>
      </c>
      <c r="B42" s="23" t="s">
        <v>906</v>
      </c>
      <c r="C42" s="23" t="s">
        <v>118</v>
      </c>
      <c r="D42" s="23" t="s">
        <v>948</v>
      </c>
      <c r="E42" s="23" t="s">
        <v>949</v>
      </c>
      <c r="F42" s="2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hidden="1" customHeight="1">
      <c r="A43" s="23" t="s">
        <v>756</v>
      </c>
      <c r="B43" s="23" t="s">
        <v>908</v>
      </c>
      <c r="C43" s="23" t="s">
        <v>118</v>
      </c>
      <c r="D43" s="23" t="s">
        <v>948</v>
      </c>
      <c r="E43" s="23" t="s">
        <v>949</v>
      </c>
      <c r="F43" s="2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hidden="1" customHeight="1">
      <c r="A44" s="23" t="s">
        <v>892</v>
      </c>
      <c r="B44" s="23" t="s">
        <v>936</v>
      </c>
      <c r="C44" s="23" t="s">
        <v>118</v>
      </c>
      <c r="D44" s="23" t="s">
        <v>948</v>
      </c>
      <c r="E44" s="23" t="s">
        <v>949</v>
      </c>
      <c r="F44" s="2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hidden="1" customHeight="1">
      <c r="A45" s="23" t="s">
        <v>935</v>
      </c>
      <c r="B45" s="23" t="s">
        <v>910</v>
      </c>
      <c r="C45" s="23" t="s">
        <v>118</v>
      </c>
      <c r="D45" s="23" t="s">
        <v>948</v>
      </c>
      <c r="E45" s="23" t="s">
        <v>949</v>
      </c>
      <c r="F45" s="2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hidden="1" customHeight="1">
      <c r="A46" s="23" t="s">
        <v>769</v>
      </c>
      <c r="B46" s="23" t="s">
        <v>937</v>
      </c>
      <c r="C46" s="23" t="s">
        <v>118</v>
      </c>
      <c r="D46" s="23" t="s">
        <v>948</v>
      </c>
      <c r="E46" s="23" t="s">
        <v>949</v>
      </c>
      <c r="F46" s="2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hidden="1" customHeight="1">
      <c r="A47" s="23" t="s">
        <v>895</v>
      </c>
      <c r="B47" s="23" t="s">
        <v>912</v>
      </c>
      <c r="C47" s="23" t="s">
        <v>118</v>
      </c>
      <c r="D47" s="23" t="s">
        <v>948</v>
      </c>
      <c r="E47" s="23" t="s">
        <v>949</v>
      </c>
      <c r="F47" s="2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hidden="1" customHeight="1">
      <c r="A48" s="23" t="s">
        <v>897</v>
      </c>
      <c r="B48" s="23" t="s">
        <v>938</v>
      </c>
      <c r="C48" s="23" t="s">
        <v>118</v>
      </c>
      <c r="D48" s="23" t="s">
        <v>948</v>
      </c>
      <c r="E48" s="23" t="s">
        <v>949</v>
      </c>
      <c r="F48" s="2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hidden="1" customHeight="1">
      <c r="A49" s="23" t="s">
        <v>889</v>
      </c>
      <c r="B49" s="23" t="s">
        <v>914</v>
      </c>
      <c r="C49" s="23" t="s">
        <v>118</v>
      </c>
      <c r="D49" s="23" t="s">
        <v>948</v>
      </c>
      <c r="E49" s="23" t="s">
        <v>949</v>
      </c>
      <c r="F49" s="2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hidden="1" customHeight="1">
      <c r="A50" s="23" t="s">
        <v>899</v>
      </c>
      <c r="B50" s="23" t="s">
        <v>939</v>
      </c>
      <c r="C50" s="23" t="s">
        <v>118</v>
      </c>
      <c r="D50" s="23" t="s">
        <v>948</v>
      </c>
      <c r="E50" s="23" t="s">
        <v>949</v>
      </c>
      <c r="F50" s="2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hidden="1" customHeight="1">
      <c r="A51" s="23" t="s">
        <v>952</v>
      </c>
      <c r="B51" s="23" t="s">
        <v>953</v>
      </c>
      <c r="C51" s="23" t="s">
        <v>118</v>
      </c>
      <c r="D51" s="23" t="s">
        <v>948</v>
      </c>
      <c r="E51" s="23" t="s">
        <v>949</v>
      </c>
      <c r="F51" s="2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hidden="1" customHeight="1">
      <c r="A52" s="23" t="s">
        <v>901</v>
      </c>
      <c r="B52" s="23" t="s">
        <v>917</v>
      </c>
      <c r="C52" s="23" t="s">
        <v>118</v>
      </c>
      <c r="D52" s="23" t="s">
        <v>948</v>
      </c>
      <c r="E52" s="23" t="s">
        <v>949</v>
      </c>
      <c r="F52" s="2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hidden="1" customHeight="1">
      <c r="A53" s="23" t="s">
        <v>954</v>
      </c>
      <c r="B53" s="23" t="s">
        <v>873</v>
      </c>
      <c r="C53" s="23" t="s">
        <v>118</v>
      </c>
      <c r="D53" s="23" t="s">
        <v>948</v>
      </c>
      <c r="E53" s="23" t="s">
        <v>949</v>
      </c>
      <c r="F53" s="2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hidden="1" customHeight="1">
      <c r="A54" s="23" t="s">
        <v>955</v>
      </c>
      <c r="B54" s="23" t="s">
        <v>920</v>
      </c>
      <c r="C54" s="23" t="s">
        <v>118</v>
      </c>
      <c r="D54" s="23" t="s">
        <v>948</v>
      </c>
      <c r="E54" s="23" t="s">
        <v>949</v>
      </c>
      <c r="F54" s="2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hidden="1" customHeight="1">
      <c r="A55" s="23" t="s">
        <v>904</v>
      </c>
      <c r="B55" s="23" t="s">
        <v>923</v>
      </c>
      <c r="C55" s="23" t="s">
        <v>118</v>
      </c>
      <c r="D55" s="23" t="s">
        <v>948</v>
      </c>
      <c r="E55" s="23" t="s">
        <v>949</v>
      </c>
      <c r="F55" s="2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hidden="1" customHeight="1">
      <c r="A56" s="23" t="s">
        <v>906</v>
      </c>
      <c r="B56" s="23" t="s">
        <v>956</v>
      </c>
      <c r="C56" s="23" t="s">
        <v>118</v>
      </c>
      <c r="D56" s="23" t="s">
        <v>948</v>
      </c>
      <c r="E56" s="23" t="s">
        <v>949</v>
      </c>
      <c r="F56" s="2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hidden="1" customHeight="1">
      <c r="A57" s="23" t="s">
        <v>908</v>
      </c>
      <c r="B57" s="23" t="s">
        <v>926</v>
      </c>
      <c r="C57" s="23" t="s">
        <v>118</v>
      </c>
      <c r="D57" s="23" t="s">
        <v>948</v>
      </c>
      <c r="E57" s="23" t="s">
        <v>949</v>
      </c>
      <c r="F57" s="2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hidden="1" customHeight="1">
      <c r="A58" s="23" t="s">
        <v>936</v>
      </c>
      <c r="B58" s="23" t="s">
        <v>957</v>
      </c>
      <c r="C58" s="23" t="s">
        <v>118</v>
      </c>
      <c r="D58" s="23" t="s">
        <v>948</v>
      </c>
      <c r="E58" s="23" t="s">
        <v>949</v>
      </c>
      <c r="F58" s="2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hidden="1" customHeight="1">
      <c r="A59" s="23" t="s">
        <v>910</v>
      </c>
      <c r="B59" s="23" t="s">
        <v>929</v>
      </c>
      <c r="C59" s="23" t="s">
        <v>118</v>
      </c>
      <c r="D59" s="23" t="s">
        <v>948</v>
      </c>
      <c r="E59" s="23" t="s">
        <v>949</v>
      </c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hidden="1" customHeight="1">
      <c r="A60" s="23" t="s">
        <v>937</v>
      </c>
      <c r="B60" s="23" t="s">
        <v>932</v>
      </c>
      <c r="C60" s="23" t="s">
        <v>118</v>
      </c>
      <c r="D60" s="23" t="s">
        <v>948</v>
      </c>
      <c r="E60" s="23" t="s">
        <v>949</v>
      </c>
      <c r="F60" s="2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hidden="1" customHeight="1">
      <c r="A61" s="23" t="s">
        <v>810</v>
      </c>
      <c r="B61" s="23" t="s">
        <v>934</v>
      </c>
      <c r="C61" s="23" t="s">
        <v>118</v>
      </c>
      <c r="D61" s="23" t="s">
        <v>948</v>
      </c>
      <c r="E61" s="23" t="s">
        <v>949</v>
      </c>
      <c r="F61" s="2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hidden="1" customHeight="1">
      <c r="A62" s="23" t="s">
        <v>912</v>
      </c>
      <c r="B62" s="23" t="s">
        <v>942</v>
      </c>
      <c r="C62" s="23" t="s">
        <v>118</v>
      </c>
      <c r="D62" s="23" t="s">
        <v>948</v>
      </c>
      <c r="E62" s="23" t="s">
        <v>949</v>
      </c>
      <c r="F62" s="2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3" t="s">
        <v>771</v>
      </c>
      <c r="B63" s="23" t="s">
        <v>116</v>
      </c>
      <c r="C63" s="23" t="s">
        <v>958</v>
      </c>
      <c r="D63" s="23" t="s">
        <v>959</v>
      </c>
      <c r="E63" s="23" t="s">
        <v>949</v>
      </c>
      <c r="F63" s="2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3" t="s">
        <v>938</v>
      </c>
      <c r="B64" s="23" t="s">
        <v>123</v>
      </c>
      <c r="C64" s="23" t="s">
        <v>958</v>
      </c>
      <c r="D64" s="23" t="s">
        <v>959</v>
      </c>
      <c r="E64" s="23" t="s">
        <v>949</v>
      </c>
      <c r="F64" s="2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3" t="s">
        <v>773</v>
      </c>
      <c r="B65" s="23" t="s">
        <v>131</v>
      </c>
      <c r="C65" s="23" t="s">
        <v>958</v>
      </c>
      <c r="D65" s="23" t="s">
        <v>959</v>
      </c>
      <c r="E65" s="23" t="s">
        <v>949</v>
      </c>
      <c r="F65" s="2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3" t="s">
        <v>914</v>
      </c>
      <c r="B66" s="23" t="s">
        <v>137</v>
      </c>
      <c r="C66" s="23" t="s">
        <v>958</v>
      </c>
      <c r="D66" s="23" t="s">
        <v>959</v>
      </c>
      <c r="E66" s="23" t="s">
        <v>949</v>
      </c>
      <c r="F66" s="2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3" t="s">
        <v>719</v>
      </c>
      <c r="B67" s="23" t="s">
        <v>144</v>
      </c>
      <c r="C67" s="23" t="s">
        <v>958</v>
      </c>
      <c r="D67" s="23" t="s">
        <v>959</v>
      </c>
      <c r="E67" s="23" t="s">
        <v>949</v>
      </c>
      <c r="F67" s="2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3" t="s">
        <v>725</v>
      </c>
      <c r="B68" s="23" t="s">
        <v>151</v>
      </c>
      <c r="C68" s="23" t="s">
        <v>958</v>
      </c>
      <c r="D68" s="23" t="s">
        <v>959</v>
      </c>
      <c r="E68" s="23" t="s">
        <v>949</v>
      </c>
      <c r="F68" s="2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3" t="s">
        <v>708</v>
      </c>
      <c r="B69" s="23" t="s">
        <v>734</v>
      </c>
      <c r="C69" s="23" t="s">
        <v>958</v>
      </c>
      <c r="D69" s="23" t="s">
        <v>959</v>
      </c>
      <c r="E69" s="23" t="s">
        <v>949</v>
      </c>
      <c r="F69" s="2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3" t="s">
        <v>960</v>
      </c>
      <c r="B70" s="23" t="s">
        <v>831</v>
      </c>
      <c r="C70" s="23" t="s">
        <v>958</v>
      </c>
      <c r="D70" s="23" t="s">
        <v>959</v>
      </c>
      <c r="E70" s="23" t="s">
        <v>949</v>
      </c>
      <c r="F70" s="2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3" t="s">
        <v>961</v>
      </c>
      <c r="B71" s="23" t="s">
        <v>833</v>
      </c>
      <c r="C71" s="23" t="s">
        <v>958</v>
      </c>
      <c r="D71" s="23" t="s">
        <v>959</v>
      </c>
      <c r="E71" s="23" t="s">
        <v>949</v>
      </c>
      <c r="F71" s="2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3" t="s">
        <v>798</v>
      </c>
      <c r="B72" s="23" t="s">
        <v>811</v>
      </c>
      <c r="C72" s="23" t="s">
        <v>958</v>
      </c>
      <c r="D72" s="23" t="s">
        <v>959</v>
      </c>
      <c r="E72" s="23" t="s">
        <v>949</v>
      </c>
      <c r="F72" s="2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3" t="s">
        <v>962</v>
      </c>
      <c r="B73" s="23" t="s">
        <v>838</v>
      </c>
      <c r="C73" s="23" t="s">
        <v>958</v>
      </c>
      <c r="D73" s="23" t="s">
        <v>959</v>
      </c>
      <c r="E73" s="23" t="s">
        <v>949</v>
      </c>
      <c r="F73" s="2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3" t="s">
        <v>781</v>
      </c>
      <c r="B74" s="23" t="s">
        <v>840</v>
      </c>
      <c r="C74" s="23" t="s">
        <v>958</v>
      </c>
      <c r="D74" s="23" t="s">
        <v>959</v>
      </c>
      <c r="E74" s="23" t="s">
        <v>949</v>
      </c>
      <c r="F74" s="2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3" t="s">
        <v>784</v>
      </c>
      <c r="B75" s="23" t="s">
        <v>842</v>
      </c>
      <c r="C75" s="23" t="s">
        <v>958</v>
      </c>
      <c r="D75" s="23" t="s">
        <v>959</v>
      </c>
      <c r="E75" s="23" t="s">
        <v>949</v>
      </c>
      <c r="F75" s="2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3" t="s">
        <v>963</v>
      </c>
      <c r="B76" s="23" t="s">
        <v>844</v>
      </c>
      <c r="C76" s="23" t="s">
        <v>958</v>
      </c>
      <c r="D76" s="23" t="s">
        <v>959</v>
      </c>
      <c r="E76" s="23" t="s">
        <v>949</v>
      </c>
      <c r="F76" s="2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3" t="s">
        <v>737</v>
      </c>
      <c r="B77" s="23" t="s">
        <v>846</v>
      </c>
      <c r="C77" s="23" t="s">
        <v>958</v>
      </c>
      <c r="D77" s="23" t="s">
        <v>959</v>
      </c>
      <c r="E77" s="23" t="s">
        <v>949</v>
      </c>
      <c r="F77" s="2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3" t="s">
        <v>746</v>
      </c>
      <c r="B78" s="23" t="s">
        <v>848</v>
      </c>
      <c r="C78" s="23" t="s">
        <v>958</v>
      </c>
      <c r="D78" s="23" t="s">
        <v>959</v>
      </c>
      <c r="E78" s="23" t="s">
        <v>949</v>
      </c>
      <c r="F78" s="2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3" t="s">
        <v>722</v>
      </c>
      <c r="B79" s="23" t="s">
        <v>850</v>
      </c>
      <c r="C79" s="23" t="s">
        <v>958</v>
      </c>
      <c r="D79" s="23" t="s">
        <v>959</v>
      </c>
      <c r="E79" s="23" t="s">
        <v>949</v>
      </c>
      <c r="F79" s="2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3" t="s">
        <v>704</v>
      </c>
      <c r="B80" s="23" t="s">
        <v>853</v>
      </c>
      <c r="C80" s="23" t="s">
        <v>958</v>
      </c>
      <c r="D80" s="23" t="s">
        <v>959</v>
      </c>
      <c r="E80" s="23" t="s">
        <v>949</v>
      </c>
      <c r="F80" s="2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3" t="s">
        <v>740</v>
      </c>
      <c r="B81" s="23" t="s">
        <v>855</v>
      </c>
      <c r="C81" s="23" t="s">
        <v>958</v>
      </c>
      <c r="D81" s="23" t="s">
        <v>959</v>
      </c>
      <c r="E81" s="23" t="s">
        <v>949</v>
      </c>
      <c r="F81" s="2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23" t="s">
        <v>964</v>
      </c>
      <c r="B82" s="23" t="s">
        <v>857</v>
      </c>
      <c r="C82" s="23" t="s">
        <v>958</v>
      </c>
      <c r="D82" s="23" t="s">
        <v>959</v>
      </c>
      <c r="E82" s="23" t="s">
        <v>949</v>
      </c>
      <c r="F82" s="2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23" t="s">
        <v>729</v>
      </c>
      <c r="B83" s="23" t="s">
        <v>860</v>
      </c>
      <c r="C83" s="23" t="s">
        <v>958</v>
      </c>
      <c r="D83" s="23" t="s">
        <v>959</v>
      </c>
      <c r="E83" s="23" t="s">
        <v>949</v>
      </c>
      <c r="F83" s="2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23" t="s">
        <v>965</v>
      </c>
      <c r="B84" s="23" t="s">
        <v>862</v>
      </c>
      <c r="C84" s="23" t="s">
        <v>958</v>
      </c>
      <c r="D84" s="23" t="s">
        <v>959</v>
      </c>
      <c r="E84" s="23" t="s">
        <v>949</v>
      </c>
      <c r="F84" s="2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23" t="s">
        <v>696</v>
      </c>
      <c r="B85" s="23" t="s">
        <v>865</v>
      </c>
      <c r="C85" s="23" t="s">
        <v>958</v>
      </c>
      <c r="D85" s="23" t="s">
        <v>959</v>
      </c>
      <c r="E85" s="23" t="s">
        <v>949</v>
      </c>
      <c r="F85" s="2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3" t="s">
        <v>966</v>
      </c>
      <c r="B86" s="23" t="s">
        <v>867</v>
      </c>
      <c r="C86" s="23" t="s">
        <v>958</v>
      </c>
      <c r="D86" s="23" t="s">
        <v>959</v>
      </c>
      <c r="E86" s="23" t="s">
        <v>949</v>
      </c>
      <c r="F86" s="2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3" t="s">
        <v>939</v>
      </c>
      <c r="B87" s="23" t="s">
        <v>869</v>
      </c>
      <c r="C87" s="23" t="s">
        <v>958</v>
      </c>
      <c r="D87" s="23" t="s">
        <v>959</v>
      </c>
      <c r="E87" s="23" t="s">
        <v>949</v>
      </c>
      <c r="F87" s="2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3" t="s">
        <v>749</v>
      </c>
      <c r="B88" s="23" t="s">
        <v>871</v>
      </c>
      <c r="C88" s="23" t="s">
        <v>958</v>
      </c>
      <c r="D88" s="23" t="s">
        <v>959</v>
      </c>
      <c r="E88" s="23" t="s">
        <v>949</v>
      </c>
      <c r="F88" s="2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3" t="s">
        <v>967</v>
      </c>
      <c r="B89" s="23" t="s">
        <v>876</v>
      </c>
      <c r="C89" s="23" t="s">
        <v>958</v>
      </c>
      <c r="D89" s="23" t="s">
        <v>959</v>
      </c>
      <c r="E89" s="23" t="s">
        <v>949</v>
      </c>
      <c r="F89" s="2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3" t="s">
        <v>775</v>
      </c>
      <c r="B90" s="23" t="s">
        <v>879</v>
      </c>
      <c r="C90" s="23" t="s">
        <v>958</v>
      </c>
      <c r="D90" s="23" t="s">
        <v>959</v>
      </c>
      <c r="E90" s="23" t="s">
        <v>949</v>
      </c>
      <c r="F90" s="2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3" t="s">
        <v>778</v>
      </c>
      <c r="B91" s="23" t="s">
        <v>881</v>
      </c>
      <c r="C91" s="23" t="s">
        <v>958</v>
      </c>
      <c r="D91" s="23" t="s">
        <v>959</v>
      </c>
      <c r="E91" s="23" t="s">
        <v>949</v>
      </c>
      <c r="F91" s="2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3" t="s">
        <v>968</v>
      </c>
      <c r="B92" s="23" t="s">
        <v>883</v>
      </c>
      <c r="C92" s="23" t="s">
        <v>958</v>
      </c>
      <c r="D92" s="23" t="s">
        <v>959</v>
      </c>
      <c r="E92" s="23" t="s">
        <v>949</v>
      </c>
      <c r="F92" s="2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3" t="s">
        <v>969</v>
      </c>
      <c r="B93" s="23" t="s">
        <v>885</v>
      </c>
      <c r="C93" s="23" t="s">
        <v>958</v>
      </c>
      <c r="D93" s="23" t="s">
        <v>959</v>
      </c>
      <c r="E93" s="23" t="s">
        <v>949</v>
      </c>
      <c r="F93" s="2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3" t="s">
        <v>715</v>
      </c>
      <c r="B94" s="23" t="s">
        <v>887</v>
      </c>
      <c r="C94" s="23" t="s">
        <v>958</v>
      </c>
      <c r="D94" s="23" t="s">
        <v>959</v>
      </c>
      <c r="E94" s="23" t="s">
        <v>949</v>
      </c>
      <c r="F94" s="2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3" t="s">
        <v>970</v>
      </c>
      <c r="B95" s="23" t="s">
        <v>892</v>
      </c>
      <c r="C95" s="23" t="s">
        <v>958</v>
      </c>
      <c r="D95" s="23" t="s">
        <v>959</v>
      </c>
      <c r="E95" s="23" t="s">
        <v>971</v>
      </c>
      <c r="F95" s="2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3" t="s">
        <v>972</v>
      </c>
      <c r="B96" s="23" t="s">
        <v>935</v>
      </c>
      <c r="C96" s="23" t="s">
        <v>958</v>
      </c>
      <c r="D96" s="23" t="s">
        <v>959</v>
      </c>
      <c r="E96" s="23" t="s">
        <v>949</v>
      </c>
      <c r="F96" s="2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3" t="s">
        <v>973</v>
      </c>
      <c r="B97" s="23" t="s">
        <v>895</v>
      </c>
      <c r="C97" s="23" t="s">
        <v>958</v>
      </c>
      <c r="D97" s="23" t="s">
        <v>959</v>
      </c>
      <c r="E97" s="23" t="s">
        <v>949</v>
      </c>
      <c r="F97" s="2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3" t="s">
        <v>743</v>
      </c>
      <c r="B98" s="23" t="s">
        <v>897</v>
      </c>
      <c r="C98" s="23" t="s">
        <v>958</v>
      </c>
      <c r="D98" s="23" t="s">
        <v>959</v>
      </c>
      <c r="E98" s="23" t="s">
        <v>949</v>
      </c>
      <c r="F98" s="2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3" t="s">
        <v>974</v>
      </c>
      <c r="B99" s="23" t="s">
        <v>889</v>
      </c>
      <c r="C99" s="23" t="s">
        <v>958</v>
      </c>
      <c r="D99" s="23" t="s">
        <v>959</v>
      </c>
      <c r="E99" s="23" t="s">
        <v>949</v>
      </c>
      <c r="F99" s="2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3" t="s">
        <v>975</v>
      </c>
      <c r="B100" s="23" t="s">
        <v>899</v>
      </c>
      <c r="C100" s="23" t="s">
        <v>958</v>
      </c>
      <c r="D100" s="23" t="s">
        <v>959</v>
      </c>
      <c r="E100" s="23" t="s">
        <v>949</v>
      </c>
      <c r="F100" s="2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3" t="s">
        <v>801</v>
      </c>
      <c r="B101" s="23" t="s">
        <v>901</v>
      </c>
      <c r="C101" s="23" t="s">
        <v>958</v>
      </c>
      <c r="D101" s="23" t="s">
        <v>959</v>
      </c>
      <c r="E101" s="23" t="s">
        <v>949</v>
      </c>
      <c r="F101" s="2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3" t="s">
        <v>732</v>
      </c>
      <c r="B102" s="23" t="s">
        <v>904</v>
      </c>
      <c r="C102" s="23" t="s">
        <v>958</v>
      </c>
      <c r="D102" s="23" t="s">
        <v>959</v>
      </c>
      <c r="E102" s="23" t="s">
        <v>949</v>
      </c>
      <c r="F102" s="2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3" t="s">
        <v>758</v>
      </c>
      <c r="B103" s="23" t="s">
        <v>906</v>
      </c>
      <c r="C103" s="23" t="s">
        <v>958</v>
      </c>
      <c r="D103" s="23" t="s">
        <v>959</v>
      </c>
      <c r="E103" s="23" t="s">
        <v>949</v>
      </c>
      <c r="F103" s="2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3" t="s">
        <v>700</v>
      </c>
      <c r="B104" s="23" t="s">
        <v>908</v>
      </c>
      <c r="C104" s="23" t="s">
        <v>958</v>
      </c>
      <c r="D104" s="23" t="s">
        <v>959</v>
      </c>
      <c r="E104" s="23" t="s">
        <v>949</v>
      </c>
      <c r="F104" s="2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3" t="s">
        <v>712</v>
      </c>
      <c r="B105" s="23" t="s">
        <v>936</v>
      </c>
      <c r="C105" s="23" t="s">
        <v>958</v>
      </c>
      <c r="D105" s="23" t="s">
        <v>959</v>
      </c>
      <c r="E105" s="23" t="s">
        <v>949</v>
      </c>
      <c r="F105" s="2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3" t="s">
        <v>693</v>
      </c>
      <c r="B106" s="23" t="s">
        <v>910</v>
      </c>
      <c r="C106" s="23" t="s">
        <v>958</v>
      </c>
      <c r="D106" s="23" t="s">
        <v>959</v>
      </c>
      <c r="E106" s="23" t="s">
        <v>949</v>
      </c>
      <c r="F106" s="2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3" t="s">
        <v>787</v>
      </c>
      <c r="B107" s="23" t="s">
        <v>937</v>
      </c>
      <c r="C107" s="23" t="s">
        <v>958</v>
      </c>
      <c r="D107" s="23" t="s">
        <v>959</v>
      </c>
      <c r="E107" s="23" t="s">
        <v>949</v>
      </c>
      <c r="F107" s="2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3" t="s">
        <v>790</v>
      </c>
      <c r="B108" s="23" t="s">
        <v>912</v>
      </c>
      <c r="C108" s="23" t="s">
        <v>958</v>
      </c>
      <c r="D108" s="23" t="s">
        <v>959</v>
      </c>
      <c r="E108" s="23" t="s">
        <v>971</v>
      </c>
      <c r="F108" s="23" t="s">
        <v>976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3" t="s">
        <v>977</v>
      </c>
      <c r="B109" s="23" t="s">
        <v>938</v>
      </c>
      <c r="C109" s="23" t="s">
        <v>958</v>
      </c>
      <c r="D109" s="23" t="s">
        <v>959</v>
      </c>
      <c r="E109" s="23" t="s">
        <v>949</v>
      </c>
      <c r="F109" s="2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3" t="s">
        <v>761</v>
      </c>
      <c r="B110" s="23" t="s">
        <v>914</v>
      </c>
      <c r="C110" s="23" t="s">
        <v>958</v>
      </c>
      <c r="D110" s="23" t="s">
        <v>959</v>
      </c>
      <c r="E110" s="23" t="s">
        <v>949</v>
      </c>
      <c r="F110" s="2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3" t="s">
        <v>953</v>
      </c>
      <c r="B111" s="23" t="s">
        <v>939</v>
      </c>
      <c r="C111" s="23" t="s">
        <v>958</v>
      </c>
      <c r="D111" s="23" t="s">
        <v>959</v>
      </c>
      <c r="E111" s="23" t="s">
        <v>971</v>
      </c>
      <c r="F111" s="2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3" t="s">
        <v>917</v>
      </c>
      <c r="B112" s="23" t="s">
        <v>953</v>
      </c>
      <c r="C112" s="23" t="s">
        <v>958</v>
      </c>
      <c r="D112" s="23" t="s">
        <v>959</v>
      </c>
      <c r="E112" s="23" t="s">
        <v>949</v>
      </c>
      <c r="F112" s="2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3" t="s">
        <v>873</v>
      </c>
      <c r="B113" s="23" t="s">
        <v>917</v>
      </c>
      <c r="C113" s="23" t="s">
        <v>958</v>
      </c>
      <c r="D113" s="23" t="s">
        <v>959</v>
      </c>
      <c r="E113" s="23" t="s">
        <v>949</v>
      </c>
      <c r="F113" s="2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3" t="s">
        <v>920</v>
      </c>
      <c r="B114" s="23" t="s">
        <v>873</v>
      </c>
      <c r="C114" s="23" t="s">
        <v>958</v>
      </c>
      <c r="D114" s="23" t="s">
        <v>959</v>
      </c>
      <c r="E114" s="23" t="s">
        <v>949</v>
      </c>
      <c r="F114" s="2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3" t="s">
        <v>923</v>
      </c>
      <c r="B115" s="23" t="s">
        <v>920</v>
      </c>
      <c r="C115" s="23" t="s">
        <v>958</v>
      </c>
      <c r="D115" s="23" t="s">
        <v>959</v>
      </c>
      <c r="E115" s="23" t="s">
        <v>949</v>
      </c>
      <c r="F115" s="2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3" t="s">
        <v>956</v>
      </c>
      <c r="B116" s="23" t="s">
        <v>923</v>
      </c>
      <c r="C116" s="23" t="s">
        <v>958</v>
      </c>
      <c r="D116" s="23" t="s">
        <v>959</v>
      </c>
      <c r="E116" s="23" t="s">
        <v>949</v>
      </c>
      <c r="F116" s="2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3" t="s">
        <v>926</v>
      </c>
      <c r="B117" s="23" t="s">
        <v>956</v>
      </c>
      <c r="C117" s="23" t="s">
        <v>958</v>
      </c>
      <c r="D117" s="23" t="s">
        <v>959</v>
      </c>
      <c r="E117" s="23" t="s">
        <v>971</v>
      </c>
      <c r="F117" s="2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3" t="s">
        <v>957</v>
      </c>
      <c r="B118" s="23" t="s">
        <v>926</v>
      </c>
      <c r="C118" s="23" t="s">
        <v>958</v>
      </c>
      <c r="D118" s="23" t="s">
        <v>959</v>
      </c>
      <c r="E118" s="23" t="s">
        <v>949</v>
      </c>
      <c r="F118" s="2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3" t="s">
        <v>929</v>
      </c>
      <c r="B119" s="23" t="s">
        <v>957</v>
      </c>
      <c r="C119" s="23" t="s">
        <v>958</v>
      </c>
      <c r="D119" s="23" t="s">
        <v>959</v>
      </c>
      <c r="E119" s="23" t="s">
        <v>949</v>
      </c>
      <c r="F119" s="2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3" t="s">
        <v>932</v>
      </c>
      <c r="B120" s="23" t="s">
        <v>929</v>
      </c>
      <c r="C120" s="23" t="s">
        <v>958</v>
      </c>
      <c r="D120" s="23" t="s">
        <v>959</v>
      </c>
      <c r="E120" s="23" t="s">
        <v>949</v>
      </c>
      <c r="F120" s="2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3" t="s">
        <v>804</v>
      </c>
      <c r="B121" s="23" t="s">
        <v>932</v>
      </c>
      <c r="C121" s="23" t="s">
        <v>958</v>
      </c>
      <c r="D121" s="23" t="s">
        <v>959</v>
      </c>
      <c r="E121" s="23" t="s">
        <v>949</v>
      </c>
      <c r="F121" s="2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3" t="s">
        <v>806</v>
      </c>
      <c r="B122" s="23" t="s">
        <v>934</v>
      </c>
      <c r="C122" s="23" t="s">
        <v>958</v>
      </c>
      <c r="D122" s="23" t="s">
        <v>959</v>
      </c>
      <c r="E122" s="23" t="s">
        <v>949</v>
      </c>
      <c r="F122" s="2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3" t="s">
        <v>978</v>
      </c>
      <c r="B123" s="23" t="s">
        <v>942</v>
      </c>
      <c r="C123" s="23" t="s">
        <v>958</v>
      </c>
      <c r="D123" s="23" t="s">
        <v>959</v>
      </c>
      <c r="E123" s="23" t="s">
        <v>949</v>
      </c>
      <c r="F123" s="2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hidden="1" customHeight="1">
      <c r="A124" s="23" t="s">
        <v>809</v>
      </c>
      <c r="B124" s="23" t="s">
        <v>116</v>
      </c>
      <c r="C124" s="23" t="s">
        <v>979</v>
      </c>
      <c r="D124" s="23" t="s">
        <v>959</v>
      </c>
      <c r="E124" s="23" t="s">
        <v>949</v>
      </c>
      <c r="F124" s="2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hidden="1" customHeight="1">
      <c r="A125" s="23" t="s">
        <v>934</v>
      </c>
      <c r="B125" s="23" t="s">
        <v>123</v>
      </c>
      <c r="C125" s="23" t="s">
        <v>979</v>
      </c>
      <c r="D125" s="23" t="s">
        <v>959</v>
      </c>
      <c r="E125" s="23" t="s">
        <v>949</v>
      </c>
      <c r="F125" s="2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hidden="1" customHeight="1">
      <c r="A126" s="23" t="s">
        <v>942</v>
      </c>
      <c r="B126" s="23" t="s">
        <v>131</v>
      </c>
      <c r="C126" s="23" t="s">
        <v>979</v>
      </c>
      <c r="D126" s="23" t="s">
        <v>959</v>
      </c>
      <c r="E126" s="23" t="s">
        <v>949</v>
      </c>
      <c r="F126" s="2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hidden="1" customHeight="1">
      <c r="A127" s="23" t="s">
        <v>980</v>
      </c>
      <c r="B127" s="23" t="s">
        <v>137</v>
      </c>
      <c r="C127" s="23" t="s">
        <v>979</v>
      </c>
      <c r="D127" s="23" t="s">
        <v>959</v>
      </c>
      <c r="E127" s="23" t="s">
        <v>949</v>
      </c>
      <c r="F127" s="2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hidden="1" customHeight="1">
      <c r="A128" s="23" t="s">
        <v>981</v>
      </c>
      <c r="B128" s="23" t="s">
        <v>144</v>
      </c>
      <c r="C128" s="23" t="s">
        <v>979</v>
      </c>
      <c r="D128" s="23" t="s">
        <v>959</v>
      </c>
      <c r="E128" s="23" t="s">
        <v>949</v>
      </c>
      <c r="F128" s="2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hidden="1" customHeight="1">
      <c r="A129" s="23" t="s">
        <v>982</v>
      </c>
      <c r="B129" s="23" t="s">
        <v>151</v>
      </c>
      <c r="C129" s="23" t="s">
        <v>979</v>
      </c>
      <c r="D129" s="23" t="s">
        <v>959</v>
      </c>
      <c r="E129" s="23" t="s">
        <v>949</v>
      </c>
      <c r="F129" s="2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hidden="1" customHeight="1">
      <c r="A130" s="23" t="s">
        <v>983</v>
      </c>
      <c r="B130" s="23" t="s">
        <v>734</v>
      </c>
      <c r="C130" s="23" t="s">
        <v>979</v>
      </c>
      <c r="D130" s="23" t="s">
        <v>959</v>
      </c>
      <c r="E130" s="23" t="s">
        <v>949</v>
      </c>
      <c r="F130" s="2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hidden="1" customHeight="1">
      <c r="A131" s="23" t="s">
        <v>984</v>
      </c>
      <c r="B131" s="23" t="s">
        <v>831</v>
      </c>
      <c r="C131" s="23" t="s">
        <v>979</v>
      </c>
      <c r="D131" s="23" t="s">
        <v>959</v>
      </c>
      <c r="E131" s="23" t="s">
        <v>949</v>
      </c>
      <c r="F131" s="2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hidden="1" customHeight="1">
      <c r="A132" s="23" t="s">
        <v>985</v>
      </c>
      <c r="B132" s="23" t="s">
        <v>833</v>
      </c>
      <c r="C132" s="23" t="s">
        <v>979</v>
      </c>
      <c r="D132" s="23" t="s">
        <v>959</v>
      </c>
      <c r="E132" s="23" t="s">
        <v>949</v>
      </c>
      <c r="F132" s="2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hidden="1" customHeight="1">
      <c r="A133" s="23" t="s">
        <v>986</v>
      </c>
      <c r="B133" s="23" t="s">
        <v>811</v>
      </c>
      <c r="C133" s="23" t="s">
        <v>979</v>
      </c>
      <c r="D133" s="23" t="s">
        <v>959</v>
      </c>
      <c r="E133" s="23" t="s">
        <v>949</v>
      </c>
      <c r="F133" s="2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hidden="1" customHeight="1">
      <c r="A134" s="23" t="s">
        <v>987</v>
      </c>
      <c r="B134" s="23" t="s">
        <v>838</v>
      </c>
      <c r="C134" s="23" t="s">
        <v>979</v>
      </c>
      <c r="D134" s="23" t="s">
        <v>959</v>
      </c>
      <c r="E134" s="23" t="s">
        <v>949</v>
      </c>
      <c r="F134" s="2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hidden="1" customHeight="1">
      <c r="A135" s="23" t="s">
        <v>988</v>
      </c>
      <c r="B135" s="23" t="s">
        <v>840</v>
      </c>
      <c r="C135" s="23" t="s">
        <v>979</v>
      </c>
      <c r="D135" s="23" t="s">
        <v>959</v>
      </c>
      <c r="E135" s="23" t="s">
        <v>949</v>
      </c>
      <c r="F135" s="2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hidden="1" customHeight="1">
      <c r="A136" s="23" t="s">
        <v>989</v>
      </c>
      <c r="B136" s="23" t="s">
        <v>842</v>
      </c>
      <c r="C136" s="23" t="s">
        <v>979</v>
      </c>
      <c r="D136" s="23" t="s">
        <v>959</v>
      </c>
      <c r="E136" s="23" t="s">
        <v>949</v>
      </c>
      <c r="F136" s="2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hidden="1" customHeight="1">
      <c r="A137" s="23" t="s">
        <v>990</v>
      </c>
      <c r="B137" s="23" t="s">
        <v>844</v>
      </c>
      <c r="C137" s="23" t="s">
        <v>979</v>
      </c>
      <c r="D137" s="23" t="s">
        <v>959</v>
      </c>
      <c r="E137" s="23" t="s">
        <v>949</v>
      </c>
      <c r="F137" s="2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hidden="1" customHeight="1">
      <c r="A138" s="23" t="s">
        <v>991</v>
      </c>
      <c r="B138" s="23" t="s">
        <v>846</v>
      </c>
      <c r="C138" s="23" t="s">
        <v>979</v>
      </c>
      <c r="D138" s="23" t="s">
        <v>959</v>
      </c>
      <c r="E138" s="23" t="s">
        <v>949</v>
      </c>
      <c r="F138" s="2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hidden="1" customHeight="1">
      <c r="A139" s="23" t="s">
        <v>992</v>
      </c>
      <c r="B139" s="23" t="s">
        <v>848</v>
      </c>
      <c r="C139" s="23" t="s">
        <v>979</v>
      </c>
      <c r="D139" s="23" t="s">
        <v>959</v>
      </c>
      <c r="E139" s="23" t="s">
        <v>949</v>
      </c>
      <c r="F139" s="2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hidden="1" customHeight="1">
      <c r="A140" s="23" t="s">
        <v>993</v>
      </c>
      <c r="B140" s="23" t="s">
        <v>850</v>
      </c>
      <c r="C140" s="23" t="s">
        <v>979</v>
      </c>
      <c r="D140" s="23" t="s">
        <v>959</v>
      </c>
      <c r="E140" s="23" t="s">
        <v>949</v>
      </c>
      <c r="F140" s="2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hidden="1" customHeight="1">
      <c r="A141" s="23" t="s">
        <v>994</v>
      </c>
      <c r="B141" s="23" t="s">
        <v>853</v>
      </c>
      <c r="C141" s="23" t="s">
        <v>979</v>
      </c>
      <c r="D141" s="23" t="s">
        <v>959</v>
      </c>
      <c r="E141" s="23" t="s">
        <v>949</v>
      </c>
      <c r="F141" s="2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hidden="1" customHeight="1">
      <c r="A142" s="23" t="s">
        <v>995</v>
      </c>
      <c r="B142" s="23" t="s">
        <v>855</v>
      </c>
      <c r="C142" s="23" t="s">
        <v>979</v>
      </c>
      <c r="D142" s="23" t="s">
        <v>959</v>
      </c>
      <c r="E142" s="23" t="s">
        <v>971</v>
      </c>
      <c r="F142" s="2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hidden="1" customHeight="1">
      <c r="A143" s="23" t="s">
        <v>996</v>
      </c>
      <c r="B143" s="23" t="s">
        <v>857</v>
      </c>
      <c r="C143" s="23" t="s">
        <v>979</v>
      </c>
      <c r="D143" s="23" t="s">
        <v>959</v>
      </c>
      <c r="E143" s="23" t="s">
        <v>949</v>
      </c>
      <c r="F143" s="2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hidden="1" customHeight="1">
      <c r="A144" s="23" t="s">
        <v>997</v>
      </c>
      <c r="B144" s="23" t="s">
        <v>860</v>
      </c>
      <c r="C144" s="23" t="s">
        <v>979</v>
      </c>
      <c r="D144" s="23" t="s">
        <v>959</v>
      </c>
      <c r="E144" s="23" t="s">
        <v>971</v>
      </c>
      <c r="F144" s="2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hidden="1" customHeight="1">
      <c r="A145" s="23" t="s">
        <v>998</v>
      </c>
      <c r="B145" s="23" t="s">
        <v>862</v>
      </c>
      <c r="C145" s="23" t="s">
        <v>979</v>
      </c>
      <c r="D145" s="23" t="s">
        <v>959</v>
      </c>
      <c r="E145" s="23" t="s">
        <v>949</v>
      </c>
      <c r="F145" s="2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hidden="1" customHeight="1">
      <c r="A146" s="23" t="s">
        <v>999</v>
      </c>
      <c r="B146" s="23" t="s">
        <v>865</v>
      </c>
      <c r="C146" s="23" t="s">
        <v>979</v>
      </c>
      <c r="D146" s="23" t="s">
        <v>959</v>
      </c>
      <c r="E146" s="23" t="s">
        <v>949</v>
      </c>
      <c r="F146" s="2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hidden="1" customHeight="1">
      <c r="A147" s="23" t="s">
        <v>1000</v>
      </c>
      <c r="B147" s="23" t="s">
        <v>867</v>
      </c>
      <c r="C147" s="23" t="s">
        <v>979</v>
      </c>
      <c r="D147" s="23" t="s">
        <v>959</v>
      </c>
      <c r="E147" s="23" t="s">
        <v>949</v>
      </c>
      <c r="F147" s="2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hidden="1" customHeight="1">
      <c r="A148" s="23" t="s">
        <v>1001</v>
      </c>
      <c r="B148" s="23" t="s">
        <v>869</v>
      </c>
      <c r="C148" s="23" t="s">
        <v>979</v>
      </c>
      <c r="D148" s="23" t="s">
        <v>959</v>
      </c>
      <c r="E148" s="23" t="s">
        <v>949</v>
      </c>
      <c r="F148" s="2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hidden="1" customHeight="1">
      <c r="A149" s="23" t="s">
        <v>1002</v>
      </c>
      <c r="B149" s="23" t="s">
        <v>871</v>
      </c>
      <c r="C149" s="23" t="s">
        <v>979</v>
      </c>
      <c r="D149" s="23" t="s">
        <v>959</v>
      </c>
      <c r="E149" s="23" t="s">
        <v>949</v>
      </c>
      <c r="F149" s="2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hidden="1" customHeight="1">
      <c r="A150" s="23" t="s">
        <v>1003</v>
      </c>
      <c r="B150" s="23" t="s">
        <v>876</v>
      </c>
      <c r="C150" s="23" t="s">
        <v>979</v>
      </c>
      <c r="D150" s="23" t="s">
        <v>959</v>
      </c>
      <c r="E150" s="23" t="s">
        <v>949</v>
      </c>
      <c r="F150" s="2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hidden="1" customHeight="1">
      <c r="A151" s="23" t="s">
        <v>1004</v>
      </c>
      <c r="B151" s="23" t="s">
        <v>879</v>
      </c>
      <c r="C151" s="23" t="s">
        <v>979</v>
      </c>
      <c r="D151" s="23" t="s">
        <v>959</v>
      </c>
      <c r="E151" s="23" t="s">
        <v>949</v>
      </c>
      <c r="F151" s="2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hidden="1" customHeight="1">
      <c r="A152" s="23" t="s">
        <v>1005</v>
      </c>
      <c r="B152" s="23" t="s">
        <v>881</v>
      </c>
      <c r="C152" s="23" t="s">
        <v>979</v>
      </c>
      <c r="D152" s="23" t="s">
        <v>959</v>
      </c>
      <c r="E152" s="23" t="s">
        <v>949</v>
      </c>
      <c r="F152" s="2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hidden="1" customHeight="1">
      <c r="A153" s="23" t="s">
        <v>1006</v>
      </c>
      <c r="B153" s="23" t="s">
        <v>883</v>
      </c>
      <c r="C153" s="23" t="s">
        <v>979</v>
      </c>
      <c r="D153" s="23" t="s">
        <v>959</v>
      </c>
      <c r="E153" s="23" t="s">
        <v>949</v>
      </c>
      <c r="F153" s="2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hidden="1" customHeight="1">
      <c r="A154" s="23" t="s">
        <v>1007</v>
      </c>
      <c r="B154" s="23" t="s">
        <v>885</v>
      </c>
      <c r="C154" s="23" t="s">
        <v>979</v>
      </c>
      <c r="D154" s="23" t="s">
        <v>959</v>
      </c>
      <c r="E154" s="23" t="s">
        <v>949</v>
      </c>
      <c r="F154" s="2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hidden="1" customHeight="1">
      <c r="A155" s="23" t="s">
        <v>1008</v>
      </c>
      <c r="B155" s="23" t="s">
        <v>887</v>
      </c>
      <c r="C155" s="23" t="s">
        <v>979</v>
      </c>
      <c r="D155" s="23" t="s">
        <v>959</v>
      </c>
      <c r="E155" s="23" t="s">
        <v>949</v>
      </c>
      <c r="F155" s="2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hidden="1" customHeight="1">
      <c r="A156" s="23" t="s">
        <v>1009</v>
      </c>
      <c r="B156" s="23" t="s">
        <v>892</v>
      </c>
      <c r="C156" s="23" t="s">
        <v>979</v>
      </c>
      <c r="D156" s="23" t="s">
        <v>959</v>
      </c>
      <c r="E156" s="23" t="s">
        <v>949</v>
      </c>
      <c r="F156" s="2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hidden="1" customHeight="1">
      <c r="A157" s="23" t="s">
        <v>1010</v>
      </c>
      <c r="B157" s="23" t="s">
        <v>935</v>
      </c>
      <c r="C157" s="23" t="s">
        <v>979</v>
      </c>
      <c r="D157" s="23" t="s">
        <v>959</v>
      </c>
      <c r="E157" s="23" t="s">
        <v>949</v>
      </c>
      <c r="F157" s="2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hidden="1" customHeight="1">
      <c r="A158" s="23" t="s">
        <v>1011</v>
      </c>
      <c r="B158" s="23" t="s">
        <v>895</v>
      </c>
      <c r="C158" s="23" t="s">
        <v>979</v>
      </c>
      <c r="D158" s="23" t="s">
        <v>959</v>
      </c>
      <c r="E158" s="23" t="s">
        <v>949</v>
      </c>
      <c r="F158" s="2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hidden="1" customHeight="1">
      <c r="A159" s="23" t="s">
        <v>1012</v>
      </c>
      <c r="B159" s="23" t="s">
        <v>897</v>
      </c>
      <c r="C159" s="23" t="s">
        <v>979</v>
      </c>
      <c r="D159" s="23" t="s">
        <v>959</v>
      </c>
      <c r="E159" s="23" t="s">
        <v>949</v>
      </c>
      <c r="F159" s="2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hidden="1" customHeight="1">
      <c r="A160" s="23" t="s">
        <v>1013</v>
      </c>
      <c r="B160" s="23" t="s">
        <v>889</v>
      </c>
      <c r="C160" s="23" t="s">
        <v>979</v>
      </c>
      <c r="D160" s="23" t="s">
        <v>959</v>
      </c>
      <c r="E160" s="23" t="s">
        <v>949</v>
      </c>
      <c r="F160" s="2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hidden="1" customHeight="1">
      <c r="A161" s="23" t="s">
        <v>1014</v>
      </c>
      <c r="B161" s="23" t="s">
        <v>899</v>
      </c>
      <c r="C161" s="23" t="s">
        <v>979</v>
      </c>
      <c r="D161" s="23" t="s">
        <v>959</v>
      </c>
      <c r="E161" s="23" t="s">
        <v>949</v>
      </c>
      <c r="F161" s="2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hidden="1" customHeight="1">
      <c r="A162" s="23" t="s">
        <v>1015</v>
      </c>
      <c r="B162" s="23" t="s">
        <v>901</v>
      </c>
      <c r="C162" s="23" t="s">
        <v>979</v>
      </c>
      <c r="D162" s="23" t="s">
        <v>959</v>
      </c>
      <c r="E162" s="23" t="s">
        <v>971</v>
      </c>
      <c r="F162" s="2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hidden="1" customHeight="1">
      <c r="A163" s="23" t="s">
        <v>1016</v>
      </c>
      <c r="B163" s="23" t="s">
        <v>904</v>
      </c>
      <c r="C163" s="23" t="s">
        <v>979</v>
      </c>
      <c r="D163" s="23" t="s">
        <v>959</v>
      </c>
      <c r="E163" s="23" t="s">
        <v>971</v>
      </c>
      <c r="F163" s="2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hidden="1" customHeight="1">
      <c r="A164" s="23" t="s">
        <v>1017</v>
      </c>
      <c r="B164" s="23" t="s">
        <v>906</v>
      </c>
      <c r="C164" s="23" t="s">
        <v>979</v>
      </c>
      <c r="D164" s="23" t="s">
        <v>959</v>
      </c>
      <c r="E164" s="23" t="s">
        <v>971</v>
      </c>
      <c r="F164" s="2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hidden="1" customHeight="1">
      <c r="A165" s="23" t="s">
        <v>1018</v>
      </c>
      <c r="B165" s="23" t="s">
        <v>908</v>
      </c>
      <c r="C165" s="23" t="s">
        <v>979</v>
      </c>
      <c r="D165" s="23" t="s">
        <v>959</v>
      </c>
      <c r="E165" s="23" t="s">
        <v>971</v>
      </c>
      <c r="F165" s="2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hidden="1" customHeight="1">
      <c r="A166" s="23" t="s">
        <v>1019</v>
      </c>
      <c r="B166" s="23" t="s">
        <v>936</v>
      </c>
      <c r="C166" s="23" t="s">
        <v>979</v>
      </c>
      <c r="D166" s="23" t="s">
        <v>959</v>
      </c>
      <c r="E166" s="23" t="s">
        <v>971</v>
      </c>
      <c r="F166" s="2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hidden="1" customHeight="1">
      <c r="A167" s="23" t="s">
        <v>1020</v>
      </c>
      <c r="B167" s="23" t="s">
        <v>910</v>
      </c>
      <c r="C167" s="23" t="s">
        <v>979</v>
      </c>
      <c r="D167" s="23" t="s">
        <v>959</v>
      </c>
      <c r="E167" s="23" t="s">
        <v>949</v>
      </c>
      <c r="F167" s="2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hidden="1" customHeight="1">
      <c r="A168" s="23" t="s">
        <v>1021</v>
      </c>
      <c r="B168" s="23" t="s">
        <v>937</v>
      </c>
      <c r="C168" s="23" t="s">
        <v>979</v>
      </c>
      <c r="D168" s="23" t="s">
        <v>959</v>
      </c>
      <c r="E168" s="23" t="s">
        <v>949</v>
      </c>
      <c r="F168" s="2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hidden="1" customHeight="1">
      <c r="A169" s="23" t="s">
        <v>1022</v>
      </c>
      <c r="B169" s="23" t="s">
        <v>912</v>
      </c>
      <c r="C169" s="23" t="s">
        <v>979</v>
      </c>
      <c r="D169" s="23" t="s">
        <v>959</v>
      </c>
      <c r="E169" s="23" t="s">
        <v>949</v>
      </c>
      <c r="F169" s="2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hidden="1" customHeight="1">
      <c r="A170" s="23" t="s">
        <v>1023</v>
      </c>
      <c r="B170" s="23" t="s">
        <v>938</v>
      </c>
      <c r="C170" s="23" t="s">
        <v>979</v>
      </c>
      <c r="D170" s="23" t="s">
        <v>959</v>
      </c>
      <c r="E170" s="23" t="s">
        <v>949</v>
      </c>
      <c r="F170" s="2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hidden="1" customHeight="1">
      <c r="A171" s="23" t="s">
        <v>1024</v>
      </c>
      <c r="B171" s="23" t="s">
        <v>914</v>
      </c>
      <c r="C171" s="23" t="s">
        <v>979</v>
      </c>
      <c r="D171" s="23" t="s">
        <v>959</v>
      </c>
      <c r="E171" s="23" t="s">
        <v>949</v>
      </c>
      <c r="F171" s="2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hidden="1" customHeight="1">
      <c r="A172" s="23" t="s">
        <v>1025</v>
      </c>
      <c r="B172" s="23" t="s">
        <v>939</v>
      </c>
      <c r="C172" s="23" t="s">
        <v>979</v>
      </c>
      <c r="D172" s="23" t="s">
        <v>959</v>
      </c>
      <c r="E172" s="23" t="s">
        <v>949</v>
      </c>
      <c r="F172" s="2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hidden="1" customHeight="1">
      <c r="A173" s="23" t="s">
        <v>1026</v>
      </c>
      <c r="B173" s="23" t="s">
        <v>953</v>
      </c>
      <c r="C173" s="23" t="s">
        <v>979</v>
      </c>
      <c r="D173" s="23" t="s">
        <v>959</v>
      </c>
      <c r="E173" s="23" t="s">
        <v>949</v>
      </c>
      <c r="F173" s="2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hidden="1" customHeight="1">
      <c r="A174" s="23" t="s">
        <v>1027</v>
      </c>
      <c r="B174" s="23" t="s">
        <v>917</v>
      </c>
      <c r="C174" s="23" t="s">
        <v>979</v>
      </c>
      <c r="D174" s="23" t="s">
        <v>959</v>
      </c>
      <c r="E174" s="23" t="s">
        <v>949</v>
      </c>
      <c r="F174" s="2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hidden="1" customHeight="1">
      <c r="A175" s="23" t="s">
        <v>1028</v>
      </c>
      <c r="B175" s="23" t="s">
        <v>873</v>
      </c>
      <c r="C175" s="23" t="s">
        <v>979</v>
      </c>
      <c r="D175" s="23" t="s">
        <v>959</v>
      </c>
      <c r="E175" s="23" t="s">
        <v>949</v>
      </c>
      <c r="F175" s="2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hidden="1" customHeight="1">
      <c r="A176" s="23" t="s">
        <v>1029</v>
      </c>
      <c r="B176" s="23" t="s">
        <v>920</v>
      </c>
      <c r="C176" s="23" t="s">
        <v>979</v>
      </c>
      <c r="D176" s="23" t="s">
        <v>959</v>
      </c>
      <c r="E176" s="23" t="s">
        <v>971</v>
      </c>
      <c r="F176" s="2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hidden="1" customHeight="1">
      <c r="A177" s="23" t="s">
        <v>1030</v>
      </c>
      <c r="B177" s="23" t="s">
        <v>923</v>
      </c>
      <c r="C177" s="23" t="s">
        <v>979</v>
      </c>
      <c r="D177" s="23" t="s">
        <v>959</v>
      </c>
      <c r="E177" s="23" t="s">
        <v>949</v>
      </c>
      <c r="F177" s="2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hidden="1" customHeight="1">
      <c r="A178" s="23" t="s">
        <v>1031</v>
      </c>
      <c r="B178" s="23" t="s">
        <v>956</v>
      </c>
      <c r="C178" s="23" t="s">
        <v>979</v>
      </c>
      <c r="D178" s="23" t="s">
        <v>959</v>
      </c>
      <c r="E178" s="23" t="s">
        <v>971</v>
      </c>
      <c r="F178" s="2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hidden="1" customHeight="1">
      <c r="A179" s="23" t="s">
        <v>1032</v>
      </c>
      <c r="B179" s="23" t="s">
        <v>926</v>
      </c>
      <c r="C179" s="23" t="s">
        <v>979</v>
      </c>
      <c r="D179" s="23" t="s">
        <v>959</v>
      </c>
      <c r="E179" s="23" t="s">
        <v>949</v>
      </c>
      <c r="F179" s="2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hidden="1" customHeight="1">
      <c r="A180" s="23" t="s">
        <v>1033</v>
      </c>
      <c r="B180" s="23" t="s">
        <v>957</v>
      </c>
      <c r="C180" s="23" t="s">
        <v>979</v>
      </c>
      <c r="D180" s="23" t="s">
        <v>959</v>
      </c>
      <c r="E180" s="23" t="s">
        <v>971</v>
      </c>
      <c r="F180" s="2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hidden="1" customHeight="1">
      <c r="A181" s="23" t="s">
        <v>1034</v>
      </c>
      <c r="B181" s="23" t="s">
        <v>929</v>
      </c>
      <c r="C181" s="23" t="s">
        <v>979</v>
      </c>
      <c r="D181" s="23" t="s">
        <v>959</v>
      </c>
      <c r="E181" s="23" t="s">
        <v>949</v>
      </c>
      <c r="F181" s="2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hidden="1" customHeight="1">
      <c r="A182" s="23" t="s">
        <v>1035</v>
      </c>
      <c r="B182" s="23" t="s">
        <v>932</v>
      </c>
      <c r="C182" s="23" t="s">
        <v>979</v>
      </c>
      <c r="D182" s="23" t="s">
        <v>959</v>
      </c>
      <c r="E182" s="23" t="s">
        <v>949</v>
      </c>
      <c r="F182" s="2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hidden="1" customHeight="1">
      <c r="A183" s="23" t="s">
        <v>1036</v>
      </c>
      <c r="B183" s="23" t="s">
        <v>934</v>
      </c>
      <c r="C183" s="23" t="s">
        <v>979</v>
      </c>
      <c r="D183" s="23" t="s">
        <v>959</v>
      </c>
      <c r="E183" s="23" t="s">
        <v>949</v>
      </c>
      <c r="F183" s="2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hidden="1" customHeight="1">
      <c r="A184" s="23" t="s">
        <v>1037</v>
      </c>
      <c r="B184" s="23" t="s">
        <v>942</v>
      </c>
      <c r="C184" s="23" t="s">
        <v>979</v>
      </c>
      <c r="D184" s="23" t="s">
        <v>959</v>
      </c>
      <c r="E184" s="23" t="s">
        <v>971</v>
      </c>
      <c r="F184" s="2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hidden="1" customHeight="1">
      <c r="A185" s="23" t="s">
        <v>1038</v>
      </c>
      <c r="B185" s="23" t="s">
        <v>116</v>
      </c>
      <c r="C185" s="23" t="s">
        <v>1039</v>
      </c>
      <c r="D185" s="23" t="s">
        <v>959</v>
      </c>
      <c r="E185" s="23" t="s">
        <v>949</v>
      </c>
      <c r="F185" s="2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hidden="1" customHeight="1">
      <c r="A186" s="23" t="s">
        <v>1040</v>
      </c>
      <c r="B186" s="23" t="s">
        <v>123</v>
      </c>
      <c r="C186" s="23" t="s">
        <v>1039</v>
      </c>
      <c r="D186" s="23" t="s">
        <v>959</v>
      </c>
      <c r="E186" s="23" t="s">
        <v>949</v>
      </c>
      <c r="F186" s="2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hidden="1" customHeight="1">
      <c r="A187" s="23" t="s">
        <v>1041</v>
      </c>
      <c r="B187" s="23" t="s">
        <v>131</v>
      </c>
      <c r="C187" s="23" t="s">
        <v>1039</v>
      </c>
      <c r="D187" s="23" t="s">
        <v>959</v>
      </c>
      <c r="E187" s="23" t="s">
        <v>949</v>
      </c>
      <c r="F187" s="2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hidden="1" customHeight="1">
      <c r="A188" s="23" t="s">
        <v>1042</v>
      </c>
      <c r="B188" s="23" t="s">
        <v>137</v>
      </c>
      <c r="C188" s="23" t="s">
        <v>1039</v>
      </c>
      <c r="D188" s="23" t="s">
        <v>959</v>
      </c>
      <c r="E188" s="23" t="s">
        <v>949</v>
      </c>
      <c r="F188" s="2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hidden="1" customHeight="1">
      <c r="A189" s="23" t="s">
        <v>1043</v>
      </c>
      <c r="B189" s="23" t="s">
        <v>144</v>
      </c>
      <c r="C189" s="23" t="s">
        <v>1039</v>
      </c>
      <c r="D189" s="23" t="s">
        <v>959</v>
      </c>
      <c r="E189" s="23" t="s">
        <v>949</v>
      </c>
      <c r="F189" s="2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hidden="1" customHeight="1">
      <c r="A190" s="23" t="s">
        <v>1044</v>
      </c>
      <c r="B190" s="23" t="s">
        <v>151</v>
      </c>
      <c r="C190" s="23" t="s">
        <v>1039</v>
      </c>
      <c r="D190" s="23" t="s">
        <v>959</v>
      </c>
      <c r="E190" s="23" t="s">
        <v>949</v>
      </c>
      <c r="F190" s="2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hidden="1" customHeight="1">
      <c r="A191" s="23" t="s">
        <v>1045</v>
      </c>
      <c r="B191" s="23" t="s">
        <v>734</v>
      </c>
      <c r="C191" s="23" t="s">
        <v>1039</v>
      </c>
      <c r="D191" s="23" t="s">
        <v>959</v>
      </c>
      <c r="E191" s="23" t="s">
        <v>949</v>
      </c>
      <c r="F191" s="2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hidden="1" customHeight="1">
      <c r="A192" s="23" t="s">
        <v>1046</v>
      </c>
      <c r="B192" s="23" t="s">
        <v>831</v>
      </c>
      <c r="C192" s="23" t="s">
        <v>1039</v>
      </c>
      <c r="D192" s="23" t="s">
        <v>959</v>
      </c>
      <c r="E192" s="23" t="s">
        <v>949</v>
      </c>
      <c r="F192" s="2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hidden="1" customHeight="1">
      <c r="A193" s="23" t="s">
        <v>1047</v>
      </c>
      <c r="B193" s="23" t="s">
        <v>833</v>
      </c>
      <c r="C193" s="23" t="s">
        <v>1039</v>
      </c>
      <c r="D193" s="23" t="s">
        <v>959</v>
      </c>
      <c r="E193" s="23" t="s">
        <v>949</v>
      </c>
      <c r="F193" s="2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hidden="1" customHeight="1">
      <c r="A194" s="23" t="s">
        <v>1048</v>
      </c>
      <c r="B194" s="23" t="s">
        <v>811</v>
      </c>
      <c r="C194" s="23" t="s">
        <v>1039</v>
      </c>
      <c r="D194" s="23" t="s">
        <v>959</v>
      </c>
      <c r="E194" s="23" t="s">
        <v>949</v>
      </c>
      <c r="F194" s="2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hidden="1" customHeight="1">
      <c r="A195" s="23" t="s">
        <v>1049</v>
      </c>
      <c r="B195" s="23" t="s">
        <v>838</v>
      </c>
      <c r="C195" s="23" t="s">
        <v>1039</v>
      </c>
      <c r="D195" s="23" t="s">
        <v>959</v>
      </c>
      <c r="E195" s="23" t="s">
        <v>949</v>
      </c>
      <c r="F195" s="2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hidden="1" customHeight="1">
      <c r="A196" s="23" t="s">
        <v>1050</v>
      </c>
      <c r="B196" s="23" t="s">
        <v>840</v>
      </c>
      <c r="C196" s="23" t="s">
        <v>1039</v>
      </c>
      <c r="D196" s="23" t="s">
        <v>959</v>
      </c>
      <c r="E196" s="23" t="s">
        <v>949</v>
      </c>
      <c r="F196" s="2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hidden="1" customHeight="1">
      <c r="A197" s="23" t="s">
        <v>1051</v>
      </c>
      <c r="B197" s="23" t="s">
        <v>842</v>
      </c>
      <c r="C197" s="23" t="s">
        <v>1039</v>
      </c>
      <c r="D197" s="23" t="s">
        <v>959</v>
      </c>
      <c r="E197" s="23" t="s">
        <v>949</v>
      </c>
      <c r="F197" s="2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hidden="1" customHeight="1">
      <c r="A198" s="23" t="s">
        <v>1052</v>
      </c>
      <c r="B198" s="23" t="s">
        <v>844</v>
      </c>
      <c r="C198" s="23" t="s">
        <v>1039</v>
      </c>
      <c r="D198" s="23" t="s">
        <v>959</v>
      </c>
      <c r="E198" s="23" t="s">
        <v>949</v>
      </c>
      <c r="F198" s="2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hidden="1" customHeight="1">
      <c r="A199" s="23" t="s">
        <v>1053</v>
      </c>
      <c r="B199" s="23" t="s">
        <v>846</v>
      </c>
      <c r="C199" s="23" t="s">
        <v>1039</v>
      </c>
      <c r="D199" s="23" t="s">
        <v>959</v>
      </c>
      <c r="E199" s="23" t="s">
        <v>949</v>
      </c>
      <c r="F199" s="2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hidden="1" customHeight="1">
      <c r="A200" s="23" t="s">
        <v>1054</v>
      </c>
      <c r="B200" s="23" t="s">
        <v>848</v>
      </c>
      <c r="C200" s="23" t="s">
        <v>1039</v>
      </c>
      <c r="D200" s="23" t="s">
        <v>959</v>
      </c>
      <c r="E200" s="23" t="s">
        <v>949</v>
      </c>
      <c r="F200" s="2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hidden="1" customHeight="1">
      <c r="A201" s="23" t="s">
        <v>1055</v>
      </c>
      <c r="B201" s="23" t="s">
        <v>850</v>
      </c>
      <c r="C201" s="23" t="s">
        <v>1039</v>
      </c>
      <c r="D201" s="23" t="s">
        <v>959</v>
      </c>
      <c r="E201" s="23" t="s">
        <v>949</v>
      </c>
      <c r="F201" s="2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hidden="1" customHeight="1">
      <c r="A202" s="23" t="s">
        <v>1056</v>
      </c>
      <c r="B202" s="23" t="s">
        <v>853</v>
      </c>
      <c r="C202" s="23" t="s">
        <v>1039</v>
      </c>
      <c r="D202" s="23" t="s">
        <v>959</v>
      </c>
      <c r="E202" s="23" t="s">
        <v>949</v>
      </c>
      <c r="F202" s="2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hidden="1" customHeight="1">
      <c r="A203" s="23" t="s">
        <v>1057</v>
      </c>
      <c r="B203" s="23" t="s">
        <v>855</v>
      </c>
      <c r="C203" s="23" t="s">
        <v>1039</v>
      </c>
      <c r="D203" s="23" t="s">
        <v>959</v>
      </c>
      <c r="E203" s="23" t="s">
        <v>949</v>
      </c>
      <c r="F203" s="2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hidden="1" customHeight="1">
      <c r="A204" s="23" t="s">
        <v>1058</v>
      </c>
      <c r="B204" s="23" t="s">
        <v>857</v>
      </c>
      <c r="C204" s="23" t="s">
        <v>1039</v>
      </c>
      <c r="D204" s="23" t="s">
        <v>959</v>
      </c>
      <c r="E204" s="23" t="s">
        <v>949</v>
      </c>
      <c r="F204" s="2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hidden="1" customHeight="1">
      <c r="A205" s="23" t="s">
        <v>1059</v>
      </c>
      <c r="B205" s="23" t="s">
        <v>860</v>
      </c>
      <c r="C205" s="23" t="s">
        <v>1039</v>
      </c>
      <c r="D205" s="23" t="s">
        <v>959</v>
      </c>
      <c r="E205" s="23" t="s">
        <v>949</v>
      </c>
      <c r="F205" s="2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hidden="1" customHeight="1">
      <c r="A206" s="23" t="s">
        <v>1060</v>
      </c>
      <c r="B206" s="23" t="s">
        <v>862</v>
      </c>
      <c r="C206" s="23" t="s">
        <v>1039</v>
      </c>
      <c r="D206" s="23" t="s">
        <v>959</v>
      </c>
      <c r="E206" s="23" t="s">
        <v>949</v>
      </c>
      <c r="F206" s="2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hidden="1" customHeight="1">
      <c r="A207" s="23" t="s">
        <v>1061</v>
      </c>
      <c r="B207" s="23" t="s">
        <v>865</v>
      </c>
      <c r="C207" s="23" t="s">
        <v>1039</v>
      </c>
      <c r="D207" s="23" t="s">
        <v>959</v>
      </c>
      <c r="E207" s="23" t="s">
        <v>949</v>
      </c>
      <c r="F207" s="2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hidden="1" customHeight="1">
      <c r="A208" s="23" t="s">
        <v>1062</v>
      </c>
      <c r="B208" s="23" t="s">
        <v>867</v>
      </c>
      <c r="C208" s="23" t="s">
        <v>1039</v>
      </c>
      <c r="D208" s="23" t="s">
        <v>959</v>
      </c>
      <c r="E208" s="23" t="s">
        <v>949</v>
      </c>
      <c r="F208" s="2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hidden="1" customHeight="1">
      <c r="A209" s="23" t="s">
        <v>1063</v>
      </c>
      <c r="B209" s="23" t="s">
        <v>869</v>
      </c>
      <c r="C209" s="23" t="s">
        <v>1039</v>
      </c>
      <c r="D209" s="23" t="s">
        <v>959</v>
      </c>
      <c r="E209" s="23" t="s">
        <v>949</v>
      </c>
      <c r="F209" s="2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hidden="1" customHeight="1">
      <c r="A210" s="23" t="s">
        <v>1064</v>
      </c>
      <c r="B210" s="23" t="s">
        <v>871</v>
      </c>
      <c r="C210" s="23" t="s">
        <v>1039</v>
      </c>
      <c r="D210" s="23" t="s">
        <v>959</v>
      </c>
      <c r="E210" s="23" t="s">
        <v>949</v>
      </c>
      <c r="F210" s="2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hidden="1" customHeight="1">
      <c r="A211" s="23" t="s">
        <v>1065</v>
      </c>
      <c r="B211" s="23" t="s">
        <v>876</v>
      </c>
      <c r="C211" s="23" t="s">
        <v>1039</v>
      </c>
      <c r="D211" s="23" t="s">
        <v>959</v>
      </c>
      <c r="E211" s="23" t="s">
        <v>949</v>
      </c>
      <c r="F211" s="2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hidden="1" customHeight="1">
      <c r="A212" s="23" t="s">
        <v>1066</v>
      </c>
      <c r="B212" s="23" t="s">
        <v>879</v>
      </c>
      <c r="C212" s="23" t="s">
        <v>1039</v>
      </c>
      <c r="D212" s="23" t="s">
        <v>959</v>
      </c>
      <c r="E212" s="23" t="s">
        <v>949</v>
      </c>
      <c r="F212" s="2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hidden="1" customHeight="1">
      <c r="A213" s="23" t="s">
        <v>1067</v>
      </c>
      <c r="B213" s="23" t="s">
        <v>881</v>
      </c>
      <c r="C213" s="23" t="s">
        <v>1039</v>
      </c>
      <c r="D213" s="23" t="s">
        <v>959</v>
      </c>
      <c r="E213" s="23" t="s">
        <v>949</v>
      </c>
      <c r="F213" s="2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hidden="1" customHeight="1">
      <c r="A214" s="23" t="s">
        <v>1068</v>
      </c>
      <c r="B214" s="23" t="s">
        <v>883</v>
      </c>
      <c r="C214" s="23" t="s">
        <v>1039</v>
      </c>
      <c r="D214" s="23" t="s">
        <v>959</v>
      </c>
      <c r="E214" s="23" t="s">
        <v>949</v>
      </c>
      <c r="F214" s="2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hidden="1" customHeight="1">
      <c r="A215" s="23" t="s">
        <v>1069</v>
      </c>
      <c r="B215" s="23" t="s">
        <v>885</v>
      </c>
      <c r="C215" s="23" t="s">
        <v>1039</v>
      </c>
      <c r="D215" s="23" t="s">
        <v>959</v>
      </c>
      <c r="E215" s="23" t="s">
        <v>949</v>
      </c>
      <c r="F215" s="2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hidden="1" customHeight="1">
      <c r="A216" s="23" t="s">
        <v>1070</v>
      </c>
      <c r="B216" s="23" t="s">
        <v>887</v>
      </c>
      <c r="C216" s="23" t="s">
        <v>1039</v>
      </c>
      <c r="D216" s="23" t="s">
        <v>959</v>
      </c>
      <c r="E216" s="23" t="s">
        <v>949</v>
      </c>
      <c r="F216" s="2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hidden="1" customHeight="1">
      <c r="A217" s="23" t="s">
        <v>1071</v>
      </c>
      <c r="B217" s="23" t="s">
        <v>892</v>
      </c>
      <c r="C217" s="23" t="s">
        <v>1039</v>
      </c>
      <c r="D217" s="23" t="s">
        <v>959</v>
      </c>
      <c r="E217" s="23" t="s">
        <v>949</v>
      </c>
      <c r="F217" s="2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hidden="1" customHeight="1">
      <c r="A218" s="23" t="s">
        <v>1072</v>
      </c>
      <c r="B218" s="23" t="s">
        <v>935</v>
      </c>
      <c r="C218" s="23" t="s">
        <v>1039</v>
      </c>
      <c r="D218" s="23" t="s">
        <v>959</v>
      </c>
      <c r="E218" s="23" t="s">
        <v>949</v>
      </c>
      <c r="F218" s="2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hidden="1" customHeight="1">
      <c r="A219" s="23" t="s">
        <v>1073</v>
      </c>
      <c r="B219" s="23" t="s">
        <v>895</v>
      </c>
      <c r="C219" s="23" t="s">
        <v>1039</v>
      </c>
      <c r="D219" s="23" t="s">
        <v>959</v>
      </c>
      <c r="E219" s="23" t="s">
        <v>949</v>
      </c>
      <c r="F219" s="2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hidden="1" customHeight="1">
      <c r="A220" s="23" t="s">
        <v>1074</v>
      </c>
      <c r="B220" s="23" t="s">
        <v>897</v>
      </c>
      <c r="C220" s="23" t="s">
        <v>1039</v>
      </c>
      <c r="D220" s="23" t="s">
        <v>959</v>
      </c>
      <c r="E220" s="23" t="s">
        <v>949</v>
      </c>
      <c r="F220" s="2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hidden="1" customHeight="1">
      <c r="A221" s="23" t="s">
        <v>1075</v>
      </c>
      <c r="B221" s="23" t="s">
        <v>889</v>
      </c>
      <c r="C221" s="23" t="s">
        <v>1039</v>
      </c>
      <c r="D221" s="23" t="s">
        <v>959</v>
      </c>
      <c r="E221" s="23" t="s">
        <v>949</v>
      </c>
      <c r="F221" s="2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hidden="1" customHeight="1">
      <c r="A222" s="23" t="s">
        <v>1076</v>
      </c>
      <c r="B222" s="23" t="s">
        <v>899</v>
      </c>
      <c r="C222" s="23" t="s">
        <v>1039</v>
      </c>
      <c r="D222" s="23" t="s">
        <v>959</v>
      </c>
      <c r="E222" s="23" t="s">
        <v>949</v>
      </c>
      <c r="F222" s="2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hidden="1" customHeight="1">
      <c r="A223" s="23" t="s">
        <v>1077</v>
      </c>
      <c r="B223" s="23" t="s">
        <v>901</v>
      </c>
      <c r="C223" s="23" t="s">
        <v>1039</v>
      </c>
      <c r="D223" s="23" t="s">
        <v>959</v>
      </c>
      <c r="E223" s="23" t="s">
        <v>949</v>
      </c>
      <c r="F223" s="2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hidden="1" customHeight="1">
      <c r="A224" s="23" t="s">
        <v>1078</v>
      </c>
      <c r="B224" s="23" t="s">
        <v>904</v>
      </c>
      <c r="C224" s="23" t="s">
        <v>1039</v>
      </c>
      <c r="D224" s="23" t="s">
        <v>959</v>
      </c>
      <c r="E224" s="23" t="s">
        <v>949</v>
      </c>
      <c r="F224" s="2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hidden="1" customHeight="1">
      <c r="A225" s="23" t="s">
        <v>1079</v>
      </c>
      <c r="B225" s="23" t="s">
        <v>906</v>
      </c>
      <c r="C225" s="23" t="s">
        <v>1039</v>
      </c>
      <c r="D225" s="23" t="s">
        <v>959</v>
      </c>
      <c r="E225" s="23" t="s">
        <v>949</v>
      </c>
      <c r="F225" s="2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hidden="1" customHeight="1">
      <c r="A226" s="23" t="s">
        <v>1080</v>
      </c>
      <c r="B226" s="23" t="s">
        <v>908</v>
      </c>
      <c r="C226" s="23" t="s">
        <v>1039</v>
      </c>
      <c r="D226" s="23" t="s">
        <v>959</v>
      </c>
      <c r="E226" s="23" t="s">
        <v>949</v>
      </c>
      <c r="F226" s="2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hidden="1" customHeight="1">
      <c r="A227" s="23" t="s">
        <v>1081</v>
      </c>
      <c r="B227" s="23" t="s">
        <v>936</v>
      </c>
      <c r="C227" s="23" t="s">
        <v>1039</v>
      </c>
      <c r="D227" s="23" t="s">
        <v>959</v>
      </c>
      <c r="E227" s="23" t="s">
        <v>971</v>
      </c>
      <c r="F227" s="2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hidden="1" customHeight="1">
      <c r="A228" s="23" t="s">
        <v>1082</v>
      </c>
      <c r="B228" s="23" t="s">
        <v>910</v>
      </c>
      <c r="C228" s="23" t="s">
        <v>1039</v>
      </c>
      <c r="D228" s="23" t="s">
        <v>959</v>
      </c>
      <c r="E228" s="23" t="s">
        <v>949</v>
      </c>
      <c r="F228" s="2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hidden="1" customHeight="1">
      <c r="A229" s="23" t="s">
        <v>1083</v>
      </c>
      <c r="B229" s="23" t="s">
        <v>937</v>
      </c>
      <c r="C229" s="23" t="s">
        <v>1039</v>
      </c>
      <c r="D229" s="23" t="s">
        <v>959</v>
      </c>
      <c r="E229" s="23" t="s">
        <v>949</v>
      </c>
      <c r="F229" s="2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hidden="1" customHeight="1">
      <c r="A230" s="23" t="s">
        <v>1084</v>
      </c>
      <c r="B230" s="23" t="s">
        <v>912</v>
      </c>
      <c r="C230" s="23" t="s">
        <v>1039</v>
      </c>
      <c r="D230" s="23" t="s">
        <v>959</v>
      </c>
      <c r="E230" s="23" t="s">
        <v>949</v>
      </c>
      <c r="F230" s="2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hidden="1" customHeight="1">
      <c r="A231" s="23" t="s">
        <v>1085</v>
      </c>
      <c r="B231" s="23" t="s">
        <v>938</v>
      </c>
      <c r="C231" s="23" t="s">
        <v>1039</v>
      </c>
      <c r="D231" s="23" t="s">
        <v>959</v>
      </c>
      <c r="E231" s="23" t="s">
        <v>949</v>
      </c>
      <c r="F231" s="2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hidden="1" customHeight="1">
      <c r="A232" s="23" t="s">
        <v>1086</v>
      </c>
      <c r="B232" s="23" t="s">
        <v>914</v>
      </c>
      <c r="C232" s="23" t="s">
        <v>1039</v>
      </c>
      <c r="D232" s="23" t="s">
        <v>959</v>
      </c>
      <c r="E232" s="23" t="s">
        <v>949</v>
      </c>
      <c r="F232" s="2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hidden="1" customHeight="1">
      <c r="A233" s="23" t="s">
        <v>1087</v>
      </c>
      <c r="B233" s="23" t="s">
        <v>939</v>
      </c>
      <c r="C233" s="23" t="s">
        <v>1039</v>
      </c>
      <c r="D233" s="23" t="s">
        <v>959</v>
      </c>
      <c r="E233" s="23" t="s">
        <v>971</v>
      </c>
      <c r="F233" s="2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hidden="1" customHeight="1">
      <c r="A234" s="23" t="s">
        <v>1088</v>
      </c>
      <c r="B234" s="23" t="s">
        <v>953</v>
      </c>
      <c r="C234" s="23" t="s">
        <v>1039</v>
      </c>
      <c r="D234" s="23" t="s">
        <v>959</v>
      </c>
      <c r="E234" s="23" t="s">
        <v>949</v>
      </c>
      <c r="F234" s="2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hidden="1" customHeight="1">
      <c r="A235" s="23" t="s">
        <v>1089</v>
      </c>
      <c r="B235" s="23" t="s">
        <v>917</v>
      </c>
      <c r="C235" s="23" t="s">
        <v>1039</v>
      </c>
      <c r="D235" s="23" t="s">
        <v>959</v>
      </c>
      <c r="E235" s="23" t="s">
        <v>949</v>
      </c>
      <c r="F235" s="2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hidden="1" customHeight="1">
      <c r="A236" s="23" t="s">
        <v>1090</v>
      </c>
      <c r="B236" s="23" t="s">
        <v>873</v>
      </c>
      <c r="C236" s="23" t="s">
        <v>1039</v>
      </c>
      <c r="D236" s="23" t="s">
        <v>959</v>
      </c>
      <c r="E236" s="23" t="s">
        <v>949</v>
      </c>
      <c r="F236" s="2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hidden="1" customHeight="1">
      <c r="A237" s="23" t="s">
        <v>1091</v>
      </c>
      <c r="B237" s="23" t="s">
        <v>920</v>
      </c>
      <c r="C237" s="23" t="s">
        <v>1039</v>
      </c>
      <c r="D237" s="23" t="s">
        <v>959</v>
      </c>
      <c r="E237" s="23" t="s">
        <v>949</v>
      </c>
      <c r="F237" s="2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hidden="1" customHeight="1">
      <c r="A238" s="23" t="s">
        <v>1092</v>
      </c>
      <c r="B238" s="23" t="s">
        <v>923</v>
      </c>
      <c r="C238" s="23" t="s">
        <v>1039</v>
      </c>
      <c r="D238" s="23" t="s">
        <v>959</v>
      </c>
      <c r="E238" s="23" t="s">
        <v>949</v>
      </c>
      <c r="F238" s="2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hidden="1" customHeight="1">
      <c r="A239" s="23" t="s">
        <v>1093</v>
      </c>
      <c r="B239" s="23" t="s">
        <v>956</v>
      </c>
      <c r="C239" s="23" t="s">
        <v>1039</v>
      </c>
      <c r="D239" s="23" t="s">
        <v>959</v>
      </c>
      <c r="E239" s="23" t="s">
        <v>971</v>
      </c>
      <c r="F239" s="2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hidden="1" customHeight="1">
      <c r="A240" s="23" t="s">
        <v>1094</v>
      </c>
      <c r="B240" s="23" t="s">
        <v>926</v>
      </c>
      <c r="C240" s="23" t="s">
        <v>1039</v>
      </c>
      <c r="D240" s="23" t="s">
        <v>959</v>
      </c>
      <c r="E240" s="23" t="s">
        <v>949</v>
      </c>
      <c r="F240" s="2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hidden="1" customHeight="1">
      <c r="A241" s="23" t="s">
        <v>1095</v>
      </c>
      <c r="B241" s="23" t="s">
        <v>957</v>
      </c>
      <c r="C241" s="23" t="s">
        <v>1039</v>
      </c>
      <c r="D241" s="23" t="s">
        <v>959</v>
      </c>
      <c r="E241" s="23" t="s">
        <v>971</v>
      </c>
      <c r="F241" s="2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hidden="1" customHeight="1">
      <c r="A242" s="23" t="s">
        <v>1096</v>
      </c>
      <c r="B242" s="23" t="s">
        <v>929</v>
      </c>
      <c r="C242" s="23" t="s">
        <v>1039</v>
      </c>
      <c r="D242" s="23" t="s">
        <v>959</v>
      </c>
      <c r="E242" s="23" t="s">
        <v>949</v>
      </c>
      <c r="F242" s="2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hidden="1" customHeight="1">
      <c r="A243" s="23" t="s">
        <v>1097</v>
      </c>
      <c r="B243" s="23" t="s">
        <v>932</v>
      </c>
      <c r="C243" s="23" t="s">
        <v>1039</v>
      </c>
      <c r="D243" s="23" t="s">
        <v>959</v>
      </c>
      <c r="E243" s="23" t="s">
        <v>949</v>
      </c>
      <c r="F243" s="2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hidden="1" customHeight="1">
      <c r="A244" s="23" t="s">
        <v>1098</v>
      </c>
      <c r="B244" s="23" t="s">
        <v>934</v>
      </c>
      <c r="C244" s="23" t="s">
        <v>1039</v>
      </c>
      <c r="D244" s="23" t="s">
        <v>959</v>
      </c>
      <c r="E244" s="23" t="s">
        <v>949</v>
      </c>
      <c r="F244" s="2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hidden="1" customHeight="1">
      <c r="A245" s="23" t="s">
        <v>1099</v>
      </c>
      <c r="B245" s="23" t="s">
        <v>942</v>
      </c>
      <c r="C245" s="23" t="s">
        <v>1039</v>
      </c>
      <c r="D245" s="23" t="s">
        <v>959</v>
      </c>
      <c r="E245" s="23" t="s">
        <v>971</v>
      </c>
      <c r="F245" s="2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hidden="1" customHeight="1">
      <c r="A246" s="23" t="s">
        <v>1100</v>
      </c>
      <c r="B246" s="23" t="s">
        <v>935</v>
      </c>
      <c r="C246" s="23" t="s">
        <v>1039</v>
      </c>
      <c r="D246" s="23" t="s">
        <v>948</v>
      </c>
      <c r="E246" s="23" t="s">
        <v>949</v>
      </c>
      <c r="F246" s="2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hidden="1" customHeight="1">
      <c r="A247" s="23" t="s">
        <v>1101</v>
      </c>
      <c r="B247" s="23" t="s">
        <v>936</v>
      </c>
      <c r="C247" s="23" t="s">
        <v>1039</v>
      </c>
      <c r="D247" s="23" t="s">
        <v>948</v>
      </c>
      <c r="E247" s="23" t="s">
        <v>949</v>
      </c>
      <c r="F247" s="2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hidden="1" customHeight="1">
      <c r="A248" s="23" t="s">
        <v>1102</v>
      </c>
      <c r="B248" s="23" t="s">
        <v>937</v>
      </c>
      <c r="C248" s="23" t="s">
        <v>1039</v>
      </c>
      <c r="D248" s="23" t="s">
        <v>948</v>
      </c>
      <c r="E248" s="23" t="s">
        <v>949</v>
      </c>
      <c r="F248" s="2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hidden="1" customHeight="1">
      <c r="A249" s="23" t="s">
        <v>1103</v>
      </c>
      <c r="B249" s="23" t="s">
        <v>938</v>
      </c>
      <c r="C249" s="23" t="s">
        <v>1039</v>
      </c>
      <c r="D249" s="23" t="s">
        <v>948</v>
      </c>
      <c r="E249" s="23" t="s">
        <v>949</v>
      </c>
      <c r="F249" s="2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hidden="1" customHeight="1">
      <c r="A250" s="23" t="s">
        <v>1104</v>
      </c>
      <c r="B250" s="23" t="s">
        <v>804</v>
      </c>
      <c r="C250" s="23" t="s">
        <v>1039</v>
      </c>
      <c r="D250" s="23" t="s">
        <v>948</v>
      </c>
      <c r="E250" s="23" t="s">
        <v>949</v>
      </c>
      <c r="F250" s="2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hidden="1" customHeight="1">
      <c r="A251" s="23" t="s">
        <v>1105</v>
      </c>
      <c r="B251" s="23" t="s">
        <v>806</v>
      </c>
      <c r="C251" s="23" t="s">
        <v>1039</v>
      </c>
      <c r="D251" s="23" t="s">
        <v>948</v>
      </c>
      <c r="E251" s="23" t="s">
        <v>949</v>
      </c>
      <c r="F251" s="2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hidden="1" customHeight="1">
      <c r="A252" s="23" t="s">
        <v>1106</v>
      </c>
      <c r="B252" s="23" t="s">
        <v>809</v>
      </c>
      <c r="C252" s="23" t="s">
        <v>1039</v>
      </c>
      <c r="D252" s="23" t="s">
        <v>948</v>
      </c>
      <c r="E252" s="23" t="s">
        <v>949</v>
      </c>
      <c r="F252" s="2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hidden="1" customHeight="1">
      <c r="A253" s="23" t="s">
        <v>1107</v>
      </c>
      <c r="B253" s="23" t="s">
        <v>934</v>
      </c>
      <c r="C253" s="23" t="s">
        <v>1039</v>
      </c>
      <c r="D253" s="23" t="s">
        <v>948</v>
      </c>
      <c r="E253" s="23" t="s">
        <v>949</v>
      </c>
      <c r="F253" s="2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hidden="1" customHeight="1">
      <c r="A254" s="23" t="s">
        <v>1108</v>
      </c>
      <c r="B254" s="23" t="s">
        <v>942</v>
      </c>
      <c r="C254" s="23" t="s">
        <v>1039</v>
      </c>
      <c r="D254" s="23" t="s">
        <v>948</v>
      </c>
      <c r="E254" s="23" t="s">
        <v>949</v>
      </c>
      <c r="F254" s="2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3" t="s">
        <v>1109</v>
      </c>
      <c r="B255" s="23" t="s">
        <v>116</v>
      </c>
      <c r="C255" s="23" t="s">
        <v>1110</v>
      </c>
      <c r="D255" s="23" t="s">
        <v>959</v>
      </c>
      <c r="E255" s="23" t="s">
        <v>949</v>
      </c>
      <c r="F255" s="2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3" t="s">
        <v>1111</v>
      </c>
      <c r="B256" s="23" t="s">
        <v>123</v>
      </c>
      <c r="C256" s="23" t="s">
        <v>1110</v>
      </c>
      <c r="D256" s="23" t="s">
        <v>959</v>
      </c>
      <c r="E256" s="23" t="s">
        <v>949</v>
      </c>
      <c r="F256" s="2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3" t="s">
        <v>1112</v>
      </c>
      <c r="B257" s="23" t="s">
        <v>131</v>
      </c>
      <c r="C257" s="23" t="s">
        <v>1110</v>
      </c>
      <c r="D257" s="23" t="s">
        <v>959</v>
      </c>
      <c r="E257" s="23" t="s">
        <v>949</v>
      </c>
      <c r="F257" s="2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3" t="s">
        <v>1113</v>
      </c>
      <c r="B258" s="23" t="s">
        <v>137</v>
      </c>
      <c r="C258" s="23" t="s">
        <v>1110</v>
      </c>
      <c r="D258" s="23" t="s">
        <v>959</v>
      </c>
      <c r="E258" s="23" t="s">
        <v>949</v>
      </c>
      <c r="F258" s="2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3" t="s">
        <v>1114</v>
      </c>
      <c r="B259" s="23" t="s">
        <v>144</v>
      </c>
      <c r="C259" s="23" t="s">
        <v>1110</v>
      </c>
      <c r="D259" s="23" t="s">
        <v>959</v>
      </c>
      <c r="E259" s="23" t="s">
        <v>949</v>
      </c>
      <c r="F259" s="2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3" t="s">
        <v>1115</v>
      </c>
      <c r="B260" s="23" t="s">
        <v>151</v>
      </c>
      <c r="C260" s="23" t="s">
        <v>1110</v>
      </c>
      <c r="D260" s="23" t="s">
        <v>959</v>
      </c>
      <c r="E260" s="23" t="s">
        <v>949</v>
      </c>
      <c r="F260" s="2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3" t="s">
        <v>1116</v>
      </c>
      <c r="B261" s="23" t="s">
        <v>734</v>
      </c>
      <c r="C261" s="23" t="s">
        <v>1110</v>
      </c>
      <c r="D261" s="23" t="s">
        <v>959</v>
      </c>
      <c r="E261" s="23" t="s">
        <v>949</v>
      </c>
      <c r="F261" s="2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3" t="s">
        <v>1117</v>
      </c>
      <c r="B262" s="23" t="s">
        <v>831</v>
      </c>
      <c r="C262" s="23" t="s">
        <v>1110</v>
      </c>
      <c r="D262" s="23" t="s">
        <v>959</v>
      </c>
      <c r="E262" s="23" t="s">
        <v>949</v>
      </c>
      <c r="F262" s="2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3" t="s">
        <v>1118</v>
      </c>
      <c r="B263" s="23" t="s">
        <v>833</v>
      </c>
      <c r="C263" s="23" t="s">
        <v>1110</v>
      </c>
      <c r="D263" s="23" t="s">
        <v>959</v>
      </c>
      <c r="E263" s="23" t="s">
        <v>949</v>
      </c>
      <c r="F263" s="2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3" t="s">
        <v>1119</v>
      </c>
      <c r="B264" s="23" t="s">
        <v>811</v>
      </c>
      <c r="C264" s="23" t="s">
        <v>1110</v>
      </c>
      <c r="D264" s="23" t="s">
        <v>959</v>
      </c>
      <c r="E264" s="23" t="s">
        <v>949</v>
      </c>
      <c r="F264" s="2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3" t="s">
        <v>1120</v>
      </c>
      <c r="B265" s="23" t="s">
        <v>838</v>
      </c>
      <c r="C265" s="23" t="s">
        <v>1110</v>
      </c>
      <c r="D265" s="23" t="s">
        <v>959</v>
      </c>
      <c r="E265" s="23" t="s">
        <v>949</v>
      </c>
      <c r="F265" s="2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3" t="s">
        <v>1121</v>
      </c>
      <c r="B266" s="23" t="s">
        <v>840</v>
      </c>
      <c r="C266" s="23" t="s">
        <v>1110</v>
      </c>
      <c r="D266" s="23" t="s">
        <v>959</v>
      </c>
      <c r="E266" s="23" t="s">
        <v>949</v>
      </c>
      <c r="F266" s="2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3" t="s">
        <v>1122</v>
      </c>
      <c r="B267" s="23" t="s">
        <v>842</v>
      </c>
      <c r="C267" s="23" t="s">
        <v>1110</v>
      </c>
      <c r="D267" s="23" t="s">
        <v>959</v>
      </c>
      <c r="E267" s="23" t="s">
        <v>949</v>
      </c>
      <c r="F267" s="2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3" t="s">
        <v>1123</v>
      </c>
      <c r="B268" s="23" t="s">
        <v>844</v>
      </c>
      <c r="C268" s="23" t="s">
        <v>1110</v>
      </c>
      <c r="D268" s="23" t="s">
        <v>959</v>
      </c>
      <c r="E268" s="23" t="s">
        <v>949</v>
      </c>
      <c r="F268" s="2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3" t="s">
        <v>1124</v>
      </c>
      <c r="B269" s="23" t="s">
        <v>846</v>
      </c>
      <c r="C269" s="23" t="s">
        <v>1110</v>
      </c>
      <c r="D269" s="23" t="s">
        <v>959</v>
      </c>
      <c r="E269" s="23" t="s">
        <v>949</v>
      </c>
      <c r="F269" s="2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3" t="s">
        <v>1125</v>
      </c>
      <c r="B270" s="23" t="s">
        <v>848</v>
      </c>
      <c r="C270" s="23" t="s">
        <v>1110</v>
      </c>
      <c r="D270" s="23" t="s">
        <v>959</v>
      </c>
      <c r="E270" s="23" t="s">
        <v>949</v>
      </c>
      <c r="F270" s="2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3" t="s">
        <v>1126</v>
      </c>
      <c r="B271" s="23" t="s">
        <v>850</v>
      </c>
      <c r="C271" s="23" t="s">
        <v>1110</v>
      </c>
      <c r="D271" s="23" t="s">
        <v>959</v>
      </c>
      <c r="E271" s="23" t="s">
        <v>949</v>
      </c>
      <c r="F271" s="2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3" t="s">
        <v>1127</v>
      </c>
      <c r="B272" s="23" t="s">
        <v>853</v>
      </c>
      <c r="C272" s="23" t="s">
        <v>1110</v>
      </c>
      <c r="D272" s="23" t="s">
        <v>959</v>
      </c>
      <c r="E272" s="23" t="s">
        <v>949</v>
      </c>
      <c r="F272" s="2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3" t="s">
        <v>1128</v>
      </c>
      <c r="B273" s="23" t="s">
        <v>855</v>
      </c>
      <c r="C273" s="23" t="s">
        <v>1110</v>
      </c>
      <c r="D273" s="23" t="s">
        <v>959</v>
      </c>
      <c r="E273" s="23" t="s">
        <v>949</v>
      </c>
      <c r="F273" s="2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3" t="s">
        <v>1129</v>
      </c>
      <c r="B274" s="23" t="s">
        <v>857</v>
      </c>
      <c r="C274" s="23" t="s">
        <v>1110</v>
      </c>
      <c r="D274" s="23" t="s">
        <v>959</v>
      </c>
      <c r="E274" s="23" t="s">
        <v>949</v>
      </c>
      <c r="F274" s="2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3" t="s">
        <v>1130</v>
      </c>
      <c r="B275" s="23" t="s">
        <v>860</v>
      </c>
      <c r="C275" s="23" t="s">
        <v>1110</v>
      </c>
      <c r="D275" s="23" t="s">
        <v>959</v>
      </c>
      <c r="E275" s="23" t="s">
        <v>949</v>
      </c>
      <c r="F275" s="2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3" t="s">
        <v>1131</v>
      </c>
      <c r="B276" s="23" t="s">
        <v>862</v>
      </c>
      <c r="C276" s="23" t="s">
        <v>1110</v>
      </c>
      <c r="D276" s="23" t="s">
        <v>959</v>
      </c>
      <c r="E276" s="23" t="s">
        <v>949</v>
      </c>
      <c r="F276" s="2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3" t="s">
        <v>1132</v>
      </c>
      <c r="B277" s="23" t="s">
        <v>865</v>
      </c>
      <c r="C277" s="23" t="s">
        <v>1110</v>
      </c>
      <c r="D277" s="23" t="s">
        <v>959</v>
      </c>
      <c r="E277" s="23" t="s">
        <v>949</v>
      </c>
      <c r="F277" s="2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3" t="s">
        <v>1133</v>
      </c>
      <c r="B278" s="23" t="s">
        <v>867</v>
      </c>
      <c r="C278" s="23" t="s">
        <v>1110</v>
      </c>
      <c r="D278" s="23" t="s">
        <v>959</v>
      </c>
      <c r="E278" s="23" t="s">
        <v>949</v>
      </c>
      <c r="F278" s="2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3" t="s">
        <v>1134</v>
      </c>
      <c r="B279" s="23" t="s">
        <v>869</v>
      </c>
      <c r="C279" s="23" t="s">
        <v>1110</v>
      </c>
      <c r="D279" s="23" t="s">
        <v>959</v>
      </c>
      <c r="E279" s="23" t="s">
        <v>949</v>
      </c>
      <c r="F279" s="2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3" t="s">
        <v>1135</v>
      </c>
      <c r="B280" s="23" t="s">
        <v>871</v>
      </c>
      <c r="C280" s="23" t="s">
        <v>1110</v>
      </c>
      <c r="D280" s="23" t="s">
        <v>959</v>
      </c>
      <c r="E280" s="23" t="s">
        <v>949</v>
      </c>
      <c r="F280" s="2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3" t="s">
        <v>1136</v>
      </c>
      <c r="B281" s="23" t="s">
        <v>876</v>
      </c>
      <c r="C281" s="23" t="s">
        <v>1110</v>
      </c>
      <c r="D281" s="23" t="s">
        <v>959</v>
      </c>
      <c r="E281" s="23" t="s">
        <v>949</v>
      </c>
      <c r="F281" s="2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3" t="s">
        <v>1137</v>
      </c>
      <c r="B282" s="23" t="s">
        <v>879</v>
      </c>
      <c r="C282" s="23" t="s">
        <v>1110</v>
      </c>
      <c r="D282" s="23" t="s">
        <v>959</v>
      </c>
      <c r="E282" s="23" t="s">
        <v>949</v>
      </c>
      <c r="F282" s="2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3" t="s">
        <v>1138</v>
      </c>
      <c r="B283" s="23" t="s">
        <v>881</v>
      </c>
      <c r="C283" s="23" t="s">
        <v>1110</v>
      </c>
      <c r="D283" s="23" t="s">
        <v>959</v>
      </c>
      <c r="E283" s="23" t="s">
        <v>949</v>
      </c>
      <c r="F283" s="2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3" t="s">
        <v>1139</v>
      </c>
      <c r="B284" s="23" t="s">
        <v>883</v>
      </c>
      <c r="C284" s="23" t="s">
        <v>1110</v>
      </c>
      <c r="D284" s="23" t="s">
        <v>959</v>
      </c>
      <c r="E284" s="23" t="s">
        <v>949</v>
      </c>
      <c r="F284" s="2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3" t="s">
        <v>1140</v>
      </c>
      <c r="B285" s="23" t="s">
        <v>885</v>
      </c>
      <c r="C285" s="23" t="s">
        <v>1110</v>
      </c>
      <c r="D285" s="23" t="s">
        <v>959</v>
      </c>
      <c r="E285" s="23" t="s">
        <v>949</v>
      </c>
      <c r="F285" s="2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3" t="s">
        <v>1141</v>
      </c>
      <c r="B286" s="23" t="s">
        <v>887</v>
      </c>
      <c r="C286" s="23" t="s">
        <v>1110</v>
      </c>
      <c r="D286" s="23" t="s">
        <v>959</v>
      </c>
      <c r="E286" s="23" t="s">
        <v>949</v>
      </c>
      <c r="F286" s="2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3" t="s">
        <v>1142</v>
      </c>
      <c r="B287" s="23" t="s">
        <v>892</v>
      </c>
      <c r="C287" s="23" t="s">
        <v>1110</v>
      </c>
      <c r="D287" s="23" t="s">
        <v>959</v>
      </c>
      <c r="E287" s="23" t="s">
        <v>949</v>
      </c>
      <c r="F287" s="2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3" t="s">
        <v>1143</v>
      </c>
      <c r="B288" s="23" t="s">
        <v>935</v>
      </c>
      <c r="C288" s="23" t="s">
        <v>1110</v>
      </c>
      <c r="D288" s="23" t="s">
        <v>959</v>
      </c>
      <c r="E288" s="23" t="s">
        <v>949</v>
      </c>
      <c r="F288" s="2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3" t="s">
        <v>1144</v>
      </c>
      <c r="B289" s="23" t="s">
        <v>895</v>
      </c>
      <c r="C289" s="23" t="s">
        <v>1110</v>
      </c>
      <c r="D289" s="23" t="s">
        <v>959</v>
      </c>
      <c r="E289" s="23" t="s">
        <v>949</v>
      </c>
      <c r="F289" s="2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3" t="s">
        <v>1145</v>
      </c>
      <c r="B290" s="23" t="s">
        <v>897</v>
      </c>
      <c r="C290" s="23" t="s">
        <v>1110</v>
      </c>
      <c r="D290" s="23" t="s">
        <v>959</v>
      </c>
      <c r="E290" s="23" t="s">
        <v>949</v>
      </c>
      <c r="F290" s="2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3" t="s">
        <v>1146</v>
      </c>
      <c r="B291" s="23" t="s">
        <v>889</v>
      </c>
      <c r="C291" s="23" t="s">
        <v>1110</v>
      </c>
      <c r="D291" s="23" t="s">
        <v>959</v>
      </c>
      <c r="E291" s="23" t="s">
        <v>949</v>
      </c>
      <c r="F291" s="2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3" t="s">
        <v>1147</v>
      </c>
      <c r="B292" s="23" t="s">
        <v>899</v>
      </c>
      <c r="C292" s="23" t="s">
        <v>1110</v>
      </c>
      <c r="D292" s="23" t="s">
        <v>959</v>
      </c>
      <c r="E292" s="23" t="s">
        <v>949</v>
      </c>
      <c r="F292" s="2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3" t="s">
        <v>1148</v>
      </c>
      <c r="B293" s="23" t="s">
        <v>901</v>
      </c>
      <c r="C293" s="23" t="s">
        <v>1110</v>
      </c>
      <c r="D293" s="23" t="s">
        <v>959</v>
      </c>
      <c r="E293" s="23" t="s">
        <v>949</v>
      </c>
      <c r="F293" s="2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3" t="s">
        <v>1149</v>
      </c>
      <c r="B294" s="23" t="s">
        <v>904</v>
      </c>
      <c r="C294" s="23" t="s">
        <v>1110</v>
      </c>
      <c r="D294" s="23" t="s">
        <v>959</v>
      </c>
      <c r="E294" s="23" t="s">
        <v>949</v>
      </c>
      <c r="F294" s="2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3" t="s">
        <v>1150</v>
      </c>
      <c r="B295" s="23" t="s">
        <v>906</v>
      </c>
      <c r="C295" s="23" t="s">
        <v>1110</v>
      </c>
      <c r="D295" s="23" t="s">
        <v>959</v>
      </c>
      <c r="E295" s="23" t="s">
        <v>949</v>
      </c>
      <c r="F295" s="2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3" t="s">
        <v>1151</v>
      </c>
      <c r="B296" s="23" t="s">
        <v>908</v>
      </c>
      <c r="C296" s="23" t="s">
        <v>1110</v>
      </c>
      <c r="D296" s="23" t="s">
        <v>959</v>
      </c>
      <c r="E296" s="23" t="s">
        <v>949</v>
      </c>
      <c r="F296" s="2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3" t="s">
        <v>1152</v>
      </c>
      <c r="B297" s="23" t="s">
        <v>936</v>
      </c>
      <c r="C297" s="23" t="s">
        <v>1110</v>
      </c>
      <c r="D297" s="23" t="s">
        <v>959</v>
      </c>
      <c r="E297" s="23" t="s">
        <v>949</v>
      </c>
      <c r="F297" s="2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3" t="s">
        <v>1153</v>
      </c>
      <c r="B298" s="23" t="s">
        <v>910</v>
      </c>
      <c r="C298" s="23" t="s">
        <v>1110</v>
      </c>
      <c r="D298" s="23" t="s">
        <v>959</v>
      </c>
      <c r="E298" s="23" t="s">
        <v>949</v>
      </c>
      <c r="F298" s="2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3" t="s">
        <v>1154</v>
      </c>
      <c r="B299" s="23" t="s">
        <v>937</v>
      </c>
      <c r="C299" s="23" t="s">
        <v>1110</v>
      </c>
      <c r="D299" s="23" t="s">
        <v>959</v>
      </c>
      <c r="E299" s="23" t="s">
        <v>949</v>
      </c>
      <c r="F299" s="2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3" t="s">
        <v>1155</v>
      </c>
      <c r="B300" s="23" t="s">
        <v>912</v>
      </c>
      <c r="C300" s="23" t="s">
        <v>1110</v>
      </c>
      <c r="D300" s="23" t="s">
        <v>959</v>
      </c>
      <c r="E300" s="23" t="s">
        <v>971</v>
      </c>
      <c r="F300" s="2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3" t="s">
        <v>1156</v>
      </c>
      <c r="B301" s="23" t="s">
        <v>938</v>
      </c>
      <c r="C301" s="23" t="s">
        <v>1110</v>
      </c>
      <c r="D301" s="23" t="s">
        <v>959</v>
      </c>
      <c r="E301" s="23" t="s">
        <v>949</v>
      </c>
      <c r="F301" s="2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3" t="s">
        <v>1157</v>
      </c>
      <c r="B302" s="23" t="s">
        <v>914</v>
      </c>
      <c r="C302" s="23" t="s">
        <v>1110</v>
      </c>
      <c r="D302" s="23" t="s">
        <v>959</v>
      </c>
      <c r="E302" s="23" t="s">
        <v>949</v>
      </c>
      <c r="F302" s="2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3" t="s">
        <v>1158</v>
      </c>
      <c r="B303" s="23" t="s">
        <v>939</v>
      </c>
      <c r="C303" s="23" t="s">
        <v>1110</v>
      </c>
      <c r="D303" s="23" t="s">
        <v>959</v>
      </c>
      <c r="E303" s="23" t="s">
        <v>949</v>
      </c>
      <c r="F303" s="2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3" t="s">
        <v>1159</v>
      </c>
      <c r="B304" s="23" t="s">
        <v>953</v>
      </c>
      <c r="C304" s="23" t="s">
        <v>1110</v>
      </c>
      <c r="D304" s="23" t="s">
        <v>959</v>
      </c>
      <c r="E304" s="23" t="s">
        <v>949</v>
      </c>
      <c r="F304" s="2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3" t="s">
        <v>1160</v>
      </c>
      <c r="B305" s="23" t="s">
        <v>917</v>
      </c>
      <c r="C305" s="23" t="s">
        <v>1110</v>
      </c>
      <c r="D305" s="23" t="s">
        <v>959</v>
      </c>
      <c r="E305" s="23" t="s">
        <v>949</v>
      </c>
      <c r="F305" s="2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3" t="s">
        <v>1161</v>
      </c>
      <c r="B306" s="23" t="s">
        <v>873</v>
      </c>
      <c r="C306" s="23" t="s">
        <v>1110</v>
      </c>
      <c r="D306" s="23" t="s">
        <v>959</v>
      </c>
      <c r="E306" s="23" t="s">
        <v>949</v>
      </c>
      <c r="F306" s="2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3" t="s">
        <v>1162</v>
      </c>
      <c r="B307" s="23" t="s">
        <v>920</v>
      </c>
      <c r="C307" s="23" t="s">
        <v>1110</v>
      </c>
      <c r="D307" s="23" t="s">
        <v>959</v>
      </c>
      <c r="E307" s="23" t="s">
        <v>949</v>
      </c>
      <c r="F307" s="2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3" t="s">
        <v>1163</v>
      </c>
      <c r="B308" s="23" t="s">
        <v>923</v>
      </c>
      <c r="C308" s="23" t="s">
        <v>1110</v>
      </c>
      <c r="D308" s="23" t="s">
        <v>959</v>
      </c>
      <c r="E308" s="23" t="s">
        <v>949</v>
      </c>
      <c r="F308" s="2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3" t="s">
        <v>1164</v>
      </c>
      <c r="B309" s="23" t="s">
        <v>956</v>
      </c>
      <c r="C309" s="23" t="s">
        <v>1110</v>
      </c>
      <c r="D309" s="23" t="s">
        <v>959</v>
      </c>
      <c r="E309" s="23" t="s">
        <v>949</v>
      </c>
      <c r="F309" s="2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3" t="s">
        <v>1165</v>
      </c>
      <c r="B310" s="23" t="s">
        <v>926</v>
      </c>
      <c r="C310" s="23" t="s">
        <v>1110</v>
      </c>
      <c r="D310" s="23" t="s">
        <v>959</v>
      </c>
      <c r="E310" s="23" t="s">
        <v>949</v>
      </c>
      <c r="F310" s="2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3" t="s">
        <v>1166</v>
      </c>
      <c r="B311" s="23" t="s">
        <v>957</v>
      </c>
      <c r="C311" s="23" t="s">
        <v>1110</v>
      </c>
      <c r="D311" s="23" t="s">
        <v>959</v>
      </c>
      <c r="E311" s="23" t="s">
        <v>949</v>
      </c>
      <c r="F311" s="2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3" t="s">
        <v>1167</v>
      </c>
      <c r="B312" s="23" t="s">
        <v>929</v>
      </c>
      <c r="C312" s="23" t="s">
        <v>1110</v>
      </c>
      <c r="D312" s="23" t="s">
        <v>959</v>
      </c>
      <c r="E312" s="23" t="s">
        <v>949</v>
      </c>
      <c r="F312" s="2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3" t="s">
        <v>1168</v>
      </c>
      <c r="B313" s="23" t="s">
        <v>932</v>
      </c>
      <c r="C313" s="23" t="s">
        <v>1110</v>
      </c>
      <c r="D313" s="23" t="s">
        <v>959</v>
      </c>
      <c r="E313" s="23" t="s">
        <v>949</v>
      </c>
      <c r="F313" s="2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3" t="s">
        <v>1169</v>
      </c>
      <c r="B314" s="23" t="s">
        <v>934</v>
      </c>
      <c r="C314" s="23" t="s">
        <v>1110</v>
      </c>
      <c r="D314" s="23" t="s">
        <v>959</v>
      </c>
      <c r="E314" s="23" t="s">
        <v>949</v>
      </c>
      <c r="F314" s="2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3" t="s">
        <v>1170</v>
      </c>
      <c r="B315" s="23" t="s">
        <v>942</v>
      </c>
      <c r="C315" s="23" t="s">
        <v>1110</v>
      </c>
      <c r="D315" s="23" t="s">
        <v>959</v>
      </c>
      <c r="E315" s="23" t="s">
        <v>971</v>
      </c>
      <c r="F315" s="2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hidden="1" customHeight="1">
      <c r="A316" s="23" t="s">
        <v>1171</v>
      </c>
      <c r="B316" s="23" t="s">
        <v>116</v>
      </c>
      <c r="C316" s="23" t="s">
        <v>1172</v>
      </c>
      <c r="D316" s="23" t="s">
        <v>959</v>
      </c>
      <c r="E316" s="23" t="s">
        <v>949</v>
      </c>
      <c r="F316" s="2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hidden="1" customHeight="1">
      <c r="A317" s="23" t="s">
        <v>1173</v>
      </c>
      <c r="B317" s="23" t="s">
        <v>123</v>
      </c>
      <c r="C317" s="23" t="s">
        <v>1172</v>
      </c>
      <c r="D317" s="23" t="s">
        <v>959</v>
      </c>
      <c r="E317" s="23" t="s">
        <v>949</v>
      </c>
      <c r="F317" s="2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hidden="1" customHeight="1">
      <c r="A318" s="23" t="s">
        <v>1174</v>
      </c>
      <c r="B318" s="23" t="s">
        <v>131</v>
      </c>
      <c r="C318" s="23" t="s">
        <v>1172</v>
      </c>
      <c r="D318" s="23" t="s">
        <v>959</v>
      </c>
      <c r="E318" s="23" t="s">
        <v>949</v>
      </c>
      <c r="F318" s="2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hidden="1" customHeight="1">
      <c r="A319" s="23" t="s">
        <v>1175</v>
      </c>
      <c r="B319" s="23" t="s">
        <v>137</v>
      </c>
      <c r="C319" s="23" t="s">
        <v>1172</v>
      </c>
      <c r="D319" s="23" t="s">
        <v>959</v>
      </c>
      <c r="E319" s="23" t="s">
        <v>949</v>
      </c>
      <c r="F319" s="2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hidden="1" customHeight="1">
      <c r="A320" s="23" t="s">
        <v>1176</v>
      </c>
      <c r="B320" s="23" t="s">
        <v>144</v>
      </c>
      <c r="C320" s="23" t="s">
        <v>1172</v>
      </c>
      <c r="D320" s="23" t="s">
        <v>959</v>
      </c>
      <c r="E320" s="23" t="s">
        <v>949</v>
      </c>
      <c r="F320" s="2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hidden="1" customHeight="1">
      <c r="A321" s="23" t="s">
        <v>1177</v>
      </c>
      <c r="B321" s="23" t="s">
        <v>151</v>
      </c>
      <c r="C321" s="23" t="s">
        <v>1172</v>
      </c>
      <c r="D321" s="23" t="s">
        <v>959</v>
      </c>
      <c r="E321" s="23" t="s">
        <v>949</v>
      </c>
      <c r="F321" s="2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hidden="1" customHeight="1">
      <c r="A322" s="23" t="s">
        <v>1178</v>
      </c>
      <c r="B322" s="23" t="s">
        <v>734</v>
      </c>
      <c r="C322" s="23" t="s">
        <v>1172</v>
      </c>
      <c r="D322" s="23" t="s">
        <v>959</v>
      </c>
      <c r="E322" s="23" t="s">
        <v>949</v>
      </c>
      <c r="F322" s="2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hidden="1" customHeight="1">
      <c r="A323" s="23" t="s">
        <v>1179</v>
      </c>
      <c r="B323" s="23" t="s">
        <v>831</v>
      </c>
      <c r="C323" s="23" t="s">
        <v>1172</v>
      </c>
      <c r="D323" s="23" t="s">
        <v>959</v>
      </c>
      <c r="E323" s="23" t="s">
        <v>949</v>
      </c>
      <c r="F323" s="2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hidden="1" customHeight="1">
      <c r="A324" s="23" t="s">
        <v>1180</v>
      </c>
      <c r="B324" s="23" t="s">
        <v>833</v>
      </c>
      <c r="C324" s="23" t="s">
        <v>1172</v>
      </c>
      <c r="D324" s="23" t="s">
        <v>959</v>
      </c>
      <c r="E324" s="23" t="s">
        <v>949</v>
      </c>
      <c r="F324" s="2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hidden="1" customHeight="1">
      <c r="A325" s="23" t="s">
        <v>1181</v>
      </c>
      <c r="B325" s="23" t="s">
        <v>811</v>
      </c>
      <c r="C325" s="23" t="s">
        <v>1172</v>
      </c>
      <c r="D325" s="23" t="s">
        <v>959</v>
      </c>
      <c r="E325" s="23" t="s">
        <v>949</v>
      </c>
      <c r="F325" s="2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hidden="1" customHeight="1">
      <c r="A326" s="23" t="s">
        <v>1182</v>
      </c>
      <c r="B326" s="23" t="s">
        <v>838</v>
      </c>
      <c r="C326" s="23" t="s">
        <v>1172</v>
      </c>
      <c r="D326" s="23" t="s">
        <v>959</v>
      </c>
      <c r="E326" s="23" t="s">
        <v>949</v>
      </c>
      <c r="F326" s="2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hidden="1" customHeight="1">
      <c r="A327" s="23" t="s">
        <v>1183</v>
      </c>
      <c r="B327" s="23" t="s">
        <v>840</v>
      </c>
      <c r="C327" s="23" t="s">
        <v>1172</v>
      </c>
      <c r="D327" s="23" t="s">
        <v>959</v>
      </c>
      <c r="E327" s="23" t="s">
        <v>949</v>
      </c>
      <c r="F327" s="2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hidden="1" customHeight="1">
      <c r="A328" s="23" t="s">
        <v>1184</v>
      </c>
      <c r="B328" s="23" t="s">
        <v>842</v>
      </c>
      <c r="C328" s="23" t="s">
        <v>1172</v>
      </c>
      <c r="D328" s="23" t="s">
        <v>959</v>
      </c>
      <c r="E328" s="23" t="s">
        <v>949</v>
      </c>
      <c r="F328" s="2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hidden="1" customHeight="1">
      <c r="A329" s="23" t="s">
        <v>1185</v>
      </c>
      <c r="B329" s="23" t="s">
        <v>844</v>
      </c>
      <c r="C329" s="23" t="s">
        <v>1172</v>
      </c>
      <c r="D329" s="23" t="s">
        <v>959</v>
      </c>
      <c r="E329" s="23" t="s">
        <v>949</v>
      </c>
      <c r="F329" s="2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hidden="1" customHeight="1">
      <c r="A330" s="23" t="s">
        <v>1186</v>
      </c>
      <c r="B330" s="23" t="s">
        <v>846</v>
      </c>
      <c r="C330" s="23" t="s">
        <v>1172</v>
      </c>
      <c r="D330" s="23" t="s">
        <v>959</v>
      </c>
      <c r="E330" s="23" t="s">
        <v>949</v>
      </c>
      <c r="F330" s="2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hidden="1" customHeight="1">
      <c r="A331" s="23" t="s">
        <v>1187</v>
      </c>
      <c r="B331" s="23" t="s">
        <v>848</v>
      </c>
      <c r="C331" s="23" t="s">
        <v>1172</v>
      </c>
      <c r="D331" s="23" t="s">
        <v>959</v>
      </c>
      <c r="E331" s="23" t="s">
        <v>949</v>
      </c>
      <c r="F331" s="2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hidden="1" customHeight="1">
      <c r="A332" s="23" t="s">
        <v>1188</v>
      </c>
      <c r="B332" s="23" t="s">
        <v>850</v>
      </c>
      <c r="C332" s="23" t="s">
        <v>1172</v>
      </c>
      <c r="D332" s="23" t="s">
        <v>959</v>
      </c>
      <c r="E332" s="23" t="s">
        <v>949</v>
      </c>
      <c r="F332" s="2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hidden="1" customHeight="1">
      <c r="A333" s="23" t="s">
        <v>1189</v>
      </c>
      <c r="B333" s="23" t="s">
        <v>853</v>
      </c>
      <c r="C333" s="23" t="s">
        <v>1172</v>
      </c>
      <c r="D333" s="23" t="s">
        <v>959</v>
      </c>
      <c r="E333" s="23" t="s">
        <v>949</v>
      </c>
      <c r="F333" s="2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hidden="1" customHeight="1">
      <c r="A334" s="23" t="s">
        <v>1190</v>
      </c>
      <c r="B334" s="23" t="s">
        <v>855</v>
      </c>
      <c r="C334" s="23" t="s">
        <v>1172</v>
      </c>
      <c r="D334" s="23" t="s">
        <v>959</v>
      </c>
      <c r="E334" s="23" t="s">
        <v>949</v>
      </c>
      <c r="F334" s="2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hidden="1" customHeight="1">
      <c r="A335" s="23" t="s">
        <v>1191</v>
      </c>
      <c r="B335" s="23" t="s">
        <v>857</v>
      </c>
      <c r="C335" s="23" t="s">
        <v>1172</v>
      </c>
      <c r="D335" s="23" t="s">
        <v>959</v>
      </c>
      <c r="E335" s="23" t="s">
        <v>949</v>
      </c>
      <c r="F335" s="2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hidden="1" customHeight="1">
      <c r="A336" s="23" t="s">
        <v>1192</v>
      </c>
      <c r="B336" s="23" t="s">
        <v>860</v>
      </c>
      <c r="C336" s="23" t="s">
        <v>1172</v>
      </c>
      <c r="D336" s="23" t="s">
        <v>959</v>
      </c>
      <c r="E336" s="23" t="s">
        <v>949</v>
      </c>
      <c r="F336" s="2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hidden="1" customHeight="1">
      <c r="A337" s="23" t="s">
        <v>1193</v>
      </c>
      <c r="B337" s="23" t="s">
        <v>862</v>
      </c>
      <c r="C337" s="23" t="s">
        <v>1172</v>
      </c>
      <c r="D337" s="23" t="s">
        <v>959</v>
      </c>
      <c r="E337" s="23" t="s">
        <v>949</v>
      </c>
      <c r="F337" s="2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hidden="1" customHeight="1">
      <c r="A338" s="23" t="s">
        <v>1194</v>
      </c>
      <c r="B338" s="23" t="s">
        <v>865</v>
      </c>
      <c r="C338" s="23" t="s">
        <v>1172</v>
      </c>
      <c r="D338" s="23" t="s">
        <v>959</v>
      </c>
      <c r="E338" s="23" t="s">
        <v>949</v>
      </c>
      <c r="F338" s="2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hidden="1" customHeight="1">
      <c r="A339" s="23" t="s">
        <v>1195</v>
      </c>
      <c r="B339" s="23" t="s">
        <v>867</v>
      </c>
      <c r="C339" s="23" t="s">
        <v>1172</v>
      </c>
      <c r="D339" s="23" t="s">
        <v>959</v>
      </c>
      <c r="E339" s="23" t="s">
        <v>949</v>
      </c>
      <c r="F339" s="2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hidden="1" customHeight="1">
      <c r="A340" s="23" t="s">
        <v>1196</v>
      </c>
      <c r="B340" s="23" t="s">
        <v>869</v>
      </c>
      <c r="C340" s="23" t="s">
        <v>1172</v>
      </c>
      <c r="D340" s="23" t="s">
        <v>959</v>
      </c>
      <c r="E340" s="23" t="s">
        <v>949</v>
      </c>
      <c r="F340" s="2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hidden="1" customHeight="1">
      <c r="A341" s="23" t="s">
        <v>1197</v>
      </c>
      <c r="B341" s="23" t="s">
        <v>871</v>
      </c>
      <c r="C341" s="23" t="s">
        <v>1172</v>
      </c>
      <c r="D341" s="23" t="s">
        <v>959</v>
      </c>
      <c r="E341" s="23" t="s">
        <v>949</v>
      </c>
      <c r="F341" s="2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hidden="1" customHeight="1">
      <c r="A342" s="23" t="s">
        <v>1198</v>
      </c>
      <c r="B342" s="23" t="s">
        <v>876</v>
      </c>
      <c r="C342" s="23" t="s">
        <v>1172</v>
      </c>
      <c r="D342" s="23" t="s">
        <v>959</v>
      </c>
      <c r="E342" s="23" t="s">
        <v>949</v>
      </c>
      <c r="F342" s="2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hidden="1" customHeight="1">
      <c r="A343" s="23" t="s">
        <v>1199</v>
      </c>
      <c r="B343" s="23" t="s">
        <v>879</v>
      </c>
      <c r="C343" s="23" t="s">
        <v>1172</v>
      </c>
      <c r="D343" s="23" t="s">
        <v>959</v>
      </c>
      <c r="E343" s="23" t="s">
        <v>949</v>
      </c>
      <c r="F343" s="2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hidden="1" customHeight="1">
      <c r="A344" s="23" t="s">
        <v>1200</v>
      </c>
      <c r="B344" s="23" t="s">
        <v>881</v>
      </c>
      <c r="C344" s="23" t="s">
        <v>1172</v>
      </c>
      <c r="D344" s="23" t="s">
        <v>959</v>
      </c>
      <c r="E344" s="23" t="s">
        <v>949</v>
      </c>
      <c r="F344" s="2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hidden="1" customHeight="1">
      <c r="A345" s="23" t="s">
        <v>1201</v>
      </c>
      <c r="B345" s="23" t="s">
        <v>883</v>
      </c>
      <c r="C345" s="23" t="s">
        <v>1172</v>
      </c>
      <c r="D345" s="23" t="s">
        <v>959</v>
      </c>
      <c r="E345" s="23" t="s">
        <v>949</v>
      </c>
      <c r="F345" s="2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hidden="1" customHeight="1">
      <c r="A346" s="23" t="s">
        <v>1202</v>
      </c>
      <c r="B346" s="23" t="s">
        <v>885</v>
      </c>
      <c r="C346" s="23" t="s">
        <v>1172</v>
      </c>
      <c r="D346" s="23" t="s">
        <v>959</v>
      </c>
      <c r="E346" s="23" t="s">
        <v>949</v>
      </c>
      <c r="F346" s="2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hidden="1" customHeight="1">
      <c r="A347" s="23" t="s">
        <v>1203</v>
      </c>
      <c r="B347" s="23" t="s">
        <v>887</v>
      </c>
      <c r="C347" s="23" t="s">
        <v>1172</v>
      </c>
      <c r="D347" s="23" t="s">
        <v>959</v>
      </c>
      <c r="E347" s="23" t="s">
        <v>949</v>
      </c>
      <c r="F347" s="2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hidden="1" customHeight="1">
      <c r="A348" s="23" t="s">
        <v>1204</v>
      </c>
      <c r="B348" s="23" t="s">
        <v>892</v>
      </c>
      <c r="C348" s="23" t="s">
        <v>1172</v>
      </c>
      <c r="D348" s="23" t="s">
        <v>959</v>
      </c>
      <c r="E348" s="23" t="s">
        <v>949</v>
      </c>
      <c r="F348" s="2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hidden="1" customHeight="1">
      <c r="A349" s="23" t="s">
        <v>1205</v>
      </c>
      <c r="B349" s="23" t="s">
        <v>935</v>
      </c>
      <c r="C349" s="23" t="s">
        <v>1172</v>
      </c>
      <c r="D349" s="23" t="s">
        <v>959</v>
      </c>
      <c r="E349" s="23" t="s">
        <v>949</v>
      </c>
      <c r="F349" s="2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hidden="1" customHeight="1">
      <c r="A350" s="23" t="s">
        <v>1206</v>
      </c>
      <c r="B350" s="23" t="s">
        <v>895</v>
      </c>
      <c r="C350" s="23" t="s">
        <v>1172</v>
      </c>
      <c r="D350" s="23" t="s">
        <v>959</v>
      </c>
      <c r="E350" s="23" t="s">
        <v>949</v>
      </c>
      <c r="F350" s="2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hidden="1" customHeight="1">
      <c r="A351" s="23" t="s">
        <v>1207</v>
      </c>
      <c r="B351" s="23" t="s">
        <v>897</v>
      </c>
      <c r="C351" s="23" t="s">
        <v>1172</v>
      </c>
      <c r="D351" s="23" t="s">
        <v>959</v>
      </c>
      <c r="E351" s="23" t="s">
        <v>949</v>
      </c>
      <c r="F351" s="2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hidden="1" customHeight="1">
      <c r="A352" s="23" t="s">
        <v>1208</v>
      </c>
      <c r="B352" s="23" t="s">
        <v>889</v>
      </c>
      <c r="C352" s="23" t="s">
        <v>1172</v>
      </c>
      <c r="D352" s="23" t="s">
        <v>959</v>
      </c>
      <c r="E352" s="23" t="s">
        <v>949</v>
      </c>
      <c r="F352" s="2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hidden="1" customHeight="1">
      <c r="A353" s="23" t="s">
        <v>1209</v>
      </c>
      <c r="B353" s="23" t="s">
        <v>899</v>
      </c>
      <c r="C353" s="23" t="s">
        <v>1172</v>
      </c>
      <c r="D353" s="23" t="s">
        <v>959</v>
      </c>
      <c r="E353" s="23" t="s">
        <v>949</v>
      </c>
      <c r="F353" s="2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hidden="1" customHeight="1">
      <c r="A354" s="23" t="s">
        <v>1210</v>
      </c>
      <c r="B354" s="23" t="s">
        <v>901</v>
      </c>
      <c r="C354" s="23" t="s">
        <v>1172</v>
      </c>
      <c r="D354" s="23" t="s">
        <v>959</v>
      </c>
      <c r="E354" s="23" t="s">
        <v>949</v>
      </c>
      <c r="F354" s="2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hidden="1" customHeight="1">
      <c r="A355" s="23" t="s">
        <v>1211</v>
      </c>
      <c r="B355" s="23" t="s">
        <v>904</v>
      </c>
      <c r="C355" s="23" t="s">
        <v>1172</v>
      </c>
      <c r="D355" s="23" t="s">
        <v>959</v>
      </c>
      <c r="E355" s="23" t="s">
        <v>949</v>
      </c>
      <c r="F355" s="2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hidden="1" customHeight="1">
      <c r="A356" s="23" t="s">
        <v>1212</v>
      </c>
      <c r="B356" s="23" t="s">
        <v>906</v>
      </c>
      <c r="C356" s="23" t="s">
        <v>1172</v>
      </c>
      <c r="D356" s="23" t="s">
        <v>959</v>
      </c>
      <c r="E356" s="23" t="s">
        <v>949</v>
      </c>
      <c r="F356" s="2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hidden="1" customHeight="1">
      <c r="A357" s="23" t="s">
        <v>1213</v>
      </c>
      <c r="B357" s="23" t="s">
        <v>908</v>
      </c>
      <c r="C357" s="23" t="s">
        <v>1172</v>
      </c>
      <c r="D357" s="23" t="s">
        <v>959</v>
      </c>
      <c r="E357" s="23" t="s">
        <v>949</v>
      </c>
      <c r="F357" s="2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hidden="1" customHeight="1">
      <c r="A358" s="23" t="s">
        <v>1214</v>
      </c>
      <c r="B358" s="23" t="s">
        <v>936</v>
      </c>
      <c r="C358" s="23" t="s">
        <v>1172</v>
      </c>
      <c r="D358" s="23" t="s">
        <v>959</v>
      </c>
      <c r="E358" s="23" t="s">
        <v>949</v>
      </c>
      <c r="F358" s="2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hidden="1" customHeight="1">
      <c r="A359" s="23" t="s">
        <v>1215</v>
      </c>
      <c r="B359" s="23" t="s">
        <v>910</v>
      </c>
      <c r="C359" s="23" t="s">
        <v>1172</v>
      </c>
      <c r="D359" s="23" t="s">
        <v>959</v>
      </c>
      <c r="E359" s="23" t="s">
        <v>949</v>
      </c>
      <c r="F359" s="2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hidden="1" customHeight="1">
      <c r="A360" s="23" t="s">
        <v>1216</v>
      </c>
      <c r="B360" s="23" t="s">
        <v>937</v>
      </c>
      <c r="C360" s="23" t="s">
        <v>1172</v>
      </c>
      <c r="D360" s="23" t="s">
        <v>959</v>
      </c>
      <c r="E360" s="23" t="s">
        <v>949</v>
      </c>
      <c r="F360" s="2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hidden="1" customHeight="1">
      <c r="A361" s="23" t="s">
        <v>1217</v>
      </c>
      <c r="B361" s="23" t="s">
        <v>912</v>
      </c>
      <c r="C361" s="23" t="s">
        <v>1172</v>
      </c>
      <c r="D361" s="23" t="s">
        <v>959</v>
      </c>
      <c r="E361" s="23" t="s">
        <v>949</v>
      </c>
      <c r="F361" s="2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hidden="1" customHeight="1">
      <c r="A362" s="23" t="s">
        <v>1218</v>
      </c>
      <c r="B362" s="23" t="s">
        <v>938</v>
      </c>
      <c r="C362" s="23" t="s">
        <v>1172</v>
      </c>
      <c r="D362" s="23" t="s">
        <v>959</v>
      </c>
      <c r="E362" s="23" t="s">
        <v>949</v>
      </c>
      <c r="F362" s="2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hidden="1" customHeight="1">
      <c r="A363" s="23" t="s">
        <v>1219</v>
      </c>
      <c r="B363" s="23" t="s">
        <v>914</v>
      </c>
      <c r="C363" s="23" t="s">
        <v>1172</v>
      </c>
      <c r="D363" s="23" t="s">
        <v>959</v>
      </c>
      <c r="E363" s="23" t="s">
        <v>949</v>
      </c>
      <c r="F363" s="2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hidden="1" customHeight="1">
      <c r="A364" s="23" t="s">
        <v>1220</v>
      </c>
      <c r="B364" s="23" t="s">
        <v>939</v>
      </c>
      <c r="C364" s="23" t="s">
        <v>1172</v>
      </c>
      <c r="D364" s="23" t="s">
        <v>959</v>
      </c>
      <c r="E364" s="23" t="s">
        <v>949</v>
      </c>
      <c r="F364" s="2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hidden="1" customHeight="1">
      <c r="A365" s="23" t="s">
        <v>1221</v>
      </c>
      <c r="B365" s="23" t="s">
        <v>953</v>
      </c>
      <c r="C365" s="23" t="s">
        <v>1172</v>
      </c>
      <c r="D365" s="23" t="s">
        <v>959</v>
      </c>
      <c r="E365" s="23" t="s">
        <v>949</v>
      </c>
      <c r="F365" s="2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hidden="1" customHeight="1">
      <c r="A366" s="23" t="s">
        <v>1222</v>
      </c>
      <c r="B366" s="23" t="s">
        <v>917</v>
      </c>
      <c r="C366" s="23" t="s">
        <v>1172</v>
      </c>
      <c r="D366" s="23" t="s">
        <v>959</v>
      </c>
      <c r="E366" s="23" t="s">
        <v>949</v>
      </c>
      <c r="F366" s="2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hidden="1" customHeight="1">
      <c r="A367" s="23" t="s">
        <v>1223</v>
      </c>
      <c r="B367" s="23" t="s">
        <v>873</v>
      </c>
      <c r="C367" s="23" t="s">
        <v>1172</v>
      </c>
      <c r="D367" s="23" t="s">
        <v>959</v>
      </c>
      <c r="E367" s="23" t="s">
        <v>949</v>
      </c>
      <c r="F367" s="2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hidden="1" customHeight="1">
      <c r="A368" s="23" t="s">
        <v>1224</v>
      </c>
      <c r="B368" s="23" t="s">
        <v>920</v>
      </c>
      <c r="C368" s="23" t="s">
        <v>1172</v>
      </c>
      <c r="D368" s="23" t="s">
        <v>959</v>
      </c>
      <c r="E368" s="23" t="s">
        <v>949</v>
      </c>
      <c r="F368" s="2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hidden="1" customHeight="1">
      <c r="A369" s="23" t="s">
        <v>1225</v>
      </c>
      <c r="B369" s="23" t="s">
        <v>923</v>
      </c>
      <c r="C369" s="23" t="s">
        <v>1172</v>
      </c>
      <c r="D369" s="23" t="s">
        <v>959</v>
      </c>
      <c r="E369" s="23" t="s">
        <v>949</v>
      </c>
      <c r="F369" s="2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hidden="1" customHeight="1">
      <c r="A370" s="23" t="s">
        <v>1226</v>
      </c>
      <c r="B370" s="23" t="s">
        <v>956</v>
      </c>
      <c r="C370" s="23" t="s">
        <v>1172</v>
      </c>
      <c r="D370" s="23" t="s">
        <v>959</v>
      </c>
      <c r="E370" s="23" t="s">
        <v>971</v>
      </c>
      <c r="F370" s="2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hidden="1" customHeight="1">
      <c r="A371" s="23" t="s">
        <v>1227</v>
      </c>
      <c r="B371" s="23" t="s">
        <v>926</v>
      </c>
      <c r="C371" s="23" t="s">
        <v>1172</v>
      </c>
      <c r="D371" s="23" t="s">
        <v>959</v>
      </c>
      <c r="E371" s="23" t="s">
        <v>949</v>
      </c>
      <c r="F371" s="2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hidden="1" customHeight="1">
      <c r="A372" s="23" t="s">
        <v>1228</v>
      </c>
      <c r="B372" s="23" t="s">
        <v>957</v>
      </c>
      <c r="C372" s="23" t="s">
        <v>1172</v>
      </c>
      <c r="D372" s="23" t="s">
        <v>959</v>
      </c>
      <c r="E372" s="23" t="s">
        <v>971</v>
      </c>
      <c r="F372" s="2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hidden="1" customHeight="1">
      <c r="A373" s="23" t="s">
        <v>1229</v>
      </c>
      <c r="B373" s="23" t="s">
        <v>929</v>
      </c>
      <c r="C373" s="23" t="s">
        <v>1172</v>
      </c>
      <c r="D373" s="23" t="s">
        <v>959</v>
      </c>
      <c r="E373" s="23" t="s">
        <v>949</v>
      </c>
      <c r="F373" s="2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hidden="1" customHeight="1">
      <c r="A374" s="23" t="s">
        <v>1230</v>
      </c>
      <c r="B374" s="23" t="s">
        <v>932</v>
      </c>
      <c r="C374" s="23" t="s">
        <v>1172</v>
      </c>
      <c r="D374" s="23" t="s">
        <v>959</v>
      </c>
      <c r="E374" s="23" t="s">
        <v>949</v>
      </c>
      <c r="F374" s="2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hidden="1" customHeight="1">
      <c r="A375" s="23" t="s">
        <v>1231</v>
      </c>
      <c r="B375" s="23" t="s">
        <v>934</v>
      </c>
      <c r="C375" s="23" t="s">
        <v>1172</v>
      </c>
      <c r="D375" s="23" t="s">
        <v>959</v>
      </c>
      <c r="E375" s="23" t="s">
        <v>949</v>
      </c>
      <c r="F375" s="2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hidden="1" customHeight="1">
      <c r="A376" s="23" t="s">
        <v>1232</v>
      </c>
      <c r="B376" s="23" t="s">
        <v>942</v>
      </c>
      <c r="C376" s="23" t="s">
        <v>1172</v>
      </c>
      <c r="D376" s="23" t="s">
        <v>959</v>
      </c>
      <c r="E376" s="23" t="s">
        <v>971</v>
      </c>
      <c r="F376" s="2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3" t="s">
        <v>1233</v>
      </c>
      <c r="B377" s="23" t="s">
        <v>116</v>
      </c>
      <c r="C377" s="23" t="s">
        <v>1234</v>
      </c>
      <c r="D377" s="23" t="s">
        <v>959</v>
      </c>
      <c r="E377" s="23" t="s">
        <v>949</v>
      </c>
      <c r="F377" s="2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3" t="s">
        <v>1235</v>
      </c>
      <c r="B378" s="23" t="s">
        <v>123</v>
      </c>
      <c r="C378" s="23" t="s">
        <v>1234</v>
      </c>
      <c r="D378" s="23" t="s">
        <v>959</v>
      </c>
      <c r="E378" s="23" t="s">
        <v>949</v>
      </c>
      <c r="F378" s="2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3" t="s">
        <v>1236</v>
      </c>
      <c r="B379" s="23" t="s">
        <v>131</v>
      </c>
      <c r="C379" s="23" t="s">
        <v>1234</v>
      </c>
      <c r="D379" s="23" t="s">
        <v>959</v>
      </c>
      <c r="E379" s="23" t="s">
        <v>949</v>
      </c>
      <c r="F379" s="2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3" t="s">
        <v>1237</v>
      </c>
      <c r="B380" s="23" t="s">
        <v>137</v>
      </c>
      <c r="C380" s="23" t="s">
        <v>1234</v>
      </c>
      <c r="D380" s="23" t="s">
        <v>959</v>
      </c>
      <c r="E380" s="23" t="s">
        <v>949</v>
      </c>
      <c r="F380" s="2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3" t="s">
        <v>1238</v>
      </c>
      <c r="B381" s="23" t="s">
        <v>144</v>
      </c>
      <c r="C381" s="23" t="s">
        <v>1234</v>
      </c>
      <c r="D381" s="23" t="s">
        <v>959</v>
      </c>
      <c r="E381" s="23" t="s">
        <v>949</v>
      </c>
      <c r="F381" s="2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3" t="s">
        <v>1239</v>
      </c>
      <c r="B382" s="23" t="s">
        <v>151</v>
      </c>
      <c r="C382" s="23" t="s">
        <v>1234</v>
      </c>
      <c r="D382" s="23" t="s">
        <v>959</v>
      </c>
      <c r="E382" s="23" t="s">
        <v>949</v>
      </c>
      <c r="F382" s="2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3" t="s">
        <v>1240</v>
      </c>
      <c r="B383" s="23" t="s">
        <v>734</v>
      </c>
      <c r="C383" s="23" t="s">
        <v>1234</v>
      </c>
      <c r="D383" s="23" t="s">
        <v>959</v>
      </c>
      <c r="E383" s="23" t="s">
        <v>949</v>
      </c>
      <c r="F383" s="2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3" t="s">
        <v>1241</v>
      </c>
      <c r="B384" s="23" t="s">
        <v>831</v>
      </c>
      <c r="C384" s="23" t="s">
        <v>1234</v>
      </c>
      <c r="D384" s="23" t="s">
        <v>959</v>
      </c>
      <c r="E384" s="23" t="s">
        <v>949</v>
      </c>
      <c r="F384" s="2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3" t="s">
        <v>1242</v>
      </c>
      <c r="B385" s="23" t="s">
        <v>833</v>
      </c>
      <c r="C385" s="23" t="s">
        <v>1234</v>
      </c>
      <c r="D385" s="23" t="s">
        <v>959</v>
      </c>
      <c r="E385" s="23" t="s">
        <v>949</v>
      </c>
      <c r="F385" s="2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3" t="s">
        <v>1243</v>
      </c>
      <c r="B386" s="23" t="s">
        <v>811</v>
      </c>
      <c r="C386" s="23" t="s">
        <v>1234</v>
      </c>
      <c r="D386" s="23" t="s">
        <v>959</v>
      </c>
      <c r="E386" s="23" t="s">
        <v>949</v>
      </c>
      <c r="F386" s="2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3" t="s">
        <v>1244</v>
      </c>
      <c r="B387" s="23" t="s">
        <v>838</v>
      </c>
      <c r="C387" s="23" t="s">
        <v>1234</v>
      </c>
      <c r="D387" s="23" t="s">
        <v>959</v>
      </c>
      <c r="E387" s="23" t="s">
        <v>949</v>
      </c>
      <c r="F387" s="2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3" t="s">
        <v>1245</v>
      </c>
      <c r="B388" s="23" t="s">
        <v>840</v>
      </c>
      <c r="C388" s="23" t="s">
        <v>1234</v>
      </c>
      <c r="D388" s="23" t="s">
        <v>959</v>
      </c>
      <c r="E388" s="23" t="s">
        <v>949</v>
      </c>
      <c r="F388" s="2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3" t="s">
        <v>1246</v>
      </c>
      <c r="B389" s="23" t="s">
        <v>842</v>
      </c>
      <c r="C389" s="23" t="s">
        <v>1234</v>
      </c>
      <c r="D389" s="23" t="s">
        <v>959</v>
      </c>
      <c r="E389" s="23" t="s">
        <v>949</v>
      </c>
      <c r="F389" s="2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3" t="s">
        <v>1247</v>
      </c>
      <c r="B390" s="23" t="s">
        <v>844</v>
      </c>
      <c r="C390" s="23" t="s">
        <v>1234</v>
      </c>
      <c r="D390" s="23" t="s">
        <v>959</v>
      </c>
      <c r="E390" s="23" t="s">
        <v>949</v>
      </c>
      <c r="F390" s="2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3" t="s">
        <v>1248</v>
      </c>
      <c r="B391" s="23" t="s">
        <v>846</v>
      </c>
      <c r="C391" s="23" t="s">
        <v>1234</v>
      </c>
      <c r="D391" s="23" t="s">
        <v>959</v>
      </c>
      <c r="E391" s="23" t="s">
        <v>971</v>
      </c>
      <c r="F391" s="2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3" t="s">
        <v>1249</v>
      </c>
      <c r="B392" s="23" t="s">
        <v>848</v>
      </c>
      <c r="C392" s="23" t="s">
        <v>1234</v>
      </c>
      <c r="D392" s="23" t="s">
        <v>959</v>
      </c>
      <c r="E392" s="23" t="s">
        <v>949</v>
      </c>
      <c r="F392" s="2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3" t="s">
        <v>1250</v>
      </c>
      <c r="B393" s="23" t="s">
        <v>850</v>
      </c>
      <c r="C393" s="23" t="s">
        <v>1234</v>
      </c>
      <c r="D393" s="23" t="s">
        <v>959</v>
      </c>
      <c r="E393" s="23" t="s">
        <v>949</v>
      </c>
      <c r="F393" s="2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3" t="s">
        <v>1251</v>
      </c>
      <c r="B394" s="23" t="s">
        <v>853</v>
      </c>
      <c r="C394" s="23" t="s">
        <v>1234</v>
      </c>
      <c r="D394" s="23" t="s">
        <v>959</v>
      </c>
      <c r="E394" s="23" t="s">
        <v>949</v>
      </c>
      <c r="F394" s="2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3" t="s">
        <v>1252</v>
      </c>
      <c r="B395" s="23" t="s">
        <v>855</v>
      </c>
      <c r="C395" s="23" t="s">
        <v>1234</v>
      </c>
      <c r="D395" s="23" t="s">
        <v>959</v>
      </c>
      <c r="E395" s="23" t="s">
        <v>971</v>
      </c>
      <c r="F395" s="2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3" t="s">
        <v>1253</v>
      </c>
      <c r="B396" s="23" t="s">
        <v>857</v>
      </c>
      <c r="C396" s="23" t="s">
        <v>1234</v>
      </c>
      <c r="D396" s="23" t="s">
        <v>959</v>
      </c>
      <c r="E396" s="23" t="s">
        <v>949</v>
      </c>
      <c r="F396" s="2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3" t="s">
        <v>1254</v>
      </c>
      <c r="B397" s="23" t="s">
        <v>860</v>
      </c>
      <c r="C397" s="23" t="s">
        <v>1234</v>
      </c>
      <c r="D397" s="23" t="s">
        <v>959</v>
      </c>
      <c r="E397" s="23" t="s">
        <v>949</v>
      </c>
      <c r="F397" s="2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3" t="s">
        <v>1255</v>
      </c>
      <c r="B398" s="23" t="s">
        <v>862</v>
      </c>
      <c r="C398" s="23" t="s">
        <v>1234</v>
      </c>
      <c r="D398" s="23" t="s">
        <v>959</v>
      </c>
      <c r="E398" s="23" t="s">
        <v>949</v>
      </c>
      <c r="F398" s="2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3" t="s">
        <v>1256</v>
      </c>
      <c r="B399" s="23" t="s">
        <v>865</v>
      </c>
      <c r="C399" s="23" t="s">
        <v>1234</v>
      </c>
      <c r="D399" s="23" t="s">
        <v>959</v>
      </c>
      <c r="E399" s="23" t="s">
        <v>949</v>
      </c>
      <c r="F399" s="2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3" t="s">
        <v>1257</v>
      </c>
      <c r="B400" s="23" t="s">
        <v>867</v>
      </c>
      <c r="C400" s="23" t="s">
        <v>1234</v>
      </c>
      <c r="D400" s="23" t="s">
        <v>959</v>
      </c>
      <c r="E400" s="23" t="s">
        <v>949</v>
      </c>
      <c r="F400" s="2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3" t="s">
        <v>1258</v>
      </c>
      <c r="B401" s="23" t="s">
        <v>869</v>
      </c>
      <c r="C401" s="23" t="s">
        <v>1234</v>
      </c>
      <c r="D401" s="23" t="s">
        <v>959</v>
      </c>
      <c r="E401" s="23" t="s">
        <v>949</v>
      </c>
      <c r="F401" s="2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3" t="s">
        <v>1259</v>
      </c>
      <c r="B402" s="23" t="s">
        <v>871</v>
      </c>
      <c r="C402" s="23" t="s">
        <v>1234</v>
      </c>
      <c r="D402" s="23" t="s">
        <v>959</v>
      </c>
      <c r="E402" s="23" t="s">
        <v>949</v>
      </c>
      <c r="F402" s="2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3" t="s">
        <v>1260</v>
      </c>
      <c r="B403" s="23" t="s">
        <v>876</v>
      </c>
      <c r="C403" s="23" t="s">
        <v>1234</v>
      </c>
      <c r="D403" s="23" t="s">
        <v>959</v>
      </c>
      <c r="E403" s="23" t="s">
        <v>949</v>
      </c>
      <c r="F403" s="2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3" t="s">
        <v>1261</v>
      </c>
      <c r="B404" s="23" t="s">
        <v>879</v>
      </c>
      <c r="C404" s="23" t="s">
        <v>1234</v>
      </c>
      <c r="D404" s="23" t="s">
        <v>959</v>
      </c>
      <c r="E404" s="23" t="s">
        <v>949</v>
      </c>
      <c r="F404" s="2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3" t="s">
        <v>1262</v>
      </c>
      <c r="B405" s="23" t="s">
        <v>881</v>
      </c>
      <c r="C405" s="23" t="s">
        <v>1234</v>
      </c>
      <c r="D405" s="23" t="s">
        <v>959</v>
      </c>
      <c r="E405" s="23" t="s">
        <v>949</v>
      </c>
      <c r="F405" s="2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3" t="s">
        <v>1263</v>
      </c>
      <c r="B406" s="23" t="s">
        <v>883</v>
      </c>
      <c r="C406" s="23" t="s">
        <v>1234</v>
      </c>
      <c r="D406" s="23" t="s">
        <v>959</v>
      </c>
      <c r="E406" s="23" t="s">
        <v>949</v>
      </c>
      <c r="F406" s="2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3" t="s">
        <v>1264</v>
      </c>
      <c r="B407" s="23" t="s">
        <v>885</v>
      </c>
      <c r="C407" s="23" t="s">
        <v>1234</v>
      </c>
      <c r="D407" s="23" t="s">
        <v>959</v>
      </c>
      <c r="E407" s="23" t="s">
        <v>949</v>
      </c>
      <c r="F407" s="2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3" t="s">
        <v>1265</v>
      </c>
      <c r="B408" s="23" t="s">
        <v>887</v>
      </c>
      <c r="C408" s="23" t="s">
        <v>1234</v>
      </c>
      <c r="D408" s="23" t="s">
        <v>959</v>
      </c>
      <c r="E408" s="23" t="s">
        <v>949</v>
      </c>
      <c r="F408" s="2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3" t="s">
        <v>1266</v>
      </c>
      <c r="B409" s="23" t="s">
        <v>892</v>
      </c>
      <c r="C409" s="23" t="s">
        <v>1234</v>
      </c>
      <c r="D409" s="23" t="s">
        <v>959</v>
      </c>
      <c r="E409" s="23" t="s">
        <v>949</v>
      </c>
      <c r="F409" s="2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3" t="s">
        <v>1267</v>
      </c>
      <c r="B410" s="23" t="s">
        <v>935</v>
      </c>
      <c r="C410" s="23" t="s">
        <v>1234</v>
      </c>
      <c r="D410" s="23" t="s">
        <v>959</v>
      </c>
      <c r="E410" s="23" t="s">
        <v>949</v>
      </c>
      <c r="F410" s="2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3" t="s">
        <v>1268</v>
      </c>
      <c r="B411" s="23" t="s">
        <v>895</v>
      </c>
      <c r="C411" s="23" t="s">
        <v>1234</v>
      </c>
      <c r="D411" s="23" t="s">
        <v>959</v>
      </c>
      <c r="E411" s="23" t="s">
        <v>971</v>
      </c>
      <c r="F411" s="2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3" t="s">
        <v>1269</v>
      </c>
      <c r="B412" s="23" t="s">
        <v>897</v>
      </c>
      <c r="C412" s="23" t="s">
        <v>1234</v>
      </c>
      <c r="D412" s="23" t="s">
        <v>959</v>
      </c>
      <c r="E412" s="23" t="s">
        <v>949</v>
      </c>
      <c r="F412" s="2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3" t="s">
        <v>1270</v>
      </c>
      <c r="B413" s="23" t="s">
        <v>889</v>
      </c>
      <c r="C413" s="23" t="s">
        <v>1234</v>
      </c>
      <c r="D413" s="23" t="s">
        <v>959</v>
      </c>
      <c r="E413" s="23" t="s">
        <v>949</v>
      </c>
      <c r="F413" s="2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3" t="s">
        <v>1271</v>
      </c>
      <c r="B414" s="23" t="s">
        <v>899</v>
      </c>
      <c r="C414" s="23" t="s">
        <v>1234</v>
      </c>
      <c r="D414" s="23" t="s">
        <v>959</v>
      </c>
      <c r="E414" s="23" t="s">
        <v>949</v>
      </c>
      <c r="F414" s="2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3" t="s">
        <v>1272</v>
      </c>
      <c r="B415" s="23" t="s">
        <v>901</v>
      </c>
      <c r="C415" s="23" t="s">
        <v>1234</v>
      </c>
      <c r="D415" s="23" t="s">
        <v>959</v>
      </c>
      <c r="E415" s="23" t="s">
        <v>949</v>
      </c>
      <c r="F415" s="2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3" t="s">
        <v>1273</v>
      </c>
      <c r="B416" s="23" t="s">
        <v>904</v>
      </c>
      <c r="C416" s="23" t="s">
        <v>1234</v>
      </c>
      <c r="D416" s="23" t="s">
        <v>959</v>
      </c>
      <c r="E416" s="23" t="s">
        <v>949</v>
      </c>
      <c r="F416" s="2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3" t="s">
        <v>1274</v>
      </c>
      <c r="B417" s="23" t="s">
        <v>906</v>
      </c>
      <c r="C417" s="23" t="s">
        <v>1234</v>
      </c>
      <c r="D417" s="23" t="s">
        <v>959</v>
      </c>
      <c r="E417" s="23" t="s">
        <v>949</v>
      </c>
      <c r="F417" s="2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3" t="s">
        <v>1275</v>
      </c>
      <c r="B418" s="23" t="s">
        <v>908</v>
      </c>
      <c r="C418" s="23" t="s">
        <v>1234</v>
      </c>
      <c r="D418" s="23" t="s">
        <v>959</v>
      </c>
      <c r="E418" s="23" t="s">
        <v>949</v>
      </c>
      <c r="F418" s="2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3" t="s">
        <v>1276</v>
      </c>
      <c r="B419" s="23" t="s">
        <v>936</v>
      </c>
      <c r="C419" s="23" t="s">
        <v>1234</v>
      </c>
      <c r="D419" s="23" t="s">
        <v>959</v>
      </c>
      <c r="E419" s="23" t="s">
        <v>949</v>
      </c>
      <c r="F419" s="2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3" t="s">
        <v>1277</v>
      </c>
      <c r="B420" s="23" t="s">
        <v>910</v>
      </c>
      <c r="C420" s="23" t="s">
        <v>1234</v>
      </c>
      <c r="D420" s="23" t="s">
        <v>959</v>
      </c>
      <c r="E420" s="23" t="s">
        <v>949</v>
      </c>
      <c r="F420" s="2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3" t="s">
        <v>1278</v>
      </c>
      <c r="B421" s="23" t="s">
        <v>937</v>
      </c>
      <c r="C421" s="23" t="s">
        <v>1234</v>
      </c>
      <c r="D421" s="23" t="s">
        <v>959</v>
      </c>
      <c r="E421" s="23" t="s">
        <v>949</v>
      </c>
      <c r="F421" s="2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3" t="s">
        <v>1279</v>
      </c>
      <c r="B422" s="23" t="s">
        <v>912</v>
      </c>
      <c r="C422" s="23" t="s">
        <v>1234</v>
      </c>
      <c r="D422" s="23" t="s">
        <v>959</v>
      </c>
      <c r="E422" s="23" t="s">
        <v>949</v>
      </c>
      <c r="F422" s="2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3" t="s">
        <v>1280</v>
      </c>
      <c r="B423" s="23" t="s">
        <v>938</v>
      </c>
      <c r="C423" s="23" t="s">
        <v>1234</v>
      </c>
      <c r="D423" s="23" t="s">
        <v>959</v>
      </c>
      <c r="E423" s="23" t="s">
        <v>949</v>
      </c>
      <c r="F423" s="2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3" t="s">
        <v>1281</v>
      </c>
      <c r="B424" s="23" t="s">
        <v>914</v>
      </c>
      <c r="C424" s="23" t="s">
        <v>1234</v>
      </c>
      <c r="D424" s="23" t="s">
        <v>959</v>
      </c>
      <c r="E424" s="23" t="s">
        <v>949</v>
      </c>
      <c r="F424" s="2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3" t="s">
        <v>1282</v>
      </c>
      <c r="B425" s="23" t="s">
        <v>939</v>
      </c>
      <c r="C425" s="23" t="s">
        <v>1234</v>
      </c>
      <c r="D425" s="23" t="s">
        <v>959</v>
      </c>
      <c r="E425" s="23" t="s">
        <v>949</v>
      </c>
      <c r="F425" s="2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3" t="s">
        <v>1283</v>
      </c>
      <c r="B426" s="23" t="s">
        <v>953</v>
      </c>
      <c r="C426" s="23" t="s">
        <v>1234</v>
      </c>
      <c r="D426" s="23" t="s">
        <v>959</v>
      </c>
      <c r="E426" s="23" t="s">
        <v>949</v>
      </c>
      <c r="F426" s="2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3" t="s">
        <v>1284</v>
      </c>
      <c r="B427" s="23" t="s">
        <v>917</v>
      </c>
      <c r="C427" s="23" t="s">
        <v>1234</v>
      </c>
      <c r="D427" s="23" t="s">
        <v>959</v>
      </c>
      <c r="E427" s="23" t="s">
        <v>949</v>
      </c>
      <c r="F427" s="2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3" t="s">
        <v>1285</v>
      </c>
      <c r="B428" s="23" t="s">
        <v>873</v>
      </c>
      <c r="C428" s="23" t="s">
        <v>1234</v>
      </c>
      <c r="D428" s="23" t="s">
        <v>959</v>
      </c>
      <c r="E428" s="23" t="s">
        <v>949</v>
      </c>
      <c r="F428" s="2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3" t="s">
        <v>1286</v>
      </c>
      <c r="B429" s="23" t="s">
        <v>920</v>
      </c>
      <c r="C429" s="23" t="s">
        <v>1234</v>
      </c>
      <c r="D429" s="23" t="s">
        <v>959</v>
      </c>
      <c r="E429" s="23" t="s">
        <v>949</v>
      </c>
      <c r="F429" s="2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3" t="s">
        <v>1287</v>
      </c>
      <c r="B430" s="23" t="s">
        <v>923</v>
      </c>
      <c r="C430" s="23" t="s">
        <v>1234</v>
      </c>
      <c r="D430" s="23" t="s">
        <v>959</v>
      </c>
      <c r="E430" s="23" t="s">
        <v>949</v>
      </c>
      <c r="F430" s="2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3" t="s">
        <v>1288</v>
      </c>
      <c r="B431" s="23" t="s">
        <v>956</v>
      </c>
      <c r="C431" s="23" t="s">
        <v>1234</v>
      </c>
      <c r="D431" s="23" t="s">
        <v>959</v>
      </c>
      <c r="E431" s="23" t="s">
        <v>971</v>
      </c>
      <c r="F431" s="2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3" t="s">
        <v>1289</v>
      </c>
      <c r="B432" s="23" t="s">
        <v>926</v>
      </c>
      <c r="C432" s="23" t="s">
        <v>1234</v>
      </c>
      <c r="D432" s="23" t="s">
        <v>959</v>
      </c>
      <c r="E432" s="23" t="s">
        <v>949</v>
      </c>
      <c r="F432" s="2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3" t="s">
        <v>1290</v>
      </c>
      <c r="B433" s="23" t="s">
        <v>957</v>
      </c>
      <c r="C433" s="23" t="s">
        <v>1234</v>
      </c>
      <c r="D433" s="23" t="s">
        <v>959</v>
      </c>
      <c r="E433" s="23" t="s">
        <v>971</v>
      </c>
      <c r="F433" s="2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3" t="s">
        <v>1291</v>
      </c>
      <c r="B434" s="23" t="s">
        <v>929</v>
      </c>
      <c r="C434" s="23" t="s">
        <v>1234</v>
      </c>
      <c r="D434" s="23" t="s">
        <v>959</v>
      </c>
      <c r="E434" s="23" t="s">
        <v>949</v>
      </c>
      <c r="F434" s="2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3" t="s">
        <v>1292</v>
      </c>
      <c r="B435" s="23" t="s">
        <v>932</v>
      </c>
      <c r="C435" s="23" t="s">
        <v>1234</v>
      </c>
      <c r="D435" s="23" t="s">
        <v>959</v>
      </c>
      <c r="E435" s="23" t="s">
        <v>949</v>
      </c>
      <c r="F435" s="2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3" t="s">
        <v>1293</v>
      </c>
      <c r="B436" s="23" t="s">
        <v>934</v>
      </c>
      <c r="C436" s="23" t="s">
        <v>1234</v>
      </c>
      <c r="D436" s="23" t="s">
        <v>959</v>
      </c>
      <c r="E436" s="23" t="s">
        <v>949</v>
      </c>
      <c r="F436" s="2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3" t="s">
        <v>1294</v>
      </c>
      <c r="B437" s="23" t="s">
        <v>942</v>
      </c>
      <c r="C437" s="23" t="s">
        <v>1234</v>
      </c>
      <c r="D437" s="23" t="s">
        <v>959</v>
      </c>
      <c r="E437" s="23" t="s">
        <v>971</v>
      </c>
      <c r="F437" s="2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3" t="s">
        <v>1295</v>
      </c>
      <c r="B438" s="23" t="s">
        <v>935</v>
      </c>
      <c r="C438" s="23" t="s">
        <v>1296</v>
      </c>
      <c r="D438" s="23" t="s">
        <v>948</v>
      </c>
      <c r="E438" s="23" t="s">
        <v>949</v>
      </c>
      <c r="F438" s="2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3" t="s">
        <v>1297</v>
      </c>
      <c r="B439" s="23" t="s">
        <v>806</v>
      </c>
      <c r="C439" s="23" t="s">
        <v>1296</v>
      </c>
      <c r="D439" s="23" t="s">
        <v>948</v>
      </c>
      <c r="E439" s="23" t="s">
        <v>949</v>
      </c>
      <c r="F439" s="2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3" t="s">
        <v>1298</v>
      </c>
      <c r="B440" s="23" t="s">
        <v>116</v>
      </c>
      <c r="C440" s="23" t="s">
        <v>1299</v>
      </c>
      <c r="D440" s="23" t="s">
        <v>959</v>
      </c>
      <c r="E440" s="23" t="s">
        <v>949</v>
      </c>
      <c r="F440" s="2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3" t="s">
        <v>1300</v>
      </c>
      <c r="B441" s="23" t="s">
        <v>123</v>
      </c>
      <c r="C441" s="23" t="s">
        <v>1299</v>
      </c>
      <c r="D441" s="23" t="s">
        <v>959</v>
      </c>
      <c r="E441" s="23" t="s">
        <v>949</v>
      </c>
      <c r="F441" s="2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3" t="s">
        <v>1301</v>
      </c>
      <c r="B442" s="23" t="s">
        <v>131</v>
      </c>
      <c r="C442" s="23" t="s">
        <v>1299</v>
      </c>
      <c r="D442" s="23" t="s">
        <v>959</v>
      </c>
      <c r="E442" s="23" t="s">
        <v>949</v>
      </c>
      <c r="F442" s="2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3" t="s">
        <v>1302</v>
      </c>
      <c r="B443" s="23" t="s">
        <v>137</v>
      </c>
      <c r="C443" s="23" t="s">
        <v>1299</v>
      </c>
      <c r="D443" s="23" t="s">
        <v>959</v>
      </c>
      <c r="E443" s="23" t="s">
        <v>971</v>
      </c>
      <c r="F443" s="2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3" t="s">
        <v>1303</v>
      </c>
      <c r="B444" s="23" t="s">
        <v>144</v>
      </c>
      <c r="C444" s="23" t="s">
        <v>1299</v>
      </c>
      <c r="D444" s="23" t="s">
        <v>959</v>
      </c>
      <c r="E444" s="23" t="s">
        <v>949</v>
      </c>
      <c r="F444" s="2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3" t="s">
        <v>1304</v>
      </c>
      <c r="B445" s="23" t="s">
        <v>151</v>
      </c>
      <c r="C445" s="23" t="s">
        <v>1299</v>
      </c>
      <c r="D445" s="23" t="s">
        <v>959</v>
      </c>
      <c r="E445" s="23" t="s">
        <v>949</v>
      </c>
      <c r="F445" s="2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3" t="s">
        <v>1305</v>
      </c>
      <c r="B446" s="23" t="s">
        <v>734</v>
      </c>
      <c r="C446" s="23" t="s">
        <v>1299</v>
      </c>
      <c r="D446" s="23" t="s">
        <v>959</v>
      </c>
      <c r="E446" s="23" t="s">
        <v>949</v>
      </c>
      <c r="F446" s="2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3" t="s">
        <v>1306</v>
      </c>
      <c r="B447" s="23" t="s">
        <v>831</v>
      </c>
      <c r="C447" s="23" t="s">
        <v>1299</v>
      </c>
      <c r="D447" s="23" t="s">
        <v>959</v>
      </c>
      <c r="E447" s="23" t="s">
        <v>949</v>
      </c>
      <c r="F447" s="2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3" t="s">
        <v>1307</v>
      </c>
      <c r="B448" s="23" t="s">
        <v>833</v>
      </c>
      <c r="C448" s="23" t="s">
        <v>1299</v>
      </c>
      <c r="D448" s="23" t="s">
        <v>959</v>
      </c>
      <c r="E448" s="23" t="s">
        <v>949</v>
      </c>
      <c r="F448" s="2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3" t="s">
        <v>1308</v>
      </c>
      <c r="B449" s="23" t="s">
        <v>811</v>
      </c>
      <c r="C449" s="23" t="s">
        <v>1299</v>
      </c>
      <c r="D449" s="23" t="s">
        <v>959</v>
      </c>
      <c r="E449" s="23" t="s">
        <v>949</v>
      </c>
      <c r="F449" s="2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3" t="s">
        <v>1309</v>
      </c>
      <c r="B450" s="23" t="s">
        <v>838</v>
      </c>
      <c r="C450" s="23" t="s">
        <v>1299</v>
      </c>
      <c r="D450" s="23" t="s">
        <v>959</v>
      </c>
      <c r="E450" s="23" t="s">
        <v>971</v>
      </c>
      <c r="F450" s="2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3" t="s">
        <v>1310</v>
      </c>
      <c r="B451" s="23" t="s">
        <v>840</v>
      </c>
      <c r="C451" s="23" t="s">
        <v>1299</v>
      </c>
      <c r="D451" s="23" t="s">
        <v>959</v>
      </c>
      <c r="E451" s="23" t="s">
        <v>949</v>
      </c>
      <c r="F451" s="2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3" t="s">
        <v>1311</v>
      </c>
      <c r="B452" s="23" t="s">
        <v>842</v>
      </c>
      <c r="C452" s="23" t="s">
        <v>1299</v>
      </c>
      <c r="D452" s="23" t="s">
        <v>959</v>
      </c>
      <c r="E452" s="23" t="s">
        <v>949</v>
      </c>
      <c r="F452" s="2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3" t="s">
        <v>1312</v>
      </c>
      <c r="B453" s="23" t="s">
        <v>844</v>
      </c>
      <c r="C453" s="23" t="s">
        <v>1299</v>
      </c>
      <c r="D453" s="23" t="s">
        <v>959</v>
      </c>
      <c r="E453" s="23" t="s">
        <v>949</v>
      </c>
      <c r="F453" s="2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3" t="s">
        <v>1313</v>
      </c>
      <c r="B454" s="23" t="s">
        <v>846</v>
      </c>
      <c r="C454" s="23" t="s">
        <v>1299</v>
      </c>
      <c r="D454" s="23" t="s">
        <v>959</v>
      </c>
      <c r="E454" s="23" t="s">
        <v>971</v>
      </c>
      <c r="F454" s="2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3" t="s">
        <v>1314</v>
      </c>
      <c r="B455" s="23" t="s">
        <v>848</v>
      </c>
      <c r="C455" s="23" t="s">
        <v>1299</v>
      </c>
      <c r="D455" s="23" t="s">
        <v>959</v>
      </c>
      <c r="E455" s="23" t="s">
        <v>949</v>
      </c>
      <c r="F455" s="2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3" t="s">
        <v>1315</v>
      </c>
      <c r="B456" s="23" t="s">
        <v>850</v>
      </c>
      <c r="C456" s="23" t="s">
        <v>1299</v>
      </c>
      <c r="D456" s="23" t="s">
        <v>959</v>
      </c>
      <c r="E456" s="23" t="s">
        <v>949</v>
      </c>
      <c r="F456" s="2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3" t="s">
        <v>1316</v>
      </c>
      <c r="B457" s="23" t="s">
        <v>853</v>
      </c>
      <c r="C457" s="23" t="s">
        <v>1299</v>
      </c>
      <c r="D457" s="23" t="s">
        <v>959</v>
      </c>
      <c r="E457" s="23" t="s">
        <v>949</v>
      </c>
      <c r="F457" s="2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3" t="s">
        <v>1317</v>
      </c>
      <c r="B458" s="23" t="s">
        <v>855</v>
      </c>
      <c r="C458" s="23" t="s">
        <v>1299</v>
      </c>
      <c r="D458" s="23" t="s">
        <v>959</v>
      </c>
      <c r="E458" s="23" t="s">
        <v>949</v>
      </c>
      <c r="F458" s="2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3" t="s">
        <v>1318</v>
      </c>
      <c r="B459" s="23" t="s">
        <v>857</v>
      </c>
      <c r="C459" s="23" t="s">
        <v>1299</v>
      </c>
      <c r="D459" s="23" t="s">
        <v>959</v>
      </c>
      <c r="E459" s="23" t="s">
        <v>949</v>
      </c>
      <c r="F459" s="2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3" t="s">
        <v>1319</v>
      </c>
      <c r="B460" s="23" t="s">
        <v>860</v>
      </c>
      <c r="C460" s="23" t="s">
        <v>1299</v>
      </c>
      <c r="D460" s="23" t="s">
        <v>959</v>
      </c>
      <c r="E460" s="23" t="s">
        <v>949</v>
      </c>
      <c r="F460" s="2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3" t="s">
        <v>1320</v>
      </c>
      <c r="B461" s="23" t="s">
        <v>862</v>
      </c>
      <c r="C461" s="23" t="s">
        <v>1299</v>
      </c>
      <c r="D461" s="23" t="s">
        <v>959</v>
      </c>
      <c r="E461" s="23" t="s">
        <v>949</v>
      </c>
      <c r="F461" s="2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3" t="s">
        <v>1321</v>
      </c>
      <c r="B462" s="23" t="s">
        <v>865</v>
      </c>
      <c r="C462" s="23" t="s">
        <v>1299</v>
      </c>
      <c r="D462" s="23" t="s">
        <v>959</v>
      </c>
      <c r="E462" s="23" t="s">
        <v>949</v>
      </c>
      <c r="F462" s="2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3" t="s">
        <v>1322</v>
      </c>
      <c r="B463" s="23" t="s">
        <v>867</v>
      </c>
      <c r="C463" s="23" t="s">
        <v>1299</v>
      </c>
      <c r="D463" s="23" t="s">
        <v>959</v>
      </c>
      <c r="E463" s="23" t="s">
        <v>971</v>
      </c>
      <c r="F463" s="2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3" t="s">
        <v>1323</v>
      </c>
      <c r="B464" s="23" t="s">
        <v>869</v>
      </c>
      <c r="C464" s="23" t="s">
        <v>1299</v>
      </c>
      <c r="D464" s="23" t="s">
        <v>959</v>
      </c>
      <c r="E464" s="23" t="s">
        <v>949</v>
      </c>
      <c r="F464" s="2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3" t="s">
        <v>1324</v>
      </c>
      <c r="B465" s="23" t="s">
        <v>871</v>
      </c>
      <c r="C465" s="23" t="s">
        <v>1299</v>
      </c>
      <c r="D465" s="23" t="s">
        <v>959</v>
      </c>
      <c r="E465" s="23" t="s">
        <v>949</v>
      </c>
      <c r="F465" s="2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3" t="s">
        <v>1325</v>
      </c>
      <c r="B466" s="23" t="s">
        <v>876</v>
      </c>
      <c r="C466" s="23" t="s">
        <v>1299</v>
      </c>
      <c r="D466" s="23" t="s">
        <v>959</v>
      </c>
      <c r="E466" s="23" t="s">
        <v>949</v>
      </c>
      <c r="F466" s="2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3" t="s">
        <v>1326</v>
      </c>
      <c r="B467" s="23" t="s">
        <v>879</v>
      </c>
      <c r="C467" s="23" t="s">
        <v>1299</v>
      </c>
      <c r="D467" s="23" t="s">
        <v>959</v>
      </c>
      <c r="E467" s="23" t="s">
        <v>949</v>
      </c>
      <c r="F467" s="2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3" t="s">
        <v>1327</v>
      </c>
      <c r="B468" s="23" t="s">
        <v>881</v>
      </c>
      <c r="C468" s="23" t="s">
        <v>1299</v>
      </c>
      <c r="D468" s="23" t="s">
        <v>959</v>
      </c>
      <c r="E468" s="23" t="s">
        <v>949</v>
      </c>
      <c r="F468" s="2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3" t="s">
        <v>1328</v>
      </c>
      <c r="B469" s="23" t="s">
        <v>883</v>
      </c>
      <c r="C469" s="23" t="s">
        <v>1299</v>
      </c>
      <c r="D469" s="23" t="s">
        <v>959</v>
      </c>
      <c r="E469" s="23" t="s">
        <v>949</v>
      </c>
      <c r="F469" s="2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3" t="s">
        <v>1329</v>
      </c>
      <c r="B470" s="23" t="s">
        <v>885</v>
      </c>
      <c r="C470" s="23" t="s">
        <v>1299</v>
      </c>
      <c r="D470" s="23" t="s">
        <v>959</v>
      </c>
      <c r="E470" s="23" t="s">
        <v>949</v>
      </c>
      <c r="F470" s="2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3" t="s">
        <v>1330</v>
      </c>
      <c r="B471" s="23" t="s">
        <v>887</v>
      </c>
      <c r="C471" s="23" t="s">
        <v>1299</v>
      </c>
      <c r="D471" s="23" t="s">
        <v>959</v>
      </c>
      <c r="E471" s="23" t="s">
        <v>949</v>
      </c>
      <c r="F471" s="2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3" t="s">
        <v>1331</v>
      </c>
      <c r="B472" s="23" t="s">
        <v>892</v>
      </c>
      <c r="C472" s="23" t="s">
        <v>1299</v>
      </c>
      <c r="D472" s="23" t="s">
        <v>959</v>
      </c>
      <c r="E472" s="23" t="s">
        <v>949</v>
      </c>
      <c r="F472" s="2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3" t="s">
        <v>1332</v>
      </c>
      <c r="B473" s="23" t="s">
        <v>935</v>
      </c>
      <c r="C473" s="23" t="s">
        <v>1299</v>
      </c>
      <c r="D473" s="23" t="s">
        <v>959</v>
      </c>
      <c r="E473" s="23" t="s">
        <v>949</v>
      </c>
      <c r="F473" s="2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3" t="s">
        <v>1333</v>
      </c>
      <c r="B474" s="23" t="s">
        <v>895</v>
      </c>
      <c r="C474" s="23" t="s">
        <v>1299</v>
      </c>
      <c r="D474" s="23" t="s">
        <v>959</v>
      </c>
      <c r="E474" s="23" t="s">
        <v>949</v>
      </c>
      <c r="F474" s="2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3" t="s">
        <v>1334</v>
      </c>
      <c r="B475" s="23" t="s">
        <v>897</v>
      </c>
      <c r="C475" s="23" t="s">
        <v>1299</v>
      </c>
      <c r="D475" s="23" t="s">
        <v>959</v>
      </c>
      <c r="E475" s="23" t="s">
        <v>949</v>
      </c>
      <c r="F475" s="2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3" t="s">
        <v>1335</v>
      </c>
      <c r="B476" s="23" t="s">
        <v>889</v>
      </c>
      <c r="C476" s="23" t="s">
        <v>1299</v>
      </c>
      <c r="D476" s="23" t="s">
        <v>959</v>
      </c>
      <c r="E476" s="23" t="s">
        <v>949</v>
      </c>
      <c r="F476" s="2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3" t="s">
        <v>1336</v>
      </c>
      <c r="B477" s="23" t="s">
        <v>899</v>
      </c>
      <c r="C477" s="23" t="s">
        <v>1299</v>
      </c>
      <c r="D477" s="23" t="s">
        <v>959</v>
      </c>
      <c r="E477" s="23" t="s">
        <v>949</v>
      </c>
      <c r="F477" s="2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3" t="s">
        <v>1337</v>
      </c>
      <c r="B478" s="23" t="s">
        <v>901</v>
      </c>
      <c r="C478" s="23" t="s">
        <v>1299</v>
      </c>
      <c r="D478" s="23" t="s">
        <v>959</v>
      </c>
      <c r="E478" s="23" t="s">
        <v>949</v>
      </c>
      <c r="F478" s="2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3" t="s">
        <v>1338</v>
      </c>
      <c r="B479" s="23" t="s">
        <v>904</v>
      </c>
      <c r="C479" s="23" t="s">
        <v>1299</v>
      </c>
      <c r="D479" s="23" t="s">
        <v>959</v>
      </c>
      <c r="E479" s="23" t="s">
        <v>949</v>
      </c>
      <c r="F479" s="2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3" t="s">
        <v>1339</v>
      </c>
      <c r="B480" s="23" t="s">
        <v>906</v>
      </c>
      <c r="C480" s="23" t="s">
        <v>1299</v>
      </c>
      <c r="D480" s="23" t="s">
        <v>959</v>
      </c>
      <c r="E480" s="23" t="s">
        <v>949</v>
      </c>
      <c r="F480" s="2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3" t="s">
        <v>1340</v>
      </c>
      <c r="B481" s="23" t="s">
        <v>908</v>
      </c>
      <c r="C481" s="23" t="s">
        <v>1299</v>
      </c>
      <c r="D481" s="23" t="s">
        <v>959</v>
      </c>
      <c r="E481" s="23" t="s">
        <v>949</v>
      </c>
      <c r="F481" s="2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3" t="s">
        <v>1341</v>
      </c>
      <c r="B482" s="23" t="s">
        <v>936</v>
      </c>
      <c r="C482" s="23" t="s">
        <v>1299</v>
      </c>
      <c r="D482" s="23" t="s">
        <v>959</v>
      </c>
      <c r="E482" s="23" t="s">
        <v>949</v>
      </c>
      <c r="F482" s="2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3" t="s">
        <v>1342</v>
      </c>
      <c r="B483" s="23" t="s">
        <v>910</v>
      </c>
      <c r="C483" s="23" t="s">
        <v>1299</v>
      </c>
      <c r="D483" s="23" t="s">
        <v>959</v>
      </c>
      <c r="E483" s="23" t="s">
        <v>949</v>
      </c>
      <c r="F483" s="2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3" t="s">
        <v>1343</v>
      </c>
      <c r="B484" s="23" t="s">
        <v>937</v>
      </c>
      <c r="C484" s="23" t="s">
        <v>1299</v>
      </c>
      <c r="D484" s="23" t="s">
        <v>959</v>
      </c>
      <c r="E484" s="23" t="s">
        <v>949</v>
      </c>
      <c r="F484" s="2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3" t="s">
        <v>1344</v>
      </c>
      <c r="B485" s="23" t="s">
        <v>912</v>
      </c>
      <c r="C485" s="23" t="s">
        <v>1299</v>
      </c>
      <c r="D485" s="23" t="s">
        <v>959</v>
      </c>
      <c r="E485" s="23" t="s">
        <v>949</v>
      </c>
      <c r="F485" s="2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3" t="s">
        <v>1345</v>
      </c>
      <c r="B486" s="23" t="s">
        <v>938</v>
      </c>
      <c r="C486" s="23" t="s">
        <v>1299</v>
      </c>
      <c r="D486" s="23" t="s">
        <v>959</v>
      </c>
      <c r="E486" s="23" t="s">
        <v>949</v>
      </c>
      <c r="F486" s="2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3" t="s">
        <v>1346</v>
      </c>
      <c r="B487" s="23" t="s">
        <v>914</v>
      </c>
      <c r="C487" s="23" t="s">
        <v>1299</v>
      </c>
      <c r="D487" s="23" t="s">
        <v>959</v>
      </c>
      <c r="E487" s="23" t="s">
        <v>949</v>
      </c>
      <c r="F487" s="2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3" t="s">
        <v>1347</v>
      </c>
      <c r="B488" s="23" t="s">
        <v>939</v>
      </c>
      <c r="C488" s="23" t="s">
        <v>1299</v>
      </c>
      <c r="D488" s="23" t="s">
        <v>959</v>
      </c>
      <c r="E488" s="23" t="s">
        <v>949</v>
      </c>
      <c r="F488" s="2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3" t="s">
        <v>1348</v>
      </c>
      <c r="B489" s="23" t="s">
        <v>953</v>
      </c>
      <c r="C489" s="23" t="s">
        <v>1299</v>
      </c>
      <c r="D489" s="23" t="s">
        <v>959</v>
      </c>
      <c r="E489" s="23" t="s">
        <v>949</v>
      </c>
      <c r="F489" s="2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3" t="s">
        <v>1349</v>
      </c>
      <c r="B490" s="23" t="s">
        <v>917</v>
      </c>
      <c r="C490" s="23" t="s">
        <v>1299</v>
      </c>
      <c r="D490" s="23" t="s">
        <v>959</v>
      </c>
      <c r="E490" s="23" t="s">
        <v>949</v>
      </c>
      <c r="F490" s="2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3" t="s">
        <v>1350</v>
      </c>
      <c r="B491" s="23" t="s">
        <v>873</v>
      </c>
      <c r="C491" s="23" t="s">
        <v>1299</v>
      </c>
      <c r="D491" s="23" t="s">
        <v>959</v>
      </c>
      <c r="E491" s="23" t="s">
        <v>949</v>
      </c>
      <c r="F491" s="2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3" t="s">
        <v>1351</v>
      </c>
      <c r="B492" s="23" t="s">
        <v>920</v>
      </c>
      <c r="C492" s="23" t="s">
        <v>1299</v>
      </c>
      <c r="D492" s="23" t="s">
        <v>959</v>
      </c>
      <c r="E492" s="23" t="s">
        <v>949</v>
      </c>
      <c r="F492" s="2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3" t="s">
        <v>1352</v>
      </c>
      <c r="B493" s="23" t="s">
        <v>923</v>
      </c>
      <c r="C493" s="23" t="s">
        <v>1299</v>
      </c>
      <c r="D493" s="23" t="s">
        <v>959</v>
      </c>
      <c r="E493" s="23" t="s">
        <v>949</v>
      </c>
      <c r="F493" s="2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3" t="s">
        <v>1353</v>
      </c>
      <c r="B494" s="23" t="s">
        <v>956</v>
      </c>
      <c r="C494" s="23" t="s">
        <v>1299</v>
      </c>
      <c r="D494" s="23" t="s">
        <v>959</v>
      </c>
      <c r="E494" s="23" t="s">
        <v>971</v>
      </c>
      <c r="F494" s="2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3" t="s">
        <v>1354</v>
      </c>
      <c r="B495" s="23" t="s">
        <v>926</v>
      </c>
      <c r="C495" s="23" t="s">
        <v>1299</v>
      </c>
      <c r="D495" s="23" t="s">
        <v>959</v>
      </c>
      <c r="E495" s="23" t="s">
        <v>949</v>
      </c>
      <c r="F495" s="2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3" t="s">
        <v>1355</v>
      </c>
      <c r="B496" s="23" t="s">
        <v>957</v>
      </c>
      <c r="C496" s="23" t="s">
        <v>1299</v>
      </c>
      <c r="D496" s="23" t="s">
        <v>959</v>
      </c>
      <c r="E496" s="23" t="s">
        <v>971</v>
      </c>
      <c r="F496" s="2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3" t="s">
        <v>1356</v>
      </c>
      <c r="B497" s="23" t="s">
        <v>929</v>
      </c>
      <c r="C497" s="23" t="s">
        <v>1299</v>
      </c>
      <c r="D497" s="23" t="s">
        <v>959</v>
      </c>
      <c r="E497" s="23" t="s">
        <v>949</v>
      </c>
      <c r="F497" s="2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3" t="s">
        <v>1357</v>
      </c>
      <c r="B498" s="23" t="s">
        <v>932</v>
      </c>
      <c r="C498" s="23" t="s">
        <v>1299</v>
      </c>
      <c r="D498" s="23" t="s">
        <v>959</v>
      </c>
      <c r="E498" s="23" t="s">
        <v>949</v>
      </c>
      <c r="F498" s="2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3" t="s">
        <v>1358</v>
      </c>
      <c r="B499" s="23" t="s">
        <v>934</v>
      </c>
      <c r="C499" s="23" t="s">
        <v>1299</v>
      </c>
      <c r="D499" s="23" t="s">
        <v>959</v>
      </c>
      <c r="E499" s="23" t="s">
        <v>971</v>
      </c>
      <c r="F499" s="2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3" t="s">
        <v>1359</v>
      </c>
      <c r="B500" s="23" t="s">
        <v>942</v>
      </c>
      <c r="C500" s="23" t="s">
        <v>1299</v>
      </c>
      <c r="D500" s="23" t="s">
        <v>959</v>
      </c>
      <c r="E500" s="23" t="s">
        <v>971</v>
      </c>
      <c r="F500" s="2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3" t="s">
        <v>1360</v>
      </c>
      <c r="B501" s="23" t="s">
        <v>116</v>
      </c>
      <c r="C501" s="23" t="s">
        <v>1361</v>
      </c>
      <c r="D501" s="23" t="s">
        <v>959</v>
      </c>
      <c r="E501" s="23" t="s">
        <v>949</v>
      </c>
      <c r="F501" s="2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3" t="s">
        <v>1362</v>
      </c>
      <c r="B502" s="23" t="s">
        <v>123</v>
      </c>
      <c r="C502" s="23" t="s">
        <v>1361</v>
      </c>
      <c r="D502" s="23" t="s">
        <v>959</v>
      </c>
      <c r="E502" s="23" t="s">
        <v>971</v>
      </c>
      <c r="F502" s="2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3" t="s">
        <v>1363</v>
      </c>
      <c r="B503" s="23" t="s">
        <v>131</v>
      </c>
      <c r="C503" s="23" t="s">
        <v>1361</v>
      </c>
      <c r="D503" s="23" t="s">
        <v>959</v>
      </c>
      <c r="E503" s="23" t="s">
        <v>949</v>
      </c>
      <c r="F503" s="2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3" t="s">
        <v>1364</v>
      </c>
      <c r="B504" s="23" t="s">
        <v>137</v>
      </c>
      <c r="C504" s="23" t="s">
        <v>1361</v>
      </c>
      <c r="D504" s="23" t="s">
        <v>959</v>
      </c>
      <c r="E504" s="23" t="s">
        <v>949</v>
      </c>
      <c r="F504" s="2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3" t="s">
        <v>1365</v>
      </c>
      <c r="B505" s="23" t="s">
        <v>144</v>
      </c>
      <c r="C505" s="23" t="s">
        <v>1361</v>
      </c>
      <c r="D505" s="23" t="s">
        <v>959</v>
      </c>
      <c r="E505" s="23" t="s">
        <v>949</v>
      </c>
      <c r="F505" s="2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3" t="s">
        <v>1366</v>
      </c>
      <c r="B506" s="23" t="s">
        <v>151</v>
      </c>
      <c r="C506" s="23" t="s">
        <v>1361</v>
      </c>
      <c r="D506" s="23" t="s">
        <v>959</v>
      </c>
      <c r="E506" s="23" t="s">
        <v>949</v>
      </c>
      <c r="F506" s="2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3" t="s">
        <v>1367</v>
      </c>
      <c r="B507" s="23" t="s">
        <v>734</v>
      </c>
      <c r="C507" s="23" t="s">
        <v>1361</v>
      </c>
      <c r="D507" s="23" t="s">
        <v>959</v>
      </c>
      <c r="E507" s="23" t="s">
        <v>949</v>
      </c>
      <c r="F507" s="2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3" t="s">
        <v>1368</v>
      </c>
      <c r="B508" s="23" t="s">
        <v>831</v>
      </c>
      <c r="C508" s="23" t="s">
        <v>1361</v>
      </c>
      <c r="D508" s="23" t="s">
        <v>959</v>
      </c>
      <c r="E508" s="23" t="s">
        <v>971</v>
      </c>
      <c r="F508" s="2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3" t="s">
        <v>1369</v>
      </c>
      <c r="B509" s="23" t="s">
        <v>833</v>
      </c>
      <c r="C509" s="23" t="s">
        <v>1361</v>
      </c>
      <c r="D509" s="23" t="s">
        <v>959</v>
      </c>
      <c r="E509" s="23" t="s">
        <v>949</v>
      </c>
      <c r="F509" s="2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3" t="s">
        <v>1370</v>
      </c>
      <c r="B510" s="23" t="s">
        <v>811</v>
      </c>
      <c r="C510" s="23" t="s">
        <v>1361</v>
      </c>
      <c r="D510" s="23" t="s">
        <v>959</v>
      </c>
      <c r="E510" s="23" t="s">
        <v>949</v>
      </c>
      <c r="F510" s="2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3" t="s">
        <v>1371</v>
      </c>
      <c r="B511" s="23" t="s">
        <v>838</v>
      </c>
      <c r="C511" s="23" t="s">
        <v>1361</v>
      </c>
      <c r="D511" s="23" t="s">
        <v>959</v>
      </c>
      <c r="E511" s="23" t="s">
        <v>949</v>
      </c>
      <c r="F511" s="2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3" t="s">
        <v>1372</v>
      </c>
      <c r="B512" s="23" t="s">
        <v>840</v>
      </c>
      <c r="C512" s="23" t="s">
        <v>1361</v>
      </c>
      <c r="D512" s="23" t="s">
        <v>959</v>
      </c>
      <c r="E512" s="23" t="s">
        <v>949</v>
      </c>
      <c r="F512" s="2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3" t="s">
        <v>1373</v>
      </c>
      <c r="B513" s="23" t="s">
        <v>842</v>
      </c>
      <c r="C513" s="23" t="s">
        <v>1361</v>
      </c>
      <c r="D513" s="23" t="s">
        <v>959</v>
      </c>
      <c r="E513" s="23" t="s">
        <v>949</v>
      </c>
      <c r="F513" s="2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3" t="s">
        <v>1374</v>
      </c>
      <c r="B514" s="23" t="s">
        <v>844</v>
      </c>
      <c r="C514" s="23" t="s">
        <v>1361</v>
      </c>
      <c r="D514" s="23" t="s">
        <v>959</v>
      </c>
      <c r="E514" s="23" t="s">
        <v>949</v>
      </c>
      <c r="F514" s="2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3" t="s">
        <v>1375</v>
      </c>
      <c r="B515" s="23" t="s">
        <v>846</v>
      </c>
      <c r="C515" s="23" t="s">
        <v>1361</v>
      </c>
      <c r="D515" s="23" t="s">
        <v>959</v>
      </c>
      <c r="E515" s="23" t="s">
        <v>949</v>
      </c>
      <c r="F515" s="2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3" t="s">
        <v>1376</v>
      </c>
      <c r="B516" s="23" t="s">
        <v>848</v>
      </c>
      <c r="C516" s="23" t="s">
        <v>1361</v>
      </c>
      <c r="D516" s="23" t="s">
        <v>959</v>
      </c>
      <c r="E516" s="23" t="s">
        <v>949</v>
      </c>
      <c r="F516" s="2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3" t="s">
        <v>1377</v>
      </c>
      <c r="B517" s="23" t="s">
        <v>850</v>
      </c>
      <c r="C517" s="23" t="s">
        <v>1361</v>
      </c>
      <c r="D517" s="23" t="s">
        <v>959</v>
      </c>
      <c r="E517" s="23" t="s">
        <v>971</v>
      </c>
      <c r="F517" s="2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3" t="s">
        <v>1378</v>
      </c>
      <c r="B518" s="23" t="s">
        <v>853</v>
      </c>
      <c r="C518" s="23" t="s">
        <v>1361</v>
      </c>
      <c r="D518" s="23" t="s">
        <v>959</v>
      </c>
      <c r="E518" s="23" t="s">
        <v>949</v>
      </c>
      <c r="F518" s="2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3" t="s">
        <v>1379</v>
      </c>
      <c r="B519" s="23" t="s">
        <v>855</v>
      </c>
      <c r="C519" s="23" t="s">
        <v>1361</v>
      </c>
      <c r="D519" s="23" t="s">
        <v>959</v>
      </c>
      <c r="E519" s="23" t="s">
        <v>949</v>
      </c>
      <c r="F519" s="2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3" t="s">
        <v>1380</v>
      </c>
      <c r="B520" s="23" t="s">
        <v>857</v>
      </c>
      <c r="C520" s="23" t="s">
        <v>1361</v>
      </c>
      <c r="D520" s="23" t="s">
        <v>959</v>
      </c>
      <c r="E520" s="23" t="s">
        <v>971</v>
      </c>
      <c r="F520" s="2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3" t="s">
        <v>1381</v>
      </c>
      <c r="B521" s="23" t="s">
        <v>860</v>
      </c>
      <c r="C521" s="23" t="s">
        <v>1361</v>
      </c>
      <c r="D521" s="23" t="s">
        <v>959</v>
      </c>
      <c r="E521" s="23" t="s">
        <v>971</v>
      </c>
      <c r="F521" s="2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3" t="s">
        <v>1382</v>
      </c>
      <c r="B522" s="23" t="s">
        <v>862</v>
      </c>
      <c r="C522" s="23" t="s">
        <v>1361</v>
      </c>
      <c r="D522" s="23" t="s">
        <v>959</v>
      </c>
      <c r="E522" s="23" t="s">
        <v>949</v>
      </c>
      <c r="F522" s="2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3" t="s">
        <v>1383</v>
      </c>
      <c r="B523" s="23" t="s">
        <v>865</v>
      </c>
      <c r="C523" s="23" t="s">
        <v>1361</v>
      </c>
      <c r="D523" s="23" t="s">
        <v>959</v>
      </c>
      <c r="E523" s="23" t="s">
        <v>949</v>
      </c>
      <c r="F523" s="2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3" t="s">
        <v>1384</v>
      </c>
      <c r="B524" s="23" t="s">
        <v>867</v>
      </c>
      <c r="C524" s="23" t="s">
        <v>1361</v>
      </c>
      <c r="D524" s="23" t="s">
        <v>959</v>
      </c>
      <c r="E524" s="23" t="s">
        <v>971</v>
      </c>
      <c r="F524" s="2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3" t="s">
        <v>1385</v>
      </c>
      <c r="B525" s="23" t="s">
        <v>869</v>
      </c>
      <c r="C525" s="23" t="s">
        <v>1361</v>
      </c>
      <c r="D525" s="23" t="s">
        <v>959</v>
      </c>
      <c r="E525" s="23" t="s">
        <v>949</v>
      </c>
      <c r="F525" s="2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3" t="s">
        <v>1386</v>
      </c>
      <c r="B526" s="23" t="s">
        <v>871</v>
      </c>
      <c r="C526" s="23" t="s">
        <v>1361</v>
      </c>
      <c r="D526" s="23" t="s">
        <v>959</v>
      </c>
      <c r="E526" s="23" t="s">
        <v>949</v>
      </c>
      <c r="F526" s="2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3" t="s">
        <v>1387</v>
      </c>
      <c r="B527" s="23" t="s">
        <v>876</v>
      </c>
      <c r="C527" s="23" t="s">
        <v>1361</v>
      </c>
      <c r="D527" s="23" t="s">
        <v>959</v>
      </c>
      <c r="E527" s="23" t="s">
        <v>971</v>
      </c>
      <c r="F527" s="2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3" t="s">
        <v>1388</v>
      </c>
      <c r="B528" s="23" t="s">
        <v>879</v>
      </c>
      <c r="C528" s="23" t="s">
        <v>1361</v>
      </c>
      <c r="D528" s="23" t="s">
        <v>959</v>
      </c>
      <c r="E528" s="23" t="s">
        <v>949</v>
      </c>
      <c r="F528" s="2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3" t="s">
        <v>1389</v>
      </c>
      <c r="B529" s="23" t="s">
        <v>881</v>
      </c>
      <c r="C529" s="23" t="s">
        <v>1361</v>
      </c>
      <c r="D529" s="23" t="s">
        <v>959</v>
      </c>
      <c r="E529" s="23" t="s">
        <v>949</v>
      </c>
      <c r="F529" s="2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3" t="s">
        <v>1390</v>
      </c>
      <c r="B530" s="23" t="s">
        <v>883</v>
      </c>
      <c r="C530" s="23" t="s">
        <v>1361</v>
      </c>
      <c r="D530" s="23" t="s">
        <v>959</v>
      </c>
      <c r="E530" s="23" t="s">
        <v>971</v>
      </c>
      <c r="F530" s="2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3" t="s">
        <v>1391</v>
      </c>
      <c r="B531" s="23" t="s">
        <v>885</v>
      </c>
      <c r="C531" s="23" t="s">
        <v>1361</v>
      </c>
      <c r="D531" s="23" t="s">
        <v>959</v>
      </c>
      <c r="E531" s="23" t="s">
        <v>949</v>
      </c>
      <c r="F531" s="2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3" t="s">
        <v>1392</v>
      </c>
      <c r="B532" s="23" t="s">
        <v>887</v>
      </c>
      <c r="C532" s="23" t="s">
        <v>1361</v>
      </c>
      <c r="D532" s="23" t="s">
        <v>959</v>
      </c>
      <c r="E532" s="23" t="s">
        <v>949</v>
      </c>
      <c r="F532" s="2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3" t="s">
        <v>1393</v>
      </c>
      <c r="B533" s="23" t="s">
        <v>892</v>
      </c>
      <c r="C533" s="23" t="s">
        <v>1361</v>
      </c>
      <c r="D533" s="23" t="s">
        <v>959</v>
      </c>
      <c r="E533" s="23" t="s">
        <v>949</v>
      </c>
      <c r="F533" s="2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3" t="s">
        <v>1394</v>
      </c>
      <c r="B534" s="23" t="s">
        <v>935</v>
      </c>
      <c r="C534" s="23" t="s">
        <v>1361</v>
      </c>
      <c r="D534" s="23" t="s">
        <v>959</v>
      </c>
      <c r="E534" s="23" t="s">
        <v>949</v>
      </c>
      <c r="F534" s="2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3" t="s">
        <v>1395</v>
      </c>
      <c r="B535" s="23" t="s">
        <v>895</v>
      </c>
      <c r="C535" s="23" t="s">
        <v>1361</v>
      </c>
      <c r="D535" s="23" t="s">
        <v>959</v>
      </c>
      <c r="E535" s="23" t="s">
        <v>949</v>
      </c>
      <c r="F535" s="2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3" t="s">
        <v>1396</v>
      </c>
      <c r="B536" s="23" t="s">
        <v>897</v>
      </c>
      <c r="C536" s="23" t="s">
        <v>1361</v>
      </c>
      <c r="D536" s="23" t="s">
        <v>959</v>
      </c>
      <c r="E536" s="23" t="s">
        <v>949</v>
      </c>
      <c r="F536" s="2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3" t="s">
        <v>1397</v>
      </c>
      <c r="B537" s="23" t="s">
        <v>889</v>
      </c>
      <c r="C537" s="23" t="s">
        <v>1361</v>
      </c>
      <c r="D537" s="23" t="s">
        <v>959</v>
      </c>
      <c r="E537" s="23" t="s">
        <v>949</v>
      </c>
      <c r="F537" s="2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3" t="s">
        <v>1398</v>
      </c>
      <c r="B538" s="23" t="s">
        <v>899</v>
      </c>
      <c r="C538" s="23" t="s">
        <v>1361</v>
      </c>
      <c r="D538" s="23" t="s">
        <v>959</v>
      </c>
      <c r="E538" s="23" t="s">
        <v>949</v>
      </c>
      <c r="F538" s="2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3" t="s">
        <v>1399</v>
      </c>
      <c r="B539" s="23" t="s">
        <v>901</v>
      </c>
      <c r="C539" s="23" t="s">
        <v>1361</v>
      </c>
      <c r="D539" s="23" t="s">
        <v>959</v>
      </c>
      <c r="E539" s="23" t="s">
        <v>949</v>
      </c>
      <c r="F539" s="2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3" t="s">
        <v>1400</v>
      </c>
      <c r="B540" s="23" t="s">
        <v>904</v>
      </c>
      <c r="C540" s="23" t="s">
        <v>1361</v>
      </c>
      <c r="D540" s="23" t="s">
        <v>959</v>
      </c>
      <c r="E540" s="23" t="s">
        <v>949</v>
      </c>
      <c r="F540" s="2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3" t="s">
        <v>1401</v>
      </c>
      <c r="B541" s="23" t="s">
        <v>906</v>
      </c>
      <c r="C541" s="23" t="s">
        <v>1361</v>
      </c>
      <c r="D541" s="23" t="s">
        <v>959</v>
      </c>
      <c r="E541" s="23" t="s">
        <v>949</v>
      </c>
      <c r="F541" s="2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3" t="s">
        <v>1402</v>
      </c>
      <c r="B542" s="23" t="s">
        <v>908</v>
      </c>
      <c r="C542" s="23" t="s">
        <v>1361</v>
      </c>
      <c r="D542" s="23" t="s">
        <v>959</v>
      </c>
      <c r="E542" s="23" t="s">
        <v>949</v>
      </c>
      <c r="F542" s="2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3" t="s">
        <v>1403</v>
      </c>
      <c r="B543" s="23" t="s">
        <v>936</v>
      </c>
      <c r="C543" s="23" t="s">
        <v>1361</v>
      </c>
      <c r="D543" s="23" t="s">
        <v>959</v>
      </c>
      <c r="E543" s="23" t="s">
        <v>949</v>
      </c>
      <c r="F543" s="2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3" t="s">
        <v>1404</v>
      </c>
      <c r="B544" s="23" t="s">
        <v>910</v>
      </c>
      <c r="C544" s="23" t="s">
        <v>1361</v>
      </c>
      <c r="D544" s="23" t="s">
        <v>959</v>
      </c>
      <c r="E544" s="23" t="s">
        <v>949</v>
      </c>
      <c r="F544" s="2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3" t="s">
        <v>1405</v>
      </c>
      <c r="B545" s="23" t="s">
        <v>937</v>
      </c>
      <c r="C545" s="23" t="s">
        <v>1361</v>
      </c>
      <c r="D545" s="23" t="s">
        <v>959</v>
      </c>
      <c r="E545" s="23" t="s">
        <v>949</v>
      </c>
      <c r="F545" s="2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3" t="s">
        <v>1406</v>
      </c>
      <c r="B546" s="23" t="s">
        <v>912</v>
      </c>
      <c r="C546" s="23" t="s">
        <v>1361</v>
      </c>
      <c r="D546" s="23" t="s">
        <v>959</v>
      </c>
      <c r="E546" s="23" t="s">
        <v>949</v>
      </c>
      <c r="F546" s="2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3" t="s">
        <v>1407</v>
      </c>
      <c r="B547" s="23" t="s">
        <v>938</v>
      </c>
      <c r="C547" s="23" t="s">
        <v>1361</v>
      </c>
      <c r="D547" s="23" t="s">
        <v>959</v>
      </c>
      <c r="E547" s="23" t="s">
        <v>949</v>
      </c>
      <c r="F547" s="2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3" t="s">
        <v>1408</v>
      </c>
      <c r="B548" s="23" t="s">
        <v>914</v>
      </c>
      <c r="C548" s="23" t="s">
        <v>1361</v>
      </c>
      <c r="D548" s="23" t="s">
        <v>959</v>
      </c>
      <c r="E548" s="23" t="s">
        <v>949</v>
      </c>
      <c r="F548" s="2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3" t="s">
        <v>1409</v>
      </c>
      <c r="B549" s="23" t="s">
        <v>939</v>
      </c>
      <c r="C549" s="23" t="s">
        <v>1361</v>
      </c>
      <c r="D549" s="23" t="s">
        <v>959</v>
      </c>
      <c r="E549" s="23" t="s">
        <v>949</v>
      </c>
      <c r="F549" s="2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3" t="s">
        <v>1410</v>
      </c>
      <c r="B550" s="23" t="s">
        <v>953</v>
      </c>
      <c r="C550" s="23" t="s">
        <v>1361</v>
      </c>
      <c r="D550" s="23" t="s">
        <v>959</v>
      </c>
      <c r="E550" s="23" t="s">
        <v>949</v>
      </c>
      <c r="F550" s="2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3" t="s">
        <v>1411</v>
      </c>
      <c r="B551" s="23" t="s">
        <v>917</v>
      </c>
      <c r="C551" s="23" t="s">
        <v>1361</v>
      </c>
      <c r="D551" s="23" t="s">
        <v>959</v>
      </c>
      <c r="E551" s="23" t="s">
        <v>949</v>
      </c>
      <c r="F551" s="2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3" t="s">
        <v>1412</v>
      </c>
      <c r="B552" s="23" t="s">
        <v>873</v>
      </c>
      <c r="C552" s="23" t="s">
        <v>1361</v>
      </c>
      <c r="D552" s="23" t="s">
        <v>959</v>
      </c>
      <c r="E552" s="23" t="s">
        <v>971</v>
      </c>
      <c r="F552" s="2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3" t="s">
        <v>1413</v>
      </c>
      <c r="B553" s="23" t="s">
        <v>920</v>
      </c>
      <c r="C553" s="23" t="s">
        <v>1361</v>
      </c>
      <c r="D553" s="23" t="s">
        <v>959</v>
      </c>
      <c r="E553" s="23" t="s">
        <v>949</v>
      </c>
      <c r="F553" s="2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3" t="s">
        <v>1414</v>
      </c>
      <c r="B554" s="23" t="s">
        <v>923</v>
      </c>
      <c r="C554" s="23" t="s">
        <v>1361</v>
      </c>
      <c r="D554" s="23" t="s">
        <v>959</v>
      </c>
      <c r="E554" s="23" t="s">
        <v>949</v>
      </c>
      <c r="F554" s="2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3" t="s">
        <v>1415</v>
      </c>
      <c r="B555" s="23" t="s">
        <v>956</v>
      </c>
      <c r="C555" s="23" t="s">
        <v>1361</v>
      </c>
      <c r="D555" s="23" t="s">
        <v>959</v>
      </c>
      <c r="E555" s="23" t="s">
        <v>971</v>
      </c>
      <c r="F555" s="2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3" t="s">
        <v>1416</v>
      </c>
      <c r="B556" s="23" t="s">
        <v>926</v>
      </c>
      <c r="C556" s="23" t="s">
        <v>1361</v>
      </c>
      <c r="D556" s="23" t="s">
        <v>959</v>
      </c>
      <c r="E556" s="23" t="s">
        <v>949</v>
      </c>
      <c r="F556" s="2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3" t="s">
        <v>1417</v>
      </c>
      <c r="B557" s="23" t="s">
        <v>957</v>
      </c>
      <c r="C557" s="23" t="s">
        <v>1361</v>
      </c>
      <c r="D557" s="23" t="s">
        <v>959</v>
      </c>
      <c r="E557" s="23" t="s">
        <v>971</v>
      </c>
      <c r="F557" s="2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3" t="s">
        <v>1418</v>
      </c>
      <c r="B558" s="23" t="s">
        <v>929</v>
      </c>
      <c r="C558" s="23" t="s">
        <v>1361</v>
      </c>
      <c r="D558" s="23" t="s">
        <v>959</v>
      </c>
      <c r="E558" s="23" t="s">
        <v>949</v>
      </c>
      <c r="F558" s="2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3" t="s">
        <v>1419</v>
      </c>
      <c r="B559" s="23" t="s">
        <v>932</v>
      </c>
      <c r="C559" s="23" t="s">
        <v>1361</v>
      </c>
      <c r="D559" s="23" t="s">
        <v>959</v>
      </c>
      <c r="E559" s="23" t="s">
        <v>949</v>
      </c>
      <c r="F559" s="2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3" t="s">
        <v>1420</v>
      </c>
      <c r="B560" s="23" t="s">
        <v>934</v>
      </c>
      <c r="C560" s="23" t="s">
        <v>1361</v>
      </c>
      <c r="D560" s="23" t="s">
        <v>959</v>
      </c>
      <c r="E560" s="23" t="s">
        <v>971</v>
      </c>
      <c r="F560" s="2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3" t="s">
        <v>1421</v>
      </c>
      <c r="B561" s="23" t="s">
        <v>942</v>
      </c>
      <c r="C561" s="23" t="s">
        <v>1361</v>
      </c>
      <c r="D561" s="23" t="s">
        <v>959</v>
      </c>
      <c r="E561" s="23" t="s">
        <v>971</v>
      </c>
      <c r="F561" s="2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3" t="s">
        <v>1422</v>
      </c>
      <c r="B562" s="23" t="s">
        <v>116</v>
      </c>
      <c r="C562" s="23" t="s">
        <v>1423</v>
      </c>
      <c r="D562" s="23" t="s">
        <v>959</v>
      </c>
      <c r="E562" s="23" t="s">
        <v>949</v>
      </c>
      <c r="F562" s="2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3" t="s">
        <v>1424</v>
      </c>
      <c r="B563" s="23" t="s">
        <v>123</v>
      </c>
      <c r="C563" s="23" t="s">
        <v>1423</v>
      </c>
      <c r="D563" s="23" t="s">
        <v>959</v>
      </c>
      <c r="E563" s="23" t="s">
        <v>949</v>
      </c>
      <c r="F563" s="2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3" t="s">
        <v>1425</v>
      </c>
      <c r="B564" s="23" t="s">
        <v>131</v>
      </c>
      <c r="C564" s="23" t="s">
        <v>1423</v>
      </c>
      <c r="D564" s="23" t="s">
        <v>959</v>
      </c>
      <c r="E564" s="23" t="s">
        <v>949</v>
      </c>
      <c r="F564" s="2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3" t="s">
        <v>1426</v>
      </c>
      <c r="B565" s="23" t="s">
        <v>137</v>
      </c>
      <c r="C565" s="23" t="s">
        <v>1423</v>
      </c>
      <c r="D565" s="23" t="s">
        <v>959</v>
      </c>
      <c r="E565" s="23" t="s">
        <v>949</v>
      </c>
      <c r="F565" s="2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3" t="s">
        <v>1427</v>
      </c>
      <c r="B566" s="23" t="s">
        <v>144</v>
      </c>
      <c r="C566" s="23" t="s">
        <v>1423</v>
      </c>
      <c r="D566" s="23" t="s">
        <v>959</v>
      </c>
      <c r="E566" s="23" t="s">
        <v>949</v>
      </c>
      <c r="F566" s="2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3" t="s">
        <v>1428</v>
      </c>
      <c r="B567" s="23" t="s">
        <v>151</v>
      </c>
      <c r="C567" s="23" t="s">
        <v>1423</v>
      </c>
      <c r="D567" s="23" t="s">
        <v>959</v>
      </c>
      <c r="E567" s="23" t="s">
        <v>949</v>
      </c>
      <c r="F567" s="2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3" t="s">
        <v>1429</v>
      </c>
      <c r="B568" s="23" t="s">
        <v>734</v>
      </c>
      <c r="C568" s="23" t="s">
        <v>1423</v>
      </c>
      <c r="D568" s="23" t="s">
        <v>959</v>
      </c>
      <c r="E568" s="23" t="s">
        <v>949</v>
      </c>
      <c r="F568" s="2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3" t="s">
        <v>1430</v>
      </c>
      <c r="B569" s="23" t="s">
        <v>831</v>
      </c>
      <c r="C569" s="23" t="s">
        <v>1423</v>
      </c>
      <c r="D569" s="23" t="s">
        <v>959</v>
      </c>
      <c r="E569" s="23" t="s">
        <v>949</v>
      </c>
      <c r="F569" s="2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3" t="s">
        <v>1431</v>
      </c>
      <c r="B570" s="23" t="s">
        <v>833</v>
      </c>
      <c r="C570" s="23" t="s">
        <v>1423</v>
      </c>
      <c r="D570" s="23" t="s">
        <v>959</v>
      </c>
      <c r="E570" s="23" t="s">
        <v>949</v>
      </c>
      <c r="F570" s="2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3" t="s">
        <v>1432</v>
      </c>
      <c r="B571" s="23" t="s">
        <v>811</v>
      </c>
      <c r="C571" s="23" t="s">
        <v>1423</v>
      </c>
      <c r="D571" s="23" t="s">
        <v>959</v>
      </c>
      <c r="E571" s="23" t="s">
        <v>949</v>
      </c>
      <c r="F571" s="2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3" t="s">
        <v>1433</v>
      </c>
      <c r="B572" s="23" t="s">
        <v>838</v>
      </c>
      <c r="C572" s="23" t="s">
        <v>1423</v>
      </c>
      <c r="D572" s="23" t="s">
        <v>959</v>
      </c>
      <c r="E572" s="23" t="s">
        <v>949</v>
      </c>
      <c r="F572" s="2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3" t="s">
        <v>1434</v>
      </c>
      <c r="B573" s="23" t="s">
        <v>840</v>
      </c>
      <c r="C573" s="23" t="s">
        <v>1423</v>
      </c>
      <c r="D573" s="23" t="s">
        <v>959</v>
      </c>
      <c r="E573" s="23" t="s">
        <v>949</v>
      </c>
      <c r="F573" s="2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3" t="s">
        <v>1435</v>
      </c>
      <c r="B574" s="23" t="s">
        <v>842</v>
      </c>
      <c r="C574" s="23" t="s">
        <v>1423</v>
      </c>
      <c r="D574" s="23" t="s">
        <v>959</v>
      </c>
      <c r="E574" s="23" t="s">
        <v>949</v>
      </c>
      <c r="F574" s="2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3" t="s">
        <v>1436</v>
      </c>
      <c r="B575" s="23" t="s">
        <v>844</v>
      </c>
      <c r="C575" s="23" t="s">
        <v>1423</v>
      </c>
      <c r="D575" s="23" t="s">
        <v>959</v>
      </c>
      <c r="E575" s="23" t="s">
        <v>949</v>
      </c>
      <c r="F575" s="2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3" t="s">
        <v>1437</v>
      </c>
      <c r="B576" s="23" t="s">
        <v>846</v>
      </c>
      <c r="C576" s="23" t="s">
        <v>1423</v>
      </c>
      <c r="D576" s="23" t="s">
        <v>959</v>
      </c>
      <c r="E576" s="23" t="s">
        <v>949</v>
      </c>
      <c r="F576" s="2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3" t="s">
        <v>1438</v>
      </c>
      <c r="B577" s="23" t="s">
        <v>848</v>
      </c>
      <c r="C577" s="23" t="s">
        <v>1423</v>
      </c>
      <c r="D577" s="23" t="s">
        <v>959</v>
      </c>
      <c r="E577" s="23" t="s">
        <v>949</v>
      </c>
      <c r="F577" s="2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3" t="s">
        <v>1439</v>
      </c>
      <c r="B578" s="23" t="s">
        <v>850</v>
      </c>
      <c r="C578" s="23" t="s">
        <v>1423</v>
      </c>
      <c r="D578" s="23" t="s">
        <v>959</v>
      </c>
      <c r="E578" s="23" t="s">
        <v>949</v>
      </c>
      <c r="F578" s="2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3" t="s">
        <v>1440</v>
      </c>
      <c r="B579" s="23" t="s">
        <v>853</v>
      </c>
      <c r="C579" s="23" t="s">
        <v>1423</v>
      </c>
      <c r="D579" s="23" t="s">
        <v>959</v>
      </c>
      <c r="E579" s="23" t="s">
        <v>949</v>
      </c>
      <c r="F579" s="2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3" t="s">
        <v>1441</v>
      </c>
      <c r="B580" s="23" t="s">
        <v>855</v>
      </c>
      <c r="C580" s="23" t="s">
        <v>1423</v>
      </c>
      <c r="D580" s="23" t="s">
        <v>959</v>
      </c>
      <c r="E580" s="23" t="s">
        <v>949</v>
      </c>
      <c r="F580" s="2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3" t="s">
        <v>1442</v>
      </c>
      <c r="B581" s="23" t="s">
        <v>857</v>
      </c>
      <c r="C581" s="23" t="s">
        <v>1423</v>
      </c>
      <c r="D581" s="23" t="s">
        <v>959</v>
      </c>
      <c r="E581" s="23" t="s">
        <v>949</v>
      </c>
      <c r="F581" s="2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3" t="s">
        <v>1443</v>
      </c>
      <c r="B582" s="23" t="s">
        <v>860</v>
      </c>
      <c r="C582" s="23" t="s">
        <v>1423</v>
      </c>
      <c r="D582" s="23" t="s">
        <v>959</v>
      </c>
      <c r="E582" s="23" t="s">
        <v>949</v>
      </c>
      <c r="F582" s="2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3" t="s">
        <v>1444</v>
      </c>
      <c r="B583" s="23" t="s">
        <v>862</v>
      </c>
      <c r="C583" s="23" t="s">
        <v>1423</v>
      </c>
      <c r="D583" s="23" t="s">
        <v>959</v>
      </c>
      <c r="E583" s="23" t="s">
        <v>949</v>
      </c>
      <c r="F583" s="2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3" t="s">
        <v>1445</v>
      </c>
      <c r="B584" s="23" t="s">
        <v>865</v>
      </c>
      <c r="C584" s="23" t="s">
        <v>1423</v>
      </c>
      <c r="D584" s="23" t="s">
        <v>959</v>
      </c>
      <c r="E584" s="23" t="s">
        <v>949</v>
      </c>
      <c r="F584" s="2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3" t="s">
        <v>1446</v>
      </c>
      <c r="B585" s="23" t="s">
        <v>867</v>
      </c>
      <c r="C585" s="23" t="s">
        <v>1423</v>
      </c>
      <c r="D585" s="23" t="s">
        <v>959</v>
      </c>
      <c r="E585" s="23" t="s">
        <v>949</v>
      </c>
      <c r="F585" s="2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3" t="s">
        <v>1447</v>
      </c>
      <c r="B586" s="23" t="s">
        <v>869</v>
      </c>
      <c r="C586" s="23" t="s">
        <v>1423</v>
      </c>
      <c r="D586" s="23" t="s">
        <v>959</v>
      </c>
      <c r="E586" s="23" t="s">
        <v>949</v>
      </c>
      <c r="F586" s="2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3" t="s">
        <v>1448</v>
      </c>
      <c r="B587" s="23" t="s">
        <v>871</v>
      </c>
      <c r="C587" s="23" t="s">
        <v>1423</v>
      </c>
      <c r="D587" s="23" t="s">
        <v>959</v>
      </c>
      <c r="E587" s="23" t="s">
        <v>949</v>
      </c>
      <c r="F587" s="2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3" t="s">
        <v>1449</v>
      </c>
      <c r="B588" s="23" t="s">
        <v>876</v>
      </c>
      <c r="C588" s="23" t="s">
        <v>1423</v>
      </c>
      <c r="D588" s="23" t="s">
        <v>959</v>
      </c>
      <c r="E588" s="23" t="s">
        <v>949</v>
      </c>
      <c r="F588" s="2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3" t="s">
        <v>1450</v>
      </c>
      <c r="B589" s="23" t="s">
        <v>879</v>
      </c>
      <c r="C589" s="23" t="s">
        <v>1423</v>
      </c>
      <c r="D589" s="23" t="s">
        <v>959</v>
      </c>
      <c r="E589" s="23" t="s">
        <v>949</v>
      </c>
      <c r="F589" s="2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3" t="s">
        <v>1451</v>
      </c>
      <c r="B590" s="23" t="s">
        <v>881</v>
      </c>
      <c r="C590" s="23" t="s">
        <v>1423</v>
      </c>
      <c r="D590" s="23" t="s">
        <v>959</v>
      </c>
      <c r="E590" s="23" t="s">
        <v>949</v>
      </c>
      <c r="F590" s="2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3" t="s">
        <v>1452</v>
      </c>
      <c r="B591" s="23" t="s">
        <v>883</v>
      </c>
      <c r="C591" s="23" t="s">
        <v>1423</v>
      </c>
      <c r="D591" s="23" t="s">
        <v>959</v>
      </c>
      <c r="E591" s="23" t="s">
        <v>949</v>
      </c>
      <c r="F591" s="2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3" t="s">
        <v>1453</v>
      </c>
      <c r="B592" s="23" t="s">
        <v>885</v>
      </c>
      <c r="C592" s="23" t="s">
        <v>1423</v>
      </c>
      <c r="D592" s="23" t="s">
        <v>959</v>
      </c>
      <c r="E592" s="23" t="s">
        <v>949</v>
      </c>
      <c r="F592" s="2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3" t="s">
        <v>1454</v>
      </c>
      <c r="B593" s="23" t="s">
        <v>887</v>
      </c>
      <c r="C593" s="23" t="s">
        <v>1423</v>
      </c>
      <c r="D593" s="23" t="s">
        <v>959</v>
      </c>
      <c r="E593" s="23" t="s">
        <v>949</v>
      </c>
      <c r="F593" s="2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3" t="s">
        <v>1455</v>
      </c>
      <c r="B594" s="23" t="s">
        <v>892</v>
      </c>
      <c r="C594" s="23" t="s">
        <v>1423</v>
      </c>
      <c r="D594" s="23" t="s">
        <v>959</v>
      </c>
      <c r="E594" s="23" t="s">
        <v>949</v>
      </c>
      <c r="F594" s="2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3" t="s">
        <v>1456</v>
      </c>
      <c r="B595" s="23" t="s">
        <v>935</v>
      </c>
      <c r="C595" s="23" t="s">
        <v>1423</v>
      </c>
      <c r="D595" s="23" t="s">
        <v>959</v>
      </c>
      <c r="E595" s="23" t="s">
        <v>949</v>
      </c>
      <c r="F595" s="2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3" t="s">
        <v>1457</v>
      </c>
      <c r="B596" s="23" t="s">
        <v>895</v>
      </c>
      <c r="C596" s="23" t="s">
        <v>1423</v>
      </c>
      <c r="D596" s="23" t="s">
        <v>959</v>
      </c>
      <c r="E596" s="23" t="s">
        <v>949</v>
      </c>
      <c r="F596" s="2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3" t="s">
        <v>1458</v>
      </c>
      <c r="B597" s="23" t="s">
        <v>897</v>
      </c>
      <c r="C597" s="23" t="s">
        <v>1423</v>
      </c>
      <c r="D597" s="23" t="s">
        <v>959</v>
      </c>
      <c r="E597" s="23" t="s">
        <v>949</v>
      </c>
      <c r="F597" s="2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3" t="s">
        <v>1459</v>
      </c>
      <c r="B598" s="23" t="s">
        <v>889</v>
      </c>
      <c r="C598" s="23" t="s">
        <v>1423</v>
      </c>
      <c r="D598" s="23" t="s">
        <v>959</v>
      </c>
      <c r="E598" s="23" t="s">
        <v>949</v>
      </c>
      <c r="F598" s="2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3" t="s">
        <v>1460</v>
      </c>
      <c r="B599" s="23" t="s">
        <v>899</v>
      </c>
      <c r="C599" s="23" t="s">
        <v>1423</v>
      </c>
      <c r="D599" s="23" t="s">
        <v>959</v>
      </c>
      <c r="E599" s="23" t="s">
        <v>949</v>
      </c>
      <c r="F599" s="2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3" t="s">
        <v>1461</v>
      </c>
      <c r="B600" s="23" t="s">
        <v>901</v>
      </c>
      <c r="C600" s="23" t="s">
        <v>1423</v>
      </c>
      <c r="D600" s="23" t="s">
        <v>959</v>
      </c>
      <c r="E600" s="23" t="s">
        <v>949</v>
      </c>
      <c r="F600" s="2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3" t="s">
        <v>1462</v>
      </c>
      <c r="B601" s="23" t="s">
        <v>904</v>
      </c>
      <c r="C601" s="23" t="s">
        <v>1423</v>
      </c>
      <c r="D601" s="23" t="s">
        <v>959</v>
      </c>
      <c r="E601" s="23" t="s">
        <v>949</v>
      </c>
      <c r="F601" s="2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3" t="s">
        <v>1463</v>
      </c>
      <c r="B602" s="23" t="s">
        <v>906</v>
      </c>
      <c r="C602" s="23" t="s">
        <v>1423</v>
      </c>
      <c r="D602" s="23" t="s">
        <v>959</v>
      </c>
      <c r="E602" s="23" t="s">
        <v>949</v>
      </c>
      <c r="F602" s="2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3" t="s">
        <v>1464</v>
      </c>
      <c r="B603" s="23" t="s">
        <v>908</v>
      </c>
      <c r="C603" s="23" t="s">
        <v>1423</v>
      </c>
      <c r="D603" s="23" t="s">
        <v>959</v>
      </c>
      <c r="E603" s="23" t="s">
        <v>949</v>
      </c>
      <c r="F603" s="2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3" t="s">
        <v>1465</v>
      </c>
      <c r="B604" s="23" t="s">
        <v>936</v>
      </c>
      <c r="C604" s="23" t="s">
        <v>1423</v>
      </c>
      <c r="D604" s="23" t="s">
        <v>959</v>
      </c>
      <c r="E604" s="23" t="s">
        <v>949</v>
      </c>
      <c r="F604" s="2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3" t="s">
        <v>1466</v>
      </c>
      <c r="B605" s="23" t="s">
        <v>910</v>
      </c>
      <c r="C605" s="23" t="s">
        <v>1423</v>
      </c>
      <c r="D605" s="23" t="s">
        <v>959</v>
      </c>
      <c r="E605" s="23" t="s">
        <v>949</v>
      </c>
      <c r="F605" s="2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3" t="s">
        <v>1467</v>
      </c>
      <c r="B606" s="23" t="s">
        <v>937</v>
      </c>
      <c r="C606" s="23" t="s">
        <v>1423</v>
      </c>
      <c r="D606" s="23" t="s">
        <v>959</v>
      </c>
      <c r="E606" s="23" t="s">
        <v>949</v>
      </c>
      <c r="F606" s="2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3" t="s">
        <v>1468</v>
      </c>
      <c r="B607" s="23" t="s">
        <v>912</v>
      </c>
      <c r="C607" s="23" t="s">
        <v>1423</v>
      </c>
      <c r="D607" s="23" t="s">
        <v>959</v>
      </c>
      <c r="E607" s="23" t="s">
        <v>949</v>
      </c>
      <c r="F607" s="2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3" t="s">
        <v>1469</v>
      </c>
      <c r="B608" s="23" t="s">
        <v>938</v>
      </c>
      <c r="C608" s="23" t="s">
        <v>1423</v>
      </c>
      <c r="D608" s="23" t="s">
        <v>959</v>
      </c>
      <c r="E608" s="23" t="s">
        <v>949</v>
      </c>
      <c r="F608" s="2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3" t="s">
        <v>1470</v>
      </c>
      <c r="B609" s="23" t="s">
        <v>914</v>
      </c>
      <c r="C609" s="23" t="s">
        <v>1423</v>
      </c>
      <c r="D609" s="23" t="s">
        <v>959</v>
      </c>
      <c r="E609" s="23" t="s">
        <v>949</v>
      </c>
      <c r="F609" s="2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3" t="s">
        <v>1471</v>
      </c>
      <c r="B610" s="23" t="s">
        <v>939</v>
      </c>
      <c r="C610" s="23" t="s">
        <v>1423</v>
      </c>
      <c r="D610" s="23" t="s">
        <v>959</v>
      </c>
      <c r="E610" s="23" t="s">
        <v>949</v>
      </c>
      <c r="F610" s="2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3" t="s">
        <v>1472</v>
      </c>
      <c r="B611" s="23" t="s">
        <v>953</v>
      </c>
      <c r="C611" s="23" t="s">
        <v>1423</v>
      </c>
      <c r="D611" s="23" t="s">
        <v>959</v>
      </c>
      <c r="E611" s="23" t="s">
        <v>949</v>
      </c>
      <c r="F611" s="2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3" t="s">
        <v>1473</v>
      </c>
      <c r="B612" s="23" t="s">
        <v>917</v>
      </c>
      <c r="C612" s="23" t="s">
        <v>1423</v>
      </c>
      <c r="D612" s="23" t="s">
        <v>959</v>
      </c>
      <c r="E612" s="23" t="s">
        <v>949</v>
      </c>
      <c r="F612" s="2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3" t="s">
        <v>1474</v>
      </c>
      <c r="B613" s="23" t="s">
        <v>873</v>
      </c>
      <c r="C613" s="23" t="s">
        <v>1423</v>
      </c>
      <c r="D613" s="23" t="s">
        <v>959</v>
      </c>
      <c r="E613" s="23" t="s">
        <v>949</v>
      </c>
      <c r="F613" s="2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3" t="s">
        <v>1475</v>
      </c>
      <c r="B614" s="23" t="s">
        <v>920</v>
      </c>
      <c r="C614" s="23" t="s">
        <v>1423</v>
      </c>
      <c r="D614" s="23" t="s">
        <v>959</v>
      </c>
      <c r="E614" s="23" t="s">
        <v>949</v>
      </c>
      <c r="F614" s="2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3" t="s">
        <v>1476</v>
      </c>
      <c r="B615" s="23" t="s">
        <v>923</v>
      </c>
      <c r="C615" s="23" t="s">
        <v>1423</v>
      </c>
      <c r="D615" s="23" t="s">
        <v>959</v>
      </c>
      <c r="E615" s="23" t="s">
        <v>949</v>
      </c>
      <c r="F615" s="2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3" t="s">
        <v>1477</v>
      </c>
      <c r="B616" s="23" t="s">
        <v>956</v>
      </c>
      <c r="C616" s="23" t="s">
        <v>1423</v>
      </c>
      <c r="D616" s="23" t="s">
        <v>959</v>
      </c>
      <c r="E616" s="23" t="s">
        <v>971</v>
      </c>
      <c r="F616" s="2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3" t="s">
        <v>1478</v>
      </c>
      <c r="B617" s="23" t="s">
        <v>926</v>
      </c>
      <c r="C617" s="23" t="s">
        <v>1423</v>
      </c>
      <c r="D617" s="23" t="s">
        <v>959</v>
      </c>
      <c r="E617" s="23" t="s">
        <v>949</v>
      </c>
      <c r="F617" s="2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3" t="s">
        <v>1479</v>
      </c>
      <c r="B618" s="23" t="s">
        <v>957</v>
      </c>
      <c r="C618" s="23" t="s">
        <v>1423</v>
      </c>
      <c r="D618" s="23" t="s">
        <v>959</v>
      </c>
      <c r="E618" s="23" t="s">
        <v>971</v>
      </c>
      <c r="F618" s="2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3" t="s">
        <v>1480</v>
      </c>
      <c r="B619" s="23" t="s">
        <v>929</v>
      </c>
      <c r="C619" s="23" t="s">
        <v>1423</v>
      </c>
      <c r="D619" s="23" t="s">
        <v>959</v>
      </c>
      <c r="E619" s="23" t="s">
        <v>949</v>
      </c>
      <c r="F619" s="2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3" t="s">
        <v>1481</v>
      </c>
      <c r="B620" s="23" t="s">
        <v>932</v>
      </c>
      <c r="C620" s="23" t="s">
        <v>1423</v>
      </c>
      <c r="D620" s="23" t="s">
        <v>959</v>
      </c>
      <c r="E620" s="23" t="s">
        <v>949</v>
      </c>
      <c r="F620" s="2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3" t="s">
        <v>1482</v>
      </c>
      <c r="B621" s="23" t="s">
        <v>934</v>
      </c>
      <c r="C621" s="23" t="s">
        <v>1423</v>
      </c>
      <c r="D621" s="23" t="s">
        <v>959</v>
      </c>
      <c r="E621" s="23" t="s">
        <v>971</v>
      </c>
      <c r="F621" s="2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3" t="s">
        <v>1483</v>
      </c>
      <c r="B622" s="23" t="s">
        <v>942</v>
      </c>
      <c r="C622" s="23" t="s">
        <v>1423</v>
      </c>
      <c r="D622" s="23" t="s">
        <v>959</v>
      </c>
      <c r="E622" s="23" t="s">
        <v>971</v>
      </c>
      <c r="F622" s="2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3" t="s">
        <v>1484</v>
      </c>
      <c r="B623" s="23" t="s">
        <v>116</v>
      </c>
      <c r="C623" s="23" t="s">
        <v>1485</v>
      </c>
      <c r="D623" s="23" t="s">
        <v>959</v>
      </c>
      <c r="E623" s="23" t="s">
        <v>949</v>
      </c>
      <c r="F623" s="2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3" t="s">
        <v>1486</v>
      </c>
      <c r="B624" s="23" t="s">
        <v>123</v>
      </c>
      <c r="C624" s="23" t="s">
        <v>1485</v>
      </c>
      <c r="D624" s="23" t="s">
        <v>959</v>
      </c>
      <c r="E624" s="23" t="s">
        <v>949</v>
      </c>
      <c r="F624" s="2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3" t="s">
        <v>1487</v>
      </c>
      <c r="B625" s="23" t="s">
        <v>131</v>
      </c>
      <c r="C625" s="23" t="s">
        <v>1485</v>
      </c>
      <c r="D625" s="23" t="s">
        <v>959</v>
      </c>
      <c r="E625" s="23" t="s">
        <v>949</v>
      </c>
      <c r="F625" s="2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3" t="s">
        <v>1488</v>
      </c>
      <c r="B626" s="23" t="s">
        <v>137</v>
      </c>
      <c r="C626" s="23" t="s">
        <v>1485</v>
      </c>
      <c r="D626" s="23" t="s">
        <v>959</v>
      </c>
      <c r="E626" s="23" t="s">
        <v>949</v>
      </c>
      <c r="F626" s="2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3" t="s">
        <v>1489</v>
      </c>
      <c r="B627" s="23" t="s">
        <v>144</v>
      </c>
      <c r="C627" s="23" t="s">
        <v>1485</v>
      </c>
      <c r="D627" s="23" t="s">
        <v>959</v>
      </c>
      <c r="E627" s="23" t="s">
        <v>949</v>
      </c>
      <c r="F627" s="2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3" t="s">
        <v>1490</v>
      </c>
      <c r="B628" s="23" t="s">
        <v>151</v>
      </c>
      <c r="C628" s="23" t="s">
        <v>1485</v>
      </c>
      <c r="D628" s="23" t="s">
        <v>959</v>
      </c>
      <c r="E628" s="23" t="s">
        <v>949</v>
      </c>
      <c r="F628" s="2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3" t="s">
        <v>1491</v>
      </c>
      <c r="B629" s="23" t="s">
        <v>734</v>
      </c>
      <c r="C629" s="23" t="s">
        <v>1485</v>
      </c>
      <c r="D629" s="23" t="s">
        <v>959</v>
      </c>
      <c r="E629" s="23" t="s">
        <v>949</v>
      </c>
      <c r="F629" s="2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3" t="s">
        <v>1492</v>
      </c>
      <c r="B630" s="23" t="s">
        <v>831</v>
      </c>
      <c r="C630" s="23" t="s">
        <v>1485</v>
      </c>
      <c r="D630" s="23" t="s">
        <v>959</v>
      </c>
      <c r="E630" s="23" t="s">
        <v>949</v>
      </c>
      <c r="F630" s="2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3" t="s">
        <v>1493</v>
      </c>
      <c r="B631" s="23" t="s">
        <v>833</v>
      </c>
      <c r="C631" s="23" t="s">
        <v>1485</v>
      </c>
      <c r="D631" s="23" t="s">
        <v>959</v>
      </c>
      <c r="E631" s="23" t="s">
        <v>949</v>
      </c>
      <c r="F631" s="2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3" t="s">
        <v>1494</v>
      </c>
      <c r="B632" s="23" t="s">
        <v>811</v>
      </c>
      <c r="C632" s="23" t="s">
        <v>1485</v>
      </c>
      <c r="D632" s="23" t="s">
        <v>959</v>
      </c>
      <c r="E632" s="23" t="s">
        <v>949</v>
      </c>
      <c r="F632" s="2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3" t="s">
        <v>1495</v>
      </c>
      <c r="B633" s="23" t="s">
        <v>838</v>
      </c>
      <c r="C633" s="23" t="s">
        <v>1485</v>
      </c>
      <c r="D633" s="23" t="s">
        <v>959</v>
      </c>
      <c r="E633" s="23" t="s">
        <v>949</v>
      </c>
      <c r="F633" s="2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3" t="s">
        <v>1496</v>
      </c>
      <c r="B634" s="23" t="s">
        <v>840</v>
      </c>
      <c r="C634" s="23" t="s">
        <v>1485</v>
      </c>
      <c r="D634" s="23" t="s">
        <v>959</v>
      </c>
      <c r="E634" s="23" t="s">
        <v>949</v>
      </c>
      <c r="F634" s="2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3" t="s">
        <v>1497</v>
      </c>
      <c r="B635" s="23" t="s">
        <v>842</v>
      </c>
      <c r="C635" s="23" t="s">
        <v>1485</v>
      </c>
      <c r="D635" s="23" t="s">
        <v>959</v>
      </c>
      <c r="E635" s="23" t="s">
        <v>949</v>
      </c>
      <c r="F635" s="2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3" t="s">
        <v>1498</v>
      </c>
      <c r="B636" s="23" t="s">
        <v>844</v>
      </c>
      <c r="C636" s="23" t="s">
        <v>1485</v>
      </c>
      <c r="D636" s="23" t="s">
        <v>959</v>
      </c>
      <c r="E636" s="23" t="s">
        <v>949</v>
      </c>
      <c r="F636" s="2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3" t="s">
        <v>1499</v>
      </c>
      <c r="B637" s="23" t="s">
        <v>846</v>
      </c>
      <c r="C637" s="23" t="s">
        <v>1485</v>
      </c>
      <c r="D637" s="23" t="s">
        <v>959</v>
      </c>
      <c r="E637" s="23" t="s">
        <v>949</v>
      </c>
      <c r="F637" s="2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3" t="s">
        <v>1500</v>
      </c>
      <c r="B638" s="23" t="s">
        <v>848</v>
      </c>
      <c r="C638" s="23" t="s">
        <v>1485</v>
      </c>
      <c r="D638" s="23" t="s">
        <v>959</v>
      </c>
      <c r="E638" s="23" t="s">
        <v>949</v>
      </c>
      <c r="F638" s="2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3" t="s">
        <v>1501</v>
      </c>
      <c r="B639" s="23" t="s">
        <v>850</v>
      </c>
      <c r="C639" s="23" t="s">
        <v>1485</v>
      </c>
      <c r="D639" s="23" t="s">
        <v>959</v>
      </c>
      <c r="E639" s="23" t="s">
        <v>949</v>
      </c>
      <c r="F639" s="2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3" t="s">
        <v>1502</v>
      </c>
      <c r="B640" s="23" t="s">
        <v>853</v>
      </c>
      <c r="C640" s="23" t="s">
        <v>1485</v>
      </c>
      <c r="D640" s="23" t="s">
        <v>959</v>
      </c>
      <c r="E640" s="23" t="s">
        <v>949</v>
      </c>
      <c r="F640" s="2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3" t="s">
        <v>1503</v>
      </c>
      <c r="B641" s="23" t="s">
        <v>855</v>
      </c>
      <c r="C641" s="23" t="s">
        <v>1485</v>
      </c>
      <c r="D641" s="23" t="s">
        <v>959</v>
      </c>
      <c r="E641" s="23" t="s">
        <v>949</v>
      </c>
      <c r="F641" s="2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3" t="s">
        <v>1504</v>
      </c>
      <c r="B642" s="23" t="s">
        <v>857</v>
      </c>
      <c r="C642" s="23" t="s">
        <v>1485</v>
      </c>
      <c r="D642" s="23" t="s">
        <v>959</v>
      </c>
      <c r="E642" s="23" t="s">
        <v>949</v>
      </c>
      <c r="F642" s="2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3" t="s">
        <v>1505</v>
      </c>
      <c r="B643" s="23" t="s">
        <v>860</v>
      </c>
      <c r="C643" s="23" t="s">
        <v>1485</v>
      </c>
      <c r="D643" s="23" t="s">
        <v>959</v>
      </c>
      <c r="E643" s="23" t="s">
        <v>949</v>
      </c>
      <c r="F643" s="2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3" t="s">
        <v>1506</v>
      </c>
      <c r="B644" s="23" t="s">
        <v>862</v>
      </c>
      <c r="C644" s="23" t="s">
        <v>1485</v>
      </c>
      <c r="D644" s="23" t="s">
        <v>959</v>
      </c>
      <c r="E644" s="23" t="s">
        <v>949</v>
      </c>
      <c r="F644" s="2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3" t="s">
        <v>1507</v>
      </c>
      <c r="B645" s="23" t="s">
        <v>865</v>
      </c>
      <c r="C645" s="23" t="s">
        <v>1485</v>
      </c>
      <c r="D645" s="23" t="s">
        <v>959</v>
      </c>
      <c r="E645" s="23" t="s">
        <v>949</v>
      </c>
      <c r="F645" s="2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3" t="s">
        <v>1508</v>
      </c>
      <c r="B646" s="23" t="s">
        <v>867</v>
      </c>
      <c r="C646" s="23" t="s">
        <v>1485</v>
      </c>
      <c r="D646" s="23" t="s">
        <v>959</v>
      </c>
      <c r="E646" s="23" t="s">
        <v>949</v>
      </c>
      <c r="F646" s="2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3" t="s">
        <v>1509</v>
      </c>
      <c r="B647" s="23" t="s">
        <v>869</v>
      </c>
      <c r="C647" s="23" t="s">
        <v>1485</v>
      </c>
      <c r="D647" s="23" t="s">
        <v>959</v>
      </c>
      <c r="E647" s="23" t="s">
        <v>949</v>
      </c>
      <c r="F647" s="2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3" t="s">
        <v>1510</v>
      </c>
      <c r="B648" s="23" t="s">
        <v>871</v>
      </c>
      <c r="C648" s="23" t="s">
        <v>1485</v>
      </c>
      <c r="D648" s="23" t="s">
        <v>959</v>
      </c>
      <c r="E648" s="23" t="s">
        <v>949</v>
      </c>
      <c r="F648" s="2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3" t="s">
        <v>1511</v>
      </c>
      <c r="B649" s="23" t="s">
        <v>876</v>
      </c>
      <c r="C649" s="23" t="s">
        <v>1485</v>
      </c>
      <c r="D649" s="23" t="s">
        <v>959</v>
      </c>
      <c r="E649" s="23" t="s">
        <v>949</v>
      </c>
      <c r="F649" s="2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3" t="s">
        <v>1512</v>
      </c>
      <c r="B650" s="23" t="s">
        <v>879</v>
      </c>
      <c r="C650" s="23" t="s">
        <v>1485</v>
      </c>
      <c r="D650" s="23" t="s">
        <v>959</v>
      </c>
      <c r="E650" s="23" t="s">
        <v>949</v>
      </c>
      <c r="F650" s="2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3" t="s">
        <v>1513</v>
      </c>
      <c r="B651" s="23" t="s">
        <v>881</v>
      </c>
      <c r="C651" s="23" t="s">
        <v>1485</v>
      </c>
      <c r="D651" s="23" t="s">
        <v>959</v>
      </c>
      <c r="E651" s="23" t="s">
        <v>949</v>
      </c>
      <c r="F651" s="2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3" t="s">
        <v>1514</v>
      </c>
      <c r="B652" s="23" t="s">
        <v>883</v>
      </c>
      <c r="C652" s="23" t="s">
        <v>1485</v>
      </c>
      <c r="D652" s="23" t="s">
        <v>959</v>
      </c>
      <c r="E652" s="23" t="s">
        <v>949</v>
      </c>
      <c r="F652" s="2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3" t="s">
        <v>1515</v>
      </c>
      <c r="B653" s="23" t="s">
        <v>885</v>
      </c>
      <c r="C653" s="23" t="s">
        <v>1485</v>
      </c>
      <c r="D653" s="23" t="s">
        <v>959</v>
      </c>
      <c r="E653" s="23" t="s">
        <v>949</v>
      </c>
      <c r="F653" s="2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3" t="s">
        <v>1516</v>
      </c>
      <c r="B654" s="23" t="s">
        <v>887</v>
      </c>
      <c r="C654" s="23" t="s">
        <v>1485</v>
      </c>
      <c r="D654" s="23" t="s">
        <v>959</v>
      </c>
      <c r="E654" s="23" t="s">
        <v>949</v>
      </c>
      <c r="F654" s="2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3" t="s">
        <v>1517</v>
      </c>
      <c r="B655" s="23" t="s">
        <v>892</v>
      </c>
      <c r="C655" s="23" t="s">
        <v>1485</v>
      </c>
      <c r="D655" s="23" t="s">
        <v>959</v>
      </c>
      <c r="E655" s="23" t="s">
        <v>949</v>
      </c>
      <c r="F655" s="2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3" t="s">
        <v>1518</v>
      </c>
      <c r="B656" s="23" t="s">
        <v>935</v>
      </c>
      <c r="C656" s="23" t="s">
        <v>1485</v>
      </c>
      <c r="D656" s="23" t="s">
        <v>959</v>
      </c>
      <c r="E656" s="23" t="s">
        <v>949</v>
      </c>
      <c r="F656" s="2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3" t="s">
        <v>1519</v>
      </c>
      <c r="B657" s="23" t="s">
        <v>895</v>
      </c>
      <c r="C657" s="23" t="s">
        <v>1485</v>
      </c>
      <c r="D657" s="23" t="s">
        <v>959</v>
      </c>
      <c r="E657" s="23" t="s">
        <v>971</v>
      </c>
      <c r="F657" s="2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3" t="s">
        <v>1520</v>
      </c>
      <c r="B658" s="23" t="s">
        <v>897</v>
      </c>
      <c r="C658" s="23" t="s">
        <v>1485</v>
      </c>
      <c r="D658" s="23" t="s">
        <v>959</v>
      </c>
      <c r="E658" s="23" t="s">
        <v>949</v>
      </c>
      <c r="F658" s="2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3" t="s">
        <v>1521</v>
      </c>
      <c r="B659" s="23" t="s">
        <v>889</v>
      </c>
      <c r="C659" s="23" t="s">
        <v>1485</v>
      </c>
      <c r="D659" s="23" t="s">
        <v>959</v>
      </c>
      <c r="E659" s="23" t="s">
        <v>949</v>
      </c>
      <c r="F659" s="2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3" t="s">
        <v>1522</v>
      </c>
      <c r="B660" s="23" t="s">
        <v>899</v>
      </c>
      <c r="C660" s="23" t="s">
        <v>1485</v>
      </c>
      <c r="D660" s="23" t="s">
        <v>959</v>
      </c>
      <c r="E660" s="23" t="s">
        <v>949</v>
      </c>
      <c r="F660" s="2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3" t="s">
        <v>1523</v>
      </c>
      <c r="B661" s="23" t="s">
        <v>901</v>
      </c>
      <c r="C661" s="23" t="s">
        <v>1485</v>
      </c>
      <c r="D661" s="23" t="s">
        <v>959</v>
      </c>
      <c r="E661" s="23" t="s">
        <v>949</v>
      </c>
      <c r="F661" s="2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3" t="s">
        <v>1524</v>
      </c>
      <c r="B662" s="23" t="s">
        <v>904</v>
      </c>
      <c r="C662" s="23" t="s">
        <v>1485</v>
      </c>
      <c r="D662" s="23" t="s">
        <v>959</v>
      </c>
      <c r="E662" s="23" t="s">
        <v>949</v>
      </c>
      <c r="F662" s="2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3" t="s">
        <v>1525</v>
      </c>
      <c r="B663" s="23" t="s">
        <v>906</v>
      </c>
      <c r="C663" s="23" t="s">
        <v>1485</v>
      </c>
      <c r="D663" s="23" t="s">
        <v>959</v>
      </c>
      <c r="E663" s="23" t="s">
        <v>949</v>
      </c>
      <c r="F663" s="2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3" t="s">
        <v>1526</v>
      </c>
      <c r="B664" s="23" t="s">
        <v>908</v>
      </c>
      <c r="C664" s="23" t="s">
        <v>1485</v>
      </c>
      <c r="D664" s="23" t="s">
        <v>959</v>
      </c>
      <c r="E664" s="23" t="s">
        <v>949</v>
      </c>
      <c r="F664" s="2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3" t="s">
        <v>1527</v>
      </c>
      <c r="B665" s="23" t="s">
        <v>936</v>
      </c>
      <c r="C665" s="23" t="s">
        <v>1485</v>
      </c>
      <c r="D665" s="23" t="s">
        <v>959</v>
      </c>
      <c r="E665" s="23" t="s">
        <v>949</v>
      </c>
      <c r="F665" s="2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3" t="s">
        <v>1528</v>
      </c>
      <c r="B666" s="23" t="s">
        <v>910</v>
      </c>
      <c r="C666" s="23" t="s">
        <v>1485</v>
      </c>
      <c r="D666" s="23" t="s">
        <v>959</v>
      </c>
      <c r="E666" s="23" t="s">
        <v>949</v>
      </c>
      <c r="F666" s="2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3" t="s">
        <v>1529</v>
      </c>
      <c r="B667" s="23" t="s">
        <v>937</v>
      </c>
      <c r="C667" s="23" t="s">
        <v>1485</v>
      </c>
      <c r="D667" s="23" t="s">
        <v>959</v>
      </c>
      <c r="E667" s="23" t="s">
        <v>949</v>
      </c>
      <c r="F667" s="2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3" t="s">
        <v>1530</v>
      </c>
      <c r="B668" s="23" t="s">
        <v>912</v>
      </c>
      <c r="C668" s="23" t="s">
        <v>1485</v>
      </c>
      <c r="D668" s="23" t="s">
        <v>959</v>
      </c>
      <c r="E668" s="23" t="s">
        <v>949</v>
      </c>
      <c r="F668" s="2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3" t="s">
        <v>1531</v>
      </c>
      <c r="B669" s="23" t="s">
        <v>938</v>
      </c>
      <c r="C669" s="23" t="s">
        <v>1485</v>
      </c>
      <c r="D669" s="23" t="s">
        <v>959</v>
      </c>
      <c r="E669" s="23" t="s">
        <v>949</v>
      </c>
      <c r="F669" s="2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3" t="s">
        <v>1532</v>
      </c>
      <c r="B670" s="23" t="s">
        <v>914</v>
      </c>
      <c r="C670" s="23" t="s">
        <v>1485</v>
      </c>
      <c r="D670" s="23" t="s">
        <v>959</v>
      </c>
      <c r="E670" s="23" t="s">
        <v>949</v>
      </c>
      <c r="F670" s="2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3" t="s">
        <v>1533</v>
      </c>
      <c r="B671" s="23" t="s">
        <v>939</v>
      </c>
      <c r="C671" s="23" t="s">
        <v>1485</v>
      </c>
      <c r="D671" s="23" t="s">
        <v>959</v>
      </c>
      <c r="E671" s="23" t="s">
        <v>949</v>
      </c>
      <c r="F671" s="2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3" t="s">
        <v>1534</v>
      </c>
      <c r="B672" s="23" t="s">
        <v>953</v>
      </c>
      <c r="C672" s="23" t="s">
        <v>1485</v>
      </c>
      <c r="D672" s="23" t="s">
        <v>959</v>
      </c>
      <c r="E672" s="23" t="s">
        <v>971</v>
      </c>
      <c r="F672" s="2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3" t="s">
        <v>1535</v>
      </c>
      <c r="B673" s="23" t="s">
        <v>917</v>
      </c>
      <c r="C673" s="23" t="s">
        <v>1485</v>
      </c>
      <c r="D673" s="23" t="s">
        <v>959</v>
      </c>
      <c r="E673" s="23" t="s">
        <v>949</v>
      </c>
      <c r="F673" s="2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3" t="s">
        <v>1536</v>
      </c>
      <c r="B674" s="23" t="s">
        <v>873</v>
      </c>
      <c r="C674" s="23" t="s">
        <v>1485</v>
      </c>
      <c r="D674" s="23" t="s">
        <v>959</v>
      </c>
      <c r="E674" s="23" t="s">
        <v>949</v>
      </c>
      <c r="F674" s="2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3" t="s">
        <v>1537</v>
      </c>
      <c r="B675" s="23" t="s">
        <v>920</v>
      </c>
      <c r="C675" s="23" t="s">
        <v>1485</v>
      </c>
      <c r="D675" s="23" t="s">
        <v>959</v>
      </c>
      <c r="E675" s="23" t="s">
        <v>949</v>
      </c>
      <c r="F675" s="2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3" t="s">
        <v>1538</v>
      </c>
      <c r="B676" s="23" t="s">
        <v>923</v>
      </c>
      <c r="C676" s="23" t="s">
        <v>1485</v>
      </c>
      <c r="D676" s="23" t="s">
        <v>959</v>
      </c>
      <c r="E676" s="23" t="s">
        <v>949</v>
      </c>
      <c r="F676" s="2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3" t="s">
        <v>1539</v>
      </c>
      <c r="B677" s="23" t="s">
        <v>956</v>
      </c>
      <c r="C677" s="23" t="s">
        <v>1485</v>
      </c>
      <c r="D677" s="23" t="s">
        <v>959</v>
      </c>
      <c r="E677" s="23" t="s">
        <v>971</v>
      </c>
      <c r="F677" s="2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3" t="s">
        <v>1540</v>
      </c>
      <c r="B678" s="23" t="s">
        <v>926</v>
      </c>
      <c r="C678" s="23" t="s">
        <v>1485</v>
      </c>
      <c r="D678" s="23" t="s">
        <v>959</v>
      </c>
      <c r="E678" s="23" t="s">
        <v>949</v>
      </c>
      <c r="F678" s="2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3" t="s">
        <v>1541</v>
      </c>
      <c r="B679" s="23" t="s">
        <v>957</v>
      </c>
      <c r="C679" s="23" t="s">
        <v>1485</v>
      </c>
      <c r="D679" s="23" t="s">
        <v>959</v>
      </c>
      <c r="E679" s="23" t="s">
        <v>971</v>
      </c>
      <c r="F679" s="2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3" t="s">
        <v>1542</v>
      </c>
      <c r="B680" s="23" t="s">
        <v>929</v>
      </c>
      <c r="C680" s="23" t="s">
        <v>1485</v>
      </c>
      <c r="D680" s="23" t="s">
        <v>959</v>
      </c>
      <c r="E680" s="23" t="s">
        <v>949</v>
      </c>
      <c r="F680" s="2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3" t="s">
        <v>1543</v>
      </c>
      <c r="B681" s="23" t="s">
        <v>932</v>
      </c>
      <c r="C681" s="23" t="s">
        <v>1485</v>
      </c>
      <c r="D681" s="23" t="s">
        <v>959</v>
      </c>
      <c r="E681" s="23" t="s">
        <v>949</v>
      </c>
      <c r="F681" s="2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3" t="s">
        <v>1544</v>
      </c>
      <c r="B682" s="23" t="s">
        <v>934</v>
      </c>
      <c r="C682" s="23" t="s">
        <v>1485</v>
      </c>
      <c r="D682" s="23" t="s">
        <v>959</v>
      </c>
      <c r="E682" s="23" t="s">
        <v>971</v>
      </c>
      <c r="F682" s="2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3" t="s">
        <v>1545</v>
      </c>
      <c r="B683" s="23" t="s">
        <v>116</v>
      </c>
      <c r="C683" s="23" t="s">
        <v>1546</v>
      </c>
      <c r="D683" s="23" t="s">
        <v>1547</v>
      </c>
      <c r="E683" s="23" t="s">
        <v>949</v>
      </c>
      <c r="F683" s="2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3" t="s">
        <v>1548</v>
      </c>
      <c r="B684" s="23" t="s">
        <v>123</v>
      </c>
      <c r="C684" s="23" t="s">
        <v>1546</v>
      </c>
      <c r="D684" s="23" t="s">
        <v>1547</v>
      </c>
      <c r="E684" s="23" t="s">
        <v>949</v>
      </c>
      <c r="F684" s="2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3" t="s">
        <v>1549</v>
      </c>
      <c r="B685" s="23" t="s">
        <v>131</v>
      </c>
      <c r="C685" s="23" t="s">
        <v>1546</v>
      </c>
      <c r="D685" s="23" t="s">
        <v>1547</v>
      </c>
      <c r="E685" s="23" t="s">
        <v>949</v>
      </c>
      <c r="F685" s="2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3" t="s">
        <v>1550</v>
      </c>
      <c r="B686" s="23" t="s">
        <v>137</v>
      </c>
      <c r="C686" s="23" t="s">
        <v>1546</v>
      </c>
      <c r="D686" s="23" t="s">
        <v>1547</v>
      </c>
      <c r="E686" s="23" t="s">
        <v>949</v>
      </c>
      <c r="F686" s="2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3" t="s">
        <v>1551</v>
      </c>
      <c r="B687" s="23" t="s">
        <v>144</v>
      </c>
      <c r="C687" s="23" t="s">
        <v>1546</v>
      </c>
      <c r="D687" s="23" t="s">
        <v>1547</v>
      </c>
      <c r="E687" s="23" t="s">
        <v>949</v>
      </c>
      <c r="F687" s="2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3" t="s">
        <v>1552</v>
      </c>
      <c r="B688" s="23" t="s">
        <v>151</v>
      </c>
      <c r="C688" s="23" t="s">
        <v>1546</v>
      </c>
      <c r="D688" s="23" t="s">
        <v>1547</v>
      </c>
      <c r="E688" s="23" t="s">
        <v>949</v>
      </c>
      <c r="F688" s="2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3" t="s">
        <v>1553</v>
      </c>
      <c r="B689" s="23" t="s">
        <v>734</v>
      </c>
      <c r="C689" s="23" t="s">
        <v>1546</v>
      </c>
      <c r="D689" s="23" t="s">
        <v>1547</v>
      </c>
      <c r="E689" s="23" t="s">
        <v>949</v>
      </c>
      <c r="F689" s="2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3" t="s">
        <v>1554</v>
      </c>
      <c r="B690" s="23" t="s">
        <v>831</v>
      </c>
      <c r="C690" s="23" t="s">
        <v>1546</v>
      </c>
      <c r="D690" s="23" t="s">
        <v>1547</v>
      </c>
      <c r="E690" s="23" t="s">
        <v>949</v>
      </c>
      <c r="F690" s="2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3" t="s">
        <v>1555</v>
      </c>
      <c r="B691" s="23" t="s">
        <v>833</v>
      </c>
      <c r="C691" s="23" t="s">
        <v>1546</v>
      </c>
      <c r="D691" s="23" t="s">
        <v>1547</v>
      </c>
      <c r="E691" s="23" t="s">
        <v>949</v>
      </c>
      <c r="F691" s="2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3" t="s">
        <v>1556</v>
      </c>
      <c r="B692" s="23" t="s">
        <v>811</v>
      </c>
      <c r="C692" s="23" t="s">
        <v>1546</v>
      </c>
      <c r="D692" s="23" t="s">
        <v>1547</v>
      </c>
      <c r="E692" s="23" t="s">
        <v>949</v>
      </c>
      <c r="F692" s="2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3" t="s">
        <v>1557</v>
      </c>
      <c r="B693" s="23" t="s">
        <v>838</v>
      </c>
      <c r="C693" s="23" t="s">
        <v>1546</v>
      </c>
      <c r="D693" s="23" t="s">
        <v>1547</v>
      </c>
      <c r="E693" s="23" t="s">
        <v>949</v>
      </c>
      <c r="F693" s="2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3" t="s">
        <v>1558</v>
      </c>
      <c r="B694" s="23" t="s">
        <v>840</v>
      </c>
      <c r="C694" s="23" t="s">
        <v>1546</v>
      </c>
      <c r="D694" s="23" t="s">
        <v>1547</v>
      </c>
      <c r="E694" s="23" t="s">
        <v>949</v>
      </c>
      <c r="F694" s="2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3" t="s">
        <v>1559</v>
      </c>
      <c r="B695" s="23" t="s">
        <v>842</v>
      </c>
      <c r="C695" s="23" t="s">
        <v>1546</v>
      </c>
      <c r="D695" s="23" t="s">
        <v>1547</v>
      </c>
      <c r="E695" s="23" t="s">
        <v>949</v>
      </c>
      <c r="F695" s="2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3" t="s">
        <v>1560</v>
      </c>
      <c r="B696" s="23" t="s">
        <v>844</v>
      </c>
      <c r="C696" s="23" t="s">
        <v>1546</v>
      </c>
      <c r="D696" s="23" t="s">
        <v>1547</v>
      </c>
      <c r="E696" s="23" t="s">
        <v>949</v>
      </c>
      <c r="F696" s="2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3" t="s">
        <v>1561</v>
      </c>
      <c r="B697" s="23" t="s">
        <v>846</v>
      </c>
      <c r="C697" s="23" t="s">
        <v>1546</v>
      </c>
      <c r="D697" s="23" t="s">
        <v>1547</v>
      </c>
      <c r="E697" s="23" t="s">
        <v>949</v>
      </c>
      <c r="F697" s="2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3" t="s">
        <v>1562</v>
      </c>
      <c r="B698" s="23" t="s">
        <v>848</v>
      </c>
      <c r="C698" s="23" t="s">
        <v>1546</v>
      </c>
      <c r="D698" s="23" t="s">
        <v>1547</v>
      </c>
      <c r="E698" s="23" t="s">
        <v>949</v>
      </c>
      <c r="F698" s="2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3" t="s">
        <v>1563</v>
      </c>
      <c r="B699" s="23" t="s">
        <v>850</v>
      </c>
      <c r="C699" s="23" t="s">
        <v>1546</v>
      </c>
      <c r="D699" s="23" t="s">
        <v>1547</v>
      </c>
      <c r="E699" s="23" t="s">
        <v>949</v>
      </c>
      <c r="F699" s="2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3" t="s">
        <v>1564</v>
      </c>
      <c r="B700" s="23" t="s">
        <v>853</v>
      </c>
      <c r="C700" s="23" t="s">
        <v>1546</v>
      </c>
      <c r="D700" s="23" t="s">
        <v>1547</v>
      </c>
      <c r="E700" s="23" t="s">
        <v>949</v>
      </c>
      <c r="F700" s="2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3" t="s">
        <v>1565</v>
      </c>
      <c r="B701" s="23" t="s">
        <v>855</v>
      </c>
      <c r="C701" s="23" t="s">
        <v>1546</v>
      </c>
      <c r="D701" s="23" t="s">
        <v>1547</v>
      </c>
      <c r="E701" s="23" t="s">
        <v>949</v>
      </c>
      <c r="F701" s="2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3" t="s">
        <v>1566</v>
      </c>
      <c r="B702" s="23" t="s">
        <v>857</v>
      </c>
      <c r="C702" s="23" t="s">
        <v>1546</v>
      </c>
      <c r="D702" s="23" t="s">
        <v>1547</v>
      </c>
      <c r="E702" s="23" t="s">
        <v>949</v>
      </c>
      <c r="F702" s="2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3" t="s">
        <v>1567</v>
      </c>
      <c r="B703" s="23" t="s">
        <v>860</v>
      </c>
      <c r="C703" s="23" t="s">
        <v>1546</v>
      </c>
      <c r="D703" s="23" t="s">
        <v>1547</v>
      </c>
      <c r="E703" s="23" t="s">
        <v>949</v>
      </c>
      <c r="F703" s="2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3" t="s">
        <v>1568</v>
      </c>
      <c r="B704" s="23" t="s">
        <v>862</v>
      </c>
      <c r="C704" s="23" t="s">
        <v>1546</v>
      </c>
      <c r="D704" s="23" t="s">
        <v>1547</v>
      </c>
      <c r="E704" s="23" t="s">
        <v>949</v>
      </c>
      <c r="F704" s="2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3" t="s">
        <v>1569</v>
      </c>
      <c r="B705" s="23" t="s">
        <v>865</v>
      </c>
      <c r="C705" s="23" t="s">
        <v>1546</v>
      </c>
      <c r="D705" s="23" t="s">
        <v>1547</v>
      </c>
      <c r="E705" s="23" t="s">
        <v>949</v>
      </c>
      <c r="F705" s="2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3" t="s">
        <v>1570</v>
      </c>
      <c r="B706" s="23" t="s">
        <v>867</v>
      </c>
      <c r="C706" s="23" t="s">
        <v>1546</v>
      </c>
      <c r="D706" s="23" t="s">
        <v>1547</v>
      </c>
      <c r="E706" s="23" t="s">
        <v>949</v>
      </c>
      <c r="F706" s="2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3" t="s">
        <v>1571</v>
      </c>
      <c r="B707" s="23" t="s">
        <v>869</v>
      </c>
      <c r="C707" s="23" t="s">
        <v>1546</v>
      </c>
      <c r="D707" s="23" t="s">
        <v>1547</v>
      </c>
      <c r="E707" s="23" t="s">
        <v>949</v>
      </c>
      <c r="F707" s="2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3" t="s">
        <v>1572</v>
      </c>
      <c r="B708" s="23" t="s">
        <v>871</v>
      </c>
      <c r="C708" s="23" t="s">
        <v>1546</v>
      </c>
      <c r="D708" s="23" t="s">
        <v>1547</v>
      </c>
      <c r="E708" s="23" t="s">
        <v>949</v>
      </c>
      <c r="F708" s="2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3" t="s">
        <v>1573</v>
      </c>
      <c r="B709" s="23" t="s">
        <v>876</v>
      </c>
      <c r="C709" s="23" t="s">
        <v>1546</v>
      </c>
      <c r="D709" s="23" t="s">
        <v>1547</v>
      </c>
      <c r="E709" s="23" t="s">
        <v>949</v>
      </c>
      <c r="F709" s="2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3" t="s">
        <v>1574</v>
      </c>
      <c r="B710" s="23" t="s">
        <v>879</v>
      </c>
      <c r="C710" s="23" t="s">
        <v>1546</v>
      </c>
      <c r="D710" s="23" t="s">
        <v>1547</v>
      </c>
      <c r="E710" s="23" t="s">
        <v>949</v>
      </c>
      <c r="F710" s="2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3" t="s">
        <v>1575</v>
      </c>
      <c r="B711" s="23" t="s">
        <v>881</v>
      </c>
      <c r="C711" s="23" t="s">
        <v>1546</v>
      </c>
      <c r="D711" s="23" t="s">
        <v>1547</v>
      </c>
      <c r="E711" s="23" t="s">
        <v>949</v>
      </c>
      <c r="F711" s="2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3" t="s">
        <v>1576</v>
      </c>
      <c r="B712" s="23" t="s">
        <v>883</v>
      </c>
      <c r="C712" s="23" t="s">
        <v>1546</v>
      </c>
      <c r="D712" s="23" t="s">
        <v>1547</v>
      </c>
      <c r="E712" s="23" t="s">
        <v>949</v>
      </c>
      <c r="F712" s="2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3" t="s">
        <v>1577</v>
      </c>
      <c r="B713" s="23" t="s">
        <v>885</v>
      </c>
      <c r="C713" s="23" t="s">
        <v>1546</v>
      </c>
      <c r="D713" s="23" t="s">
        <v>1547</v>
      </c>
      <c r="E713" s="23" t="s">
        <v>949</v>
      </c>
      <c r="F713" s="2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3" t="s">
        <v>1578</v>
      </c>
      <c r="B714" s="23" t="s">
        <v>887</v>
      </c>
      <c r="C714" s="23" t="s">
        <v>1546</v>
      </c>
      <c r="D714" s="23" t="s">
        <v>1547</v>
      </c>
      <c r="E714" s="23" t="s">
        <v>949</v>
      </c>
      <c r="F714" s="2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3" t="s">
        <v>1579</v>
      </c>
      <c r="B715" s="23" t="s">
        <v>892</v>
      </c>
      <c r="C715" s="23" t="s">
        <v>1546</v>
      </c>
      <c r="D715" s="23" t="s">
        <v>1547</v>
      </c>
      <c r="E715" s="23" t="s">
        <v>949</v>
      </c>
      <c r="F715" s="2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3" t="s">
        <v>1580</v>
      </c>
      <c r="B716" s="23" t="s">
        <v>935</v>
      </c>
      <c r="C716" s="23" t="s">
        <v>1546</v>
      </c>
      <c r="D716" s="23" t="s">
        <v>1547</v>
      </c>
      <c r="E716" s="23" t="s">
        <v>949</v>
      </c>
      <c r="F716" s="2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3" t="s">
        <v>1581</v>
      </c>
      <c r="B717" s="23" t="s">
        <v>895</v>
      </c>
      <c r="C717" s="23" t="s">
        <v>1546</v>
      </c>
      <c r="D717" s="23" t="s">
        <v>1547</v>
      </c>
      <c r="E717" s="23" t="s">
        <v>949</v>
      </c>
      <c r="F717" s="2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3" t="s">
        <v>1582</v>
      </c>
      <c r="B718" s="23" t="s">
        <v>897</v>
      </c>
      <c r="C718" s="23" t="s">
        <v>1546</v>
      </c>
      <c r="D718" s="23" t="s">
        <v>1547</v>
      </c>
      <c r="E718" s="23" t="s">
        <v>949</v>
      </c>
      <c r="F718" s="2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3" t="s">
        <v>1583</v>
      </c>
      <c r="B719" s="23" t="s">
        <v>889</v>
      </c>
      <c r="C719" s="23" t="s">
        <v>1546</v>
      </c>
      <c r="D719" s="23" t="s">
        <v>1547</v>
      </c>
      <c r="E719" s="23" t="s">
        <v>949</v>
      </c>
      <c r="F719" s="2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3" t="s">
        <v>1584</v>
      </c>
      <c r="B720" s="23" t="s">
        <v>899</v>
      </c>
      <c r="C720" s="23" t="s">
        <v>1546</v>
      </c>
      <c r="D720" s="23" t="s">
        <v>1547</v>
      </c>
      <c r="E720" s="23" t="s">
        <v>949</v>
      </c>
      <c r="F720" s="2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3" t="s">
        <v>1585</v>
      </c>
      <c r="B721" s="23" t="s">
        <v>901</v>
      </c>
      <c r="C721" s="23" t="s">
        <v>1546</v>
      </c>
      <c r="D721" s="23" t="s">
        <v>1547</v>
      </c>
      <c r="E721" s="23" t="s">
        <v>971</v>
      </c>
      <c r="F721" s="2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3" t="s">
        <v>1586</v>
      </c>
      <c r="B722" s="23" t="s">
        <v>904</v>
      </c>
      <c r="C722" s="23" t="s">
        <v>1546</v>
      </c>
      <c r="D722" s="23" t="s">
        <v>1547</v>
      </c>
      <c r="E722" s="23" t="s">
        <v>949</v>
      </c>
      <c r="F722" s="2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3" t="s">
        <v>1587</v>
      </c>
      <c r="B723" s="23" t="s">
        <v>906</v>
      </c>
      <c r="C723" s="23" t="s">
        <v>1546</v>
      </c>
      <c r="D723" s="23" t="s">
        <v>1547</v>
      </c>
      <c r="E723" s="23" t="s">
        <v>949</v>
      </c>
      <c r="F723" s="2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3" t="s">
        <v>1588</v>
      </c>
      <c r="B724" s="23" t="s">
        <v>908</v>
      </c>
      <c r="C724" s="23" t="s">
        <v>1546</v>
      </c>
      <c r="D724" s="23" t="s">
        <v>1547</v>
      </c>
      <c r="E724" s="23" t="s">
        <v>949</v>
      </c>
      <c r="F724" s="2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3" t="s">
        <v>1589</v>
      </c>
      <c r="B725" s="23" t="s">
        <v>936</v>
      </c>
      <c r="C725" s="23" t="s">
        <v>1546</v>
      </c>
      <c r="D725" s="23" t="s">
        <v>1547</v>
      </c>
      <c r="E725" s="23" t="s">
        <v>949</v>
      </c>
      <c r="F725" s="2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3" t="s">
        <v>1590</v>
      </c>
      <c r="B726" s="23" t="s">
        <v>910</v>
      </c>
      <c r="C726" s="23" t="s">
        <v>1546</v>
      </c>
      <c r="D726" s="23" t="s">
        <v>1547</v>
      </c>
      <c r="E726" s="23" t="s">
        <v>971</v>
      </c>
      <c r="F726" s="2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3" t="s">
        <v>1591</v>
      </c>
      <c r="B727" s="23" t="s">
        <v>937</v>
      </c>
      <c r="C727" s="23" t="s">
        <v>1546</v>
      </c>
      <c r="D727" s="23" t="s">
        <v>1547</v>
      </c>
      <c r="E727" s="23" t="s">
        <v>949</v>
      </c>
      <c r="F727" s="2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3" t="s">
        <v>1592</v>
      </c>
      <c r="B728" s="23" t="s">
        <v>912</v>
      </c>
      <c r="C728" s="23" t="s">
        <v>1546</v>
      </c>
      <c r="D728" s="23" t="s">
        <v>1547</v>
      </c>
      <c r="E728" s="23" t="s">
        <v>949</v>
      </c>
      <c r="F728" s="2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3" t="s">
        <v>1593</v>
      </c>
      <c r="B729" s="23" t="s">
        <v>938</v>
      </c>
      <c r="C729" s="23" t="s">
        <v>1546</v>
      </c>
      <c r="D729" s="23" t="s">
        <v>1547</v>
      </c>
      <c r="E729" s="23" t="s">
        <v>949</v>
      </c>
      <c r="F729" s="2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3" t="s">
        <v>1594</v>
      </c>
      <c r="B730" s="23" t="s">
        <v>914</v>
      </c>
      <c r="C730" s="23" t="s">
        <v>1546</v>
      </c>
      <c r="D730" s="23" t="s">
        <v>1547</v>
      </c>
      <c r="E730" s="23" t="s">
        <v>949</v>
      </c>
      <c r="F730" s="2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3" t="s">
        <v>1595</v>
      </c>
      <c r="B731" s="23" t="s">
        <v>939</v>
      </c>
      <c r="C731" s="23" t="s">
        <v>1546</v>
      </c>
      <c r="D731" s="23" t="s">
        <v>1547</v>
      </c>
      <c r="E731" s="23" t="s">
        <v>949</v>
      </c>
      <c r="F731" s="2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3" t="s">
        <v>1596</v>
      </c>
      <c r="B732" s="23" t="s">
        <v>953</v>
      </c>
      <c r="C732" s="23" t="s">
        <v>1546</v>
      </c>
      <c r="D732" s="23" t="s">
        <v>1547</v>
      </c>
      <c r="E732" s="23" t="s">
        <v>949</v>
      </c>
      <c r="F732" s="2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3" t="s">
        <v>1597</v>
      </c>
      <c r="B733" s="23" t="s">
        <v>917</v>
      </c>
      <c r="C733" s="23" t="s">
        <v>1546</v>
      </c>
      <c r="D733" s="23" t="s">
        <v>1547</v>
      </c>
      <c r="E733" s="23" t="s">
        <v>949</v>
      </c>
      <c r="F733" s="2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3" t="s">
        <v>1598</v>
      </c>
      <c r="B734" s="23" t="s">
        <v>873</v>
      </c>
      <c r="C734" s="23" t="s">
        <v>1546</v>
      </c>
      <c r="D734" s="23" t="s">
        <v>1547</v>
      </c>
      <c r="E734" s="23" t="s">
        <v>949</v>
      </c>
      <c r="F734" s="2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3" t="s">
        <v>1599</v>
      </c>
      <c r="B735" s="23" t="s">
        <v>920</v>
      </c>
      <c r="C735" s="23" t="s">
        <v>1546</v>
      </c>
      <c r="D735" s="23" t="s">
        <v>1547</v>
      </c>
      <c r="E735" s="23" t="s">
        <v>949</v>
      </c>
      <c r="F735" s="2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3" t="s">
        <v>1600</v>
      </c>
      <c r="B736" s="23" t="s">
        <v>923</v>
      </c>
      <c r="C736" s="23" t="s">
        <v>1546</v>
      </c>
      <c r="D736" s="23" t="s">
        <v>1547</v>
      </c>
      <c r="E736" s="23" t="s">
        <v>949</v>
      </c>
      <c r="F736" s="2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3" t="s">
        <v>1601</v>
      </c>
      <c r="B737" s="23" t="s">
        <v>956</v>
      </c>
      <c r="C737" s="23" t="s">
        <v>1546</v>
      </c>
      <c r="D737" s="23" t="s">
        <v>1547</v>
      </c>
      <c r="E737" s="23" t="s">
        <v>949</v>
      </c>
      <c r="F737" s="2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3" t="s">
        <v>1602</v>
      </c>
      <c r="B738" s="23" t="s">
        <v>926</v>
      </c>
      <c r="C738" s="23" t="s">
        <v>1546</v>
      </c>
      <c r="D738" s="23" t="s">
        <v>1547</v>
      </c>
      <c r="E738" s="23" t="s">
        <v>949</v>
      </c>
      <c r="F738" s="2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3" t="s">
        <v>1603</v>
      </c>
      <c r="B739" s="23" t="s">
        <v>957</v>
      </c>
      <c r="C739" s="23" t="s">
        <v>1546</v>
      </c>
      <c r="D739" s="23" t="s">
        <v>1547</v>
      </c>
      <c r="E739" s="23" t="s">
        <v>949</v>
      </c>
      <c r="F739" s="2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3" t="s">
        <v>1604</v>
      </c>
      <c r="B740" s="23" t="s">
        <v>929</v>
      </c>
      <c r="C740" s="23" t="s">
        <v>1546</v>
      </c>
      <c r="D740" s="23" t="s">
        <v>1547</v>
      </c>
      <c r="E740" s="23" t="s">
        <v>949</v>
      </c>
      <c r="F740" s="2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3" t="s">
        <v>1605</v>
      </c>
      <c r="B741" s="23" t="s">
        <v>932</v>
      </c>
      <c r="C741" s="23" t="s">
        <v>1546</v>
      </c>
      <c r="D741" s="23" t="s">
        <v>1547</v>
      </c>
      <c r="E741" s="23" t="s">
        <v>949</v>
      </c>
      <c r="F741" s="2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3" t="s">
        <v>1606</v>
      </c>
      <c r="B742" s="23" t="s">
        <v>934</v>
      </c>
      <c r="C742" s="23" t="s">
        <v>1546</v>
      </c>
      <c r="D742" s="23" t="s">
        <v>1547</v>
      </c>
      <c r="E742" s="23" t="s">
        <v>971</v>
      </c>
      <c r="F742" s="2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3" t="s">
        <v>1607</v>
      </c>
      <c r="B743" s="23" t="s">
        <v>793</v>
      </c>
      <c r="C743" s="23" t="s">
        <v>1546</v>
      </c>
      <c r="D743" s="23" t="s">
        <v>1547</v>
      </c>
      <c r="E743" s="23" t="s">
        <v>949</v>
      </c>
      <c r="F743" s="2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3" t="s">
        <v>1608</v>
      </c>
      <c r="B744" s="23" t="s">
        <v>752</v>
      </c>
      <c r="C744" s="23" t="s">
        <v>1546</v>
      </c>
      <c r="D744" s="23" t="s">
        <v>1547</v>
      </c>
      <c r="E744" s="23" t="s">
        <v>949</v>
      </c>
      <c r="F744" s="2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3" t="s">
        <v>1609</v>
      </c>
      <c r="B745" s="23" t="s">
        <v>764</v>
      </c>
      <c r="C745" s="23" t="s">
        <v>1546</v>
      </c>
      <c r="D745" s="23" t="s">
        <v>1547</v>
      </c>
      <c r="E745" s="23" t="s">
        <v>949</v>
      </c>
      <c r="F745" s="2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3" t="s">
        <v>1610</v>
      </c>
      <c r="B746" s="23" t="s">
        <v>951</v>
      </c>
      <c r="C746" s="23" t="s">
        <v>1546</v>
      </c>
      <c r="D746" s="23" t="s">
        <v>1547</v>
      </c>
      <c r="E746" s="23" t="s">
        <v>949</v>
      </c>
      <c r="F746" s="2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3" t="s">
        <v>1611</v>
      </c>
      <c r="B747" s="23" t="s">
        <v>796</v>
      </c>
      <c r="C747" s="23" t="s">
        <v>1546</v>
      </c>
      <c r="D747" s="23" t="s">
        <v>1547</v>
      </c>
      <c r="E747" s="23" t="s">
        <v>949</v>
      </c>
      <c r="F747" s="2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3" t="s">
        <v>1612</v>
      </c>
      <c r="B748" s="23" t="s">
        <v>766</v>
      </c>
      <c r="C748" s="23" t="s">
        <v>1546</v>
      </c>
      <c r="D748" s="23" t="s">
        <v>1547</v>
      </c>
      <c r="E748" s="23" t="s">
        <v>949</v>
      </c>
      <c r="F748" s="2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3" t="s">
        <v>1613</v>
      </c>
      <c r="B749" s="23" t="s">
        <v>756</v>
      </c>
      <c r="C749" s="23" t="s">
        <v>1546</v>
      </c>
      <c r="D749" s="23" t="s">
        <v>1547</v>
      </c>
      <c r="E749" s="23" t="s">
        <v>949</v>
      </c>
      <c r="F749" s="2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3" t="s">
        <v>1614</v>
      </c>
      <c r="B750" s="23" t="s">
        <v>769</v>
      </c>
      <c r="C750" s="23" t="s">
        <v>1546</v>
      </c>
      <c r="D750" s="23" t="s">
        <v>1547</v>
      </c>
      <c r="E750" s="23" t="s">
        <v>949</v>
      </c>
      <c r="F750" s="2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3" t="s">
        <v>1615</v>
      </c>
      <c r="B751" s="23" t="s">
        <v>810</v>
      </c>
      <c r="C751" s="23" t="s">
        <v>1546</v>
      </c>
      <c r="D751" s="23" t="s">
        <v>1547</v>
      </c>
      <c r="E751" s="23" t="s">
        <v>949</v>
      </c>
      <c r="F751" s="2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3" t="s">
        <v>1616</v>
      </c>
      <c r="B752" s="23" t="s">
        <v>771</v>
      </c>
      <c r="C752" s="23" t="s">
        <v>1546</v>
      </c>
      <c r="D752" s="23" t="s">
        <v>1547</v>
      </c>
      <c r="E752" s="23" t="s">
        <v>949</v>
      </c>
      <c r="F752" s="2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3" t="s">
        <v>1617</v>
      </c>
      <c r="B753" s="23" t="s">
        <v>773</v>
      </c>
      <c r="C753" s="23" t="s">
        <v>1546</v>
      </c>
      <c r="D753" s="23" t="s">
        <v>1547</v>
      </c>
      <c r="E753" s="23" t="s">
        <v>949</v>
      </c>
      <c r="F753" s="2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3" t="s">
        <v>1618</v>
      </c>
      <c r="B754" s="23" t="s">
        <v>719</v>
      </c>
      <c r="C754" s="23" t="s">
        <v>1546</v>
      </c>
      <c r="D754" s="23" t="s">
        <v>1547</v>
      </c>
      <c r="E754" s="23" t="s">
        <v>949</v>
      </c>
      <c r="F754" s="2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3" t="s">
        <v>1619</v>
      </c>
      <c r="B755" s="23" t="s">
        <v>725</v>
      </c>
      <c r="C755" s="23" t="s">
        <v>1546</v>
      </c>
      <c r="D755" s="23" t="s">
        <v>1547</v>
      </c>
      <c r="E755" s="23" t="s">
        <v>949</v>
      </c>
      <c r="F755" s="2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3" t="s">
        <v>1620</v>
      </c>
      <c r="B756" s="23" t="s">
        <v>708</v>
      </c>
      <c r="C756" s="23" t="s">
        <v>1546</v>
      </c>
      <c r="D756" s="23" t="s">
        <v>1547</v>
      </c>
      <c r="E756" s="23" t="s">
        <v>949</v>
      </c>
      <c r="F756" s="2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3" t="s">
        <v>1621</v>
      </c>
      <c r="B757" s="23" t="s">
        <v>960</v>
      </c>
      <c r="C757" s="23" t="s">
        <v>1546</v>
      </c>
      <c r="D757" s="23" t="s">
        <v>1547</v>
      </c>
      <c r="E757" s="23" t="s">
        <v>971</v>
      </c>
      <c r="F757" s="2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3" t="s">
        <v>1622</v>
      </c>
      <c r="B758" s="23" t="s">
        <v>798</v>
      </c>
      <c r="C758" s="23" t="s">
        <v>1546</v>
      </c>
      <c r="D758" s="23" t="s">
        <v>1547</v>
      </c>
      <c r="E758" s="23" t="s">
        <v>949</v>
      </c>
      <c r="F758" s="2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3" t="s">
        <v>1623</v>
      </c>
      <c r="B759" s="23" t="s">
        <v>962</v>
      </c>
      <c r="C759" s="23" t="s">
        <v>1546</v>
      </c>
      <c r="D759" s="23" t="s">
        <v>1547</v>
      </c>
      <c r="E759" s="23" t="s">
        <v>971</v>
      </c>
      <c r="F759" s="2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3" t="s">
        <v>1624</v>
      </c>
      <c r="B760" s="23" t="s">
        <v>781</v>
      </c>
      <c r="C760" s="23" t="s">
        <v>1546</v>
      </c>
      <c r="D760" s="23" t="s">
        <v>1547</v>
      </c>
      <c r="E760" s="23" t="s">
        <v>949</v>
      </c>
      <c r="F760" s="2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3" t="s">
        <v>1625</v>
      </c>
      <c r="B761" s="23" t="s">
        <v>784</v>
      </c>
      <c r="C761" s="23" t="s">
        <v>1546</v>
      </c>
      <c r="D761" s="23" t="s">
        <v>1547</v>
      </c>
      <c r="E761" s="23" t="s">
        <v>949</v>
      </c>
      <c r="F761" s="2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3" t="s">
        <v>1626</v>
      </c>
      <c r="B762" s="23" t="s">
        <v>737</v>
      </c>
      <c r="C762" s="23" t="s">
        <v>1546</v>
      </c>
      <c r="D762" s="23" t="s">
        <v>1547</v>
      </c>
      <c r="E762" s="23" t="s">
        <v>949</v>
      </c>
      <c r="F762" s="2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3" t="s">
        <v>1627</v>
      </c>
      <c r="B763" s="23" t="s">
        <v>746</v>
      </c>
      <c r="C763" s="23" t="s">
        <v>1546</v>
      </c>
      <c r="D763" s="23" t="s">
        <v>1547</v>
      </c>
      <c r="E763" s="23" t="s">
        <v>949</v>
      </c>
      <c r="F763" s="2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3" t="s">
        <v>1628</v>
      </c>
      <c r="B764" s="23" t="s">
        <v>722</v>
      </c>
      <c r="C764" s="23" t="s">
        <v>1546</v>
      </c>
      <c r="D764" s="23" t="s">
        <v>1547</v>
      </c>
      <c r="E764" s="23" t="s">
        <v>949</v>
      </c>
      <c r="F764" s="2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3" t="s">
        <v>1629</v>
      </c>
      <c r="B765" s="23" t="s">
        <v>704</v>
      </c>
      <c r="C765" s="23" t="s">
        <v>1546</v>
      </c>
      <c r="D765" s="23" t="s">
        <v>1547</v>
      </c>
      <c r="E765" s="23" t="s">
        <v>949</v>
      </c>
      <c r="F765" s="2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3" t="s">
        <v>1630</v>
      </c>
      <c r="B766" s="23" t="s">
        <v>740</v>
      </c>
      <c r="C766" s="23" t="s">
        <v>1546</v>
      </c>
      <c r="D766" s="23" t="s">
        <v>1547</v>
      </c>
      <c r="E766" s="23" t="s">
        <v>949</v>
      </c>
      <c r="F766" s="2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3" t="s">
        <v>1631</v>
      </c>
      <c r="B767" s="23" t="s">
        <v>729</v>
      </c>
      <c r="C767" s="23" t="s">
        <v>1546</v>
      </c>
      <c r="D767" s="23" t="s">
        <v>1547</v>
      </c>
      <c r="E767" s="23" t="s">
        <v>949</v>
      </c>
      <c r="F767" s="2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3" t="s">
        <v>1632</v>
      </c>
      <c r="B768" s="23" t="s">
        <v>696</v>
      </c>
      <c r="C768" s="23" t="s">
        <v>1546</v>
      </c>
      <c r="D768" s="23" t="s">
        <v>1547</v>
      </c>
      <c r="E768" s="23" t="s">
        <v>949</v>
      </c>
      <c r="F768" s="2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3" t="s">
        <v>1633</v>
      </c>
      <c r="B769" s="23" t="s">
        <v>966</v>
      </c>
      <c r="C769" s="23" t="s">
        <v>1546</v>
      </c>
      <c r="D769" s="23" t="s">
        <v>1547</v>
      </c>
      <c r="E769" s="23" t="s">
        <v>971</v>
      </c>
      <c r="F769" s="2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3" t="s">
        <v>1634</v>
      </c>
      <c r="B770" s="23" t="s">
        <v>749</v>
      </c>
      <c r="C770" s="23" t="s">
        <v>1546</v>
      </c>
      <c r="D770" s="23" t="s">
        <v>1547</v>
      </c>
      <c r="E770" s="23" t="s">
        <v>949</v>
      </c>
      <c r="F770" s="2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3" t="s">
        <v>1635</v>
      </c>
      <c r="B771" s="23" t="s">
        <v>775</v>
      </c>
      <c r="C771" s="23" t="s">
        <v>1546</v>
      </c>
      <c r="D771" s="23" t="s">
        <v>1547</v>
      </c>
      <c r="E771" s="23" t="s">
        <v>949</v>
      </c>
      <c r="F771" s="2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3" t="s">
        <v>1636</v>
      </c>
      <c r="B772" s="23" t="s">
        <v>778</v>
      </c>
      <c r="C772" s="23" t="s">
        <v>1546</v>
      </c>
      <c r="D772" s="23" t="s">
        <v>1547</v>
      </c>
      <c r="E772" s="23" t="s">
        <v>949</v>
      </c>
      <c r="F772" s="2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3" t="s">
        <v>1637</v>
      </c>
      <c r="B773" s="23" t="s">
        <v>969</v>
      </c>
      <c r="C773" s="23" t="s">
        <v>1546</v>
      </c>
      <c r="D773" s="23" t="s">
        <v>1547</v>
      </c>
      <c r="E773" s="23" t="s">
        <v>949</v>
      </c>
      <c r="F773" s="2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3" t="s">
        <v>1638</v>
      </c>
      <c r="B774" s="23" t="s">
        <v>715</v>
      </c>
      <c r="C774" s="23" t="s">
        <v>1546</v>
      </c>
      <c r="D774" s="23" t="s">
        <v>1547</v>
      </c>
      <c r="E774" s="23" t="s">
        <v>949</v>
      </c>
      <c r="F774" s="2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3" t="s">
        <v>1639</v>
      </c>
      <c r="B775" s="23" t="s">
        <v>972</v>
      </c>
      <c r="C775" s="23" t="s">
        <v>1546</v>
      </c>
      <c r="D775" s="23" t="s">
        <v>1547</v>
      </c>
      <c r="E775" s="23" t="s">
        <v>971</v>
      </c>
      <c r="F775" s="2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3" t="s">
        <v>1640</v>
      </c>
      <c r="B776" s="23" t="s">
        <v>973</v>
      </c>
      <c r="C776" s="23" t="s">
        <v>1546</v>
      </c>
      <c r="D776" s="23" t="s">
        <v>1547</v>
      </c>
      <c r="E776" s="23" t="s">
        <v>971</v>
      </c>
      <c r="F776" s="2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3" t="s">
        <v>1641</v>
      </c>
      <c r="B777" s="23" t="s">
        <v>743</v>
      </c>
      <c r="C777" s="23" t="s">
        <v>1546</v>
      </c>
      <c r="D777" s="23" t="s">
        <v>1547</v>
      </c>
      <c r="E777" s="23" t="s">
        <v>949</v>
      </c>
      <c r="F777" s="2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3" t="s">
        <v>1642</v>
      </c>
      <c r="B778" s="23" t="s">
        <v>974</v>
      </c>
      <c r="C778" s="23" t="s">
        <v>1546</v>
      </c>
      <c r="D778" s="23" t="s">
        <v>1547</v>
      </c>
      <c r="E778" s="23" t="s">
        <v>949</v>
      </c>
      <c r="F778" s="2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3" t="s">
        <v>1643</v>
      </c>
      <c r="B779" s="23" t="s">
        <v>975</v>
      </c>
      <c r="C779" s="23" t="s">
        <v>1546</v>
      </c>
      <c r="D779" s="23" t="s">
        <v>1547</v>
      </c>
      <c r="E779" s="23" t="s">
        <v>949</v>
      </c>
      <c r="F779" s="2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3" t="s">
        <v>1644</v>
      </c>
      <c r="B780" s="23" t="s">
        <v>801</v>
      </c>
      <c r="C780" s="23" t="s">
        <v>1546</v>
      </c>
      <c r="D780" s="23" t="s">
        <v>1547</v>
      </c>
      <c r="E780" s="23" t="s">
        <v>949</v>
      </c>
      <c r="F780" s="2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3" t="s">
        <v>1645</v>
      </c>
      <c r="B781" s="23" t="s">
        <v>732</v>
      </c>
      <c r="C781" s="23" t="s">
        <v>1546</v>
      </c>
      <c r="D781" s="23" t="s">
        <v>1547</v>
      </c>
      <c r="E781" s="23" t="s">
        <v>949</v>
      </c>
      <c r="F781" s="2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3" t="s">
        <v>1646</v>
      </c>
      <c r="B782" s="23" t="s">
        <v>758</v>
      </c>
      <c r="C782" s="23" t="s">
        <v>1546</v>
      </c>
      <c r="D782" s="23" t="s">
        <v>1547</v>
      </c>
      <c r="E782" s="23" t="s">
        <v>949</v>
      </c>
      <c r="F782" s="2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3" t="s">
        <v>1647</v>
      </c>
      <c r="B783" s="23" t="s">
        <v>700</v>
      </c>
      <c r="C783" s="23" t="s">
        <v>1546</v>
      </c>
      <c r="D783" s="23" t="s">
        <v>1547</v>
      </c>
      <c r="E783" s="23" t="s">
        <v>949</v>
      </c>
      <c r="F783" s="2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3" t="s">
        <v>1648</v>
      </c>
      <c r="B784" s="23" t="s">
        <v>712</v>
      </c>
      <c r="C784" s="23" t="s">
        <v>1546</v>
      </c>
      <c r="D784" s="23" t="s">
        <v>1547</v>
      </c>
      <c r="E784" s="23" t="s">
        <v>949</v>
      </c>
      <c r="F784" s="2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3" t="s">
        <v>1649</v>
      </c>
      <c r="B785" s="23" t="s">
        <v>693</v>
      </c>
      <c r="C785" s="23" t="s">
        <v>1546</v>
      </c>
      <c r="D785" s="23" t="s">
        <v>1547</v>
      </c>
      <c r="E785" s="23" t="s">
        <v>949</v>
      </c>
      <c r="F785" s="2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3" t="s">
        <v>1650</v>
      </c>
      <c r="B786" s="23" t="s">
        <v>787</v>
      </c>
      <c r="C786" s="23" t="s">
        <v>1546</v>
      </c>
      <c r="D786" s="23" t="s">
        <v>1547</v>
      </c>
      <c r="E786" s="23" t="s">
        <v>949</v>
      </c>
      <c r="F786" s="2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3" t="s">
        <v>1651</v>
      </c>
      <c r="B787" s="23" t="s">
        <v>790</v>
      </c>
      <c r="C787" s="23" t="s">
        <v>1546</v>
      </c>
      <c r="D787" s="23" t="s">
        <v>1547</v>
      </c>
      <c r="E787" s="23" t="s">
        <v>949</v>
      </c>
      <c r="F787" s="2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3" t="s">
        <v>1652</v>
      </c>
      <c r="B788" s="23" t="s">
        <v>761</v>
      </c>
      <c r="C788" s="23" t="s">
        <v>1546</v>
      </c>
      <c r="D788" s="23" t="s">
        <v>1547</v>
      </c>
      <c r="E788" s="23" t="s">
        <v>949</v>
      </c>
      <c r="F788" s="2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3" t="s">
        <v>1653</v>
      </c>
      <c r="B789" s="23" t="s">
        <v>804</v>
      </c>
      <c r="C789" s="23" t="s">
        <v>1546</v>
      </c>
      <c r="D789" s="23" t="s">
        <v>1547</v>
      </c>
      <c r="E789" s="23" t="s">
        <v>949</v>
      </c>
      <c r="F789" s="2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3" t="s">
        <v>1654</v>
      </c>
      <c r="B790" s="23" t="s">
        <v>806</v>
      </c>
      <c r="C790" s="23" t="s">
        <v>1546</v>
      </c>
      <c r="D790" s="23" t="s">
        <v>1547</v>
      </c>
      <c r="E790" s="23" t="s">
        <v>949</v>
      </c>
      <c r="F790" s="2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3" t="s">
        <v>1655</v>
      </c>
      <c r="B791" s="23" t="s">
        <v>809</v>
      </c>
      <c r="C791" s="23" t="s">
        <v>1546</v>
      </c>
      <c r="D791" s="23" t="s">
        <v>1547</v>
      </c>
      <c r="E791" s="23" t="s">
        <v>949</v>
      </c>
      <c r="F791" s="2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3" t="s">
        <v>1656</v>
      </c>
      <c r="B792" s="23" t="s">
        <v>793</v>
      </c>
      <c r="C792" s="23" t="s">
        <v>1657</v>
      </c>
      <c r="D792" s="23" t="s">
        <v>1658</v>
      </c>
      <c r="E792" s="23" t="s">
        <v>949</v>
      </c>
      <c r="F792" s="2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3" t="s">
        <v>1659</v>
      </c>
      <c r="B793" s="23" t="s">
        <v>752</v>
      </c>
      <c r="C793" s="23" t="s">
        <v>1657</v>
      </c>
      <c r="D793" s="23" t="s">
        <v>1658</v>
      </c>
      <c r="E793" s="23" t="s">
        <v>949</v>
      </c>
      <c r="F793" s="2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3" t="s">
        <v>1660</v>
      </c>
      <c r="B794" s="23" t="s">
        <v>764</v>
      </c>
      <c r="C794" s="23" t="s">
        <v>1657</v>
      </c>
      <c r="D794" s="23" t="s">
        <v>1658</v>
      </c>
      <c r="E794" s="23" t="s">
        <v>949</v>
      </c>
      <c r="F794" s="2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3" t="s">
        <v>1661</v>
      </c>
      <c r="B795" s="23" t="s">
        <v>951</v>
      </c>
      <c r="C795" s="23" t="s">
        <v>1657</v>
      </c>
      <c r="D795" s="23" t="s">
        <v>1658</v>
      </c>
      <c r="E795" s="23" t="s">
        <v>971</v>
      </c>
      <c r="F795" s="2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3" t="s">
        <v>1662</v>
      </c>
      <c r="B796" s="23" t="s">
        <v>796</v>
      </c>
      <c r="C796" s="23" t="s">
        <v>1657</v>
      </c>
      <c r="D796" s="23" t="s">
        <v>1658</v>
      </c>
      <c r="E796" s="23" t="s">
        <v>949</v>
      </c>
      <c r="F796" s="2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3" t="s">
        <v>1663</v>
      </c>
      <c r="B797" s="23" t="s">
        <v>766</v>
      </c>
      <c r="C797" s="23" t="s">
        <v>1657</v>
      </c>
      <c r="D797" s="23" t="s">
        <v>1658</v>
      </c>
      <c r="E797" s="23" t="s">
        <v>949</v>
      </c>
      <c r="F797" s="2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3" t="s">
        <v>1664</v>
      </c>
      <c r="B798" s="23" t="s">
        <v>756</v>
      </c>
      <c r="C798" s="23" t="s">
        <v>1657</v>
      </c>
      <c r="D798" s="23" t="s">
        <v>1658</v>
      </c>
      <c r="E798" s="23" t="s">
        <v>949</v>
      </c>
      <c r="F798" s="2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3" t="s">
        <v>1665</v>
      </c>
      <c r="B799" s="23" t="s">
        <v>769</v>
      </c>
      <c r="C799" s="23" t="s">
        <v>1657</v>
      </c>
      <c r="D799" s="23" t="s">
        <v>1658</v>
      </c>
      <c r="E799" s="23" t="s">
        <v>971</v>
      </c>
      <c r="F799" s="2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3" t="s">
        <v>1666</v>
      </c>
      <c r="B800" s="23" t="s">
        <v>810</v>
      </c>
      <c r="C800" s="23" t="s">
        <v>1657</v>
      </c>
      <c r="D800" s="23" t="s">
        <v>1658</v>
      </c>
      <c r="E800" s="23" t="s">
        <v>949</v>
      </c>
      <c r="F800" s="2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3" t="s">
        <v>1667</v>
      </c>
      <c r="B801" s="23" t="s">
        <v>771</v>
      </c>
      <c r="C801" s="23" t="s">
        <v>1657</v>
      </c>
      <c r="D801" s="23" t="s">
        <v>1658</v>
      </c>
      <c r="E801" s="23" t="s">
        <v>971</v>
      </c>
      <c r="F801" s="2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3" t="s">
        <v>1668</v>
      </c>
      <c r="B802" s="23" t="s">
        <v>773</v>
      </c>
      <c r="C802" s="23" t="s">
        <v>1657</v>
      </c>
      <c r="D802" s="23" t="s">
        <v>1658</v>
      </c>
      <c r="E802" s="23" t="s">
        <v>949</v>
      </c>
      <c r="F802" s="2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3" t="s">
        <v>1669</v>
      </c>
      <c r="B803" s="23" t="s">
        <v>719</v>
      </c>
      <c r="C803" s="23" t="s">
        <v>1657</v>
      </c>
      <c r="D803" s="23" t="s">
        <v>1658</v>
      </c>
      <c r="E803" s="23" t="s">
        <v>949</v>
      </c>
      <c r="F803" s="2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3" t="s">
        <v>1670</v>
      </c>
      <c r="B804" s="23" t="s">
        <v>725</v>
      </c>
      <c r="C804" s="23" t="s">
        <v>1657</v>
      </c>
      <c r="D804" s="23" t="s">
        <v>1658</v>
      </c>
      <c r="E804" s="23" t="s">
        <v>949</v>
      </c>
      <c r="F804" s="2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3" t="s">
        <v>1671</v>
      </c>
      <c r="B805" s="23" t="s">
        <v>708</v>
      </c>
      <c r="C805" s="23" t="s">
        <v>1657</v>
      </c>
      <c r="D805" s="23" t="s">
        <v>1658</v>
      </c>
      <c r="E805" s="23" t="s">
        <v>949</v>
      </c>
      <c r="F805" s="2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3" t="s">
        <v>1672</v>
      </c>
      <c r="B806" s="23" t="s">
        <v>798</v>
      </c>
      <c r="C806" s="23" t="s">
        <v>1657</v>
      </c>
      <c r="D806" s="23" t="s">
        <v>1658</v>
      </c>
      <c r="E806" s="23" t="s">
        <v>949</v>
      </c>
      <c r="F806" s="2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3" t="s">
        <v>1673</v>
      </c>
      <c r="B807" s="23" t="s">
        <v>962</v>
      </c>
      <c r="C807" s="23" t="s">
        <v>1657</v>
      </c>
      <c r="D807" s="23" t="s">
        <v>1658</v>
      </c>
      <c r="E807" s="23" t="s">
        <v>971</v>
      </c>
      <c r="F807" s="2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3" t="s">
        <v>1674</v>
      </c>
      <c r="B808" s="23" t="s">
        <v>781</v>
      </c>
      <c r="C808" s="23" t="s">
        <v>1657</v>
      </c>
      <c r="D808" s="23" t="s">
        <v>1658</v>
      </c>
      <c r="E808" s="23" t="s">
        <v>949</v>
      </c>
      <c r="F808" s="2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3" t="s">
        <v>1675</v>
      </c>
      <c r="B809" s="23" t="s">
        <v>784</v>
      </c>
      <c r="C809" s="23" t="s">
        <v>1657</v>
      </c>
      <c r="D809" s="23" t="s">
        <v>1658</v>
      </c>
      <c r="E809" s="23" t="s">
        <v>949</v>
      </c>
      <c r="F809" s="2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3" t="s">
        <v>1676</v>
      </c>
      <c r="B810" s="23" t="s">
        <v>737</v>
      </c>
      <c r="C810" s="23" t="s">
        <v>1657</v>
      </c>
      <c r="D810" s="23" t="s">
        <v>1658</v>
      </c>
      <c r="E810" s="23" t="s">
        <v>949</v>
      </c>
      <c r="F810" s="2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3" t="s">
        <v>1677</v>
      </c>
      <c r="B811" s="23" t="s">
        <v>746</v>
      </c>
      <c r="C811" s="23" t="s">
        <v>1657</v>
      </c>
      <c r="D811" s="23" t="s">
        <v>1658</v>
      </c>
      <c r="E811" s="23" t="s">
        <v>949</v>
      </c>
      <c r="F811" s="2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3" t="s">
        <v>1678</v>
      </c>
      <c r="B812" s="23" t="s">
        <v>722</v>
      </c>
      <c r="C812" s="23" t="s">
        <v>1657</v>
      </c>
      <c r="D812" s="23" t="s">
        <v>1658</v>
      </c>
      <c r="E812" s="23" t="s">
        <v>949</v>
      </c>
      <c r="F812" s="2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3" t="s">
        <v>1679</v>
      </c>
      <c r="B813" s="23" t="s">
        <v>704</v>
      </c>
      <c r="C813" s="23" t="s">
        <v>1657</v>
      </c>
      <c r="D813" s="23" t="s">
        <v>1658</v>
      </c>
      <c r="E813" s="23" t="s">
        <v>949</v>
      </c>
      <c r="F813" s="2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3" t="s">
        <v>1680</v>
      </c>
      <c r="B814" s="23" t="s">
        <v>740</v>
      </c>
      <c r="C814" s="23" t="s">
        <v>1657</v>
      </c>
      <c r="D814" s="23" t="s">
        <v>1658</v>
      </c>
      <c r="E814" s="23" t="s">
        <v>949</v>
      </c>
      <c r="F814" s="2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3" t="s">
        <v>1681</v>
      </c>
      <c r="B815" s="23" t="s">
        <v>729</v>
      </c>
      <c r="C815" s="23" t="s">
        <v>1657</v>
      </c>
      <c r="D815" s="23" t="s">
        <v>1658</v>
      </c>
      <c r="E815" s="23" t="s">
        <v>949</v>
      </c>
      <c r="F815" s="2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3" t="s">
        <v>1682</v>
      </c>
      <c r="B816" s="23" t="s">
        <v>696</v>
      </c>
      <c r="C816" s="23" t="s">
        <v>1657</v>
      </c>
      <c r="D816" s="23" t="s">
        <v>1658</v>
      </c>
      <c r="E816" s="23" t="s">
        <v>971</v>
      </c>
      <c r="F816" s="2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3" t="s">
        <v>1683</v>
      </c>
      <c r="B817" s="23" t="s">
        <v>749</v>
      </c>
      <c r="C817" s="23" t="s">
        <v>1657</v>
      </c>
      <c r="D817" s="23" t="s">
        <v>1658</v>
      </c>
      <c r="E817" s="23" t="s">
        <v>949</v>
      </c>
      <c r="F817" s="2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3" t="s">
        <v>1684</v>
      </c>
      <c r="B818" s="23" t="s">
        <v>775</v>
      </c>
      <c r="C818" s="23" t="s">
        <v>1657</v>
      </c>
      <c r="D818" s="23" t="s">
        <v>1658</v>
      </c>
      <c r="E818" s="23" t="s">
        <v>971</v>
      </c>
      <c r="F818" s="2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3" t="s">
        <v>1685</v>
      </c>
      <c r="B819" s="23" t="s">
        <v>778</v>
      </c>
      <c r="C819" s="23" t="s">
        <v>1657</v>
      </c>
      <c r="D819" s="23" t="s">
        <v>1658</v>
      </c>
      <c r="E819" s="23" t="s">
        <v>971</v>
      </c>
      <c r="F819" s="2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3" t="s">
        <v>1686</v>
      </c>
      <c r="B820" s="23" t="s">
        <v>969</v>
      </c>
      <c r="C820" s="23" t="s">
        <v>1657</v>
      </c>
      <c r="D820" s="23" t="s">
        <v>1658</v>
      </c>
      <c r="E820" s="23" t="s">
        <v>971</v>
      </c>
      <c r="F820" s="2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3" t="s">
        <v>1687</v>
      </c>
      <c r="B821" s="23" t="s">
        <v>715</v>
      </c>
      <c r="C821" s="23" t="s">
        <v>1657</v>
      </c>
      <c r="D821" s="23" t="s">
        <v>1658</v>
      </c>
      <c r="E821" s="23" t="s">
        <v>949</v>
      </c>
      <c r="F821" s="2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3" t="s">
        <v>1688</v>
      </c>
      <c r="B822" s="23" t="s">
        <v>743</v>
      </c>
      <c r="C822" s="23" t="s">
        <v>1657</v>
      </c>
      <c r="D822" s="23" t="s">
        <v>1658</v>
      </c>
      <c r="E822" s="23" t="s">
        <v>949</v>
      </c>
      <c r="F822" s="2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3" t="s">
        <v>1689</v>
      </c>
      <c r="B823" s="23" t="s">
        <v>974</v>
      </c>
      <c r="C823" s="23" t="s">
        <v>1657</v>
      </c>
      <c r="D823" s="23" t="s">
        <v>1658</v>
      </c>
      <c r="E823" s="23" t="s">
        <v>949</v>
      </c>
      <c r="F823" s="2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3" t="s">
        <v>1690</v>
      </c>
      <c r="B824" s="23" t="s">
        <v>975</v>
      </c>
      <c r="C824" s="23" t="s">
        <v>1657</v>
      </c>
      <c r="D824" s="23" t="s">
        <v>1658</v>
      </c>
      <c r="E824" s="23" t="s">
        <v>971</v>
      </c>
      <c r="F824" s="2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3" t="s">
        <v>1691</v>
      </c>
      <c r="B825" s="23" t="s">
        <v>801</v>
      </c>
      <c r="C825" s="23" t="s">
        <v>1657</v>
      </c>
      <c r="D825" s="23" t="s">
        <v>1658</v>
      </c>
      <c r="E825" s="23" t="s">
        <v>949</v>
      </c>
      <c r="F825" s="2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3" t="s">
        <v>1692</v>
      </c>
      <c r="B826" s="23" t="s">
        <v>732</v>
      </c>
      <c r="C826" s="23" t="s">
        <v>1657</v>
      </c>
      <c r="D826" s="23" t="s">
        <v>1658</v>
      </c>
      <c r="E826" s="23" t="s">
        <v>949</v>
      </c>
      <c r="F826" s="2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3" t="s">
        <v>1693</v>
      </c>
      <c r="B827" s="23" t="s">
        <v>758</v>
      </c>
      <c r="C827" s="23" t="s">
        <v>1657</v>
      </c>
      <c r="D827" s="23" t="s">
        <v>1658</v>
      </c>
      <c r="E827" s="23" t="s">
        <v>949</v>
      </c>
      <c r="F827" s="2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3" t="s">
        <v>1694</v>
      </c>
      <c r="B828" s="23" t="s">
        <v>700</v>
      </c>
      <c r="C828" s="23" t="s">
        <v>1657</v>
      </c>
      <c r="D828" s="23" t="s">
        <v>1658</v>
      </c>
      <c r="E828" s="23" t="s">
        <v>949</v>
      </c>
      <c r="F828" s="2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3" t="s">
        <v>1695</v>
      </c>
      <c r="B829" s="23" t="s">
        <v>712</v>
      </c>
      <c r="C829" s="23" t="s">
        <v>1657</v>
      </c>
      <c r="D829" s="23" t="s">
        <v>1658</v>
      </c>
      <c r="E829" s="23" t="s">
        <v>949</v>
      </c>
      <c r="F829" s="2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3" t="s">
        <v>1696</v>
      </c>
      <c r="B830" s="23" t="s">
        <v>693</v>
      </c>
      <c r="C830" s="23" t="s">
        <v>1657</v>
      </c>
      <c r="D830" s="23" t="s">
        <v>1658</v>
      </c>
      <c r="E830" s="23" t="s">
        <v>949</v>
      </c>
      <c r="F830" s="2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3" t="s">
        <v>1697</v>
      </c>
      <c r="B831" s="23" t="s">
        <v>787</v>
      </c>
      <c r="C831" s="23" t="s">
        <v>1657</v>
      </c>
      <c r="D831" s="23" t="s">
        <v>1658</v>
      </c>
      <c r="E831" s="23" t="s">
        <v>949</v>
      </c>
      <c r="F831" s="2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3" t="s">
        <v>1698</v>
      </c>
      <c r="B832" s="23" t="s">
        <v>790</v>
      </c>
      <c r="C832" s="23" t="s">
        <v>1657</v>
      </c>
      <c r="D832" s="23" t="s">
        <v>1658</v>
      </c>
      <c r="E832" s="23" t="s">
        <v>949</v>
      </c>
      <c r="F832" s="2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3" t="s">
        <v>1699</v>
      </c>
      <c r="B833" s="23" t="s">
        <v>761</v>
      </c>
      <c r="C833" s="23" t="s">
        <v>1657</v>
      </c>
      <c r="D833" s="23" t="s">
        <v>1658</v>
      </c>
      <c r="E833" s="23" t="s">
        <v>971</v>
      </c>
      <c r="F833" s="2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3" t="s">
        <v>1700</v>
      </c>
      <c r="B834" s="23" t="s">
        <v>804</v>
      </c>
      <c r="C834" s="23" t="s">
        <v>1657</v>
      </c>
      <c r="D834" s="23" t="s">
        <v>1658</v>
      </c>
      <c r="E834" s="23" t="s">
        <v>949</v>
      </c>
      <c r="F834" s="2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3" t="s">
        <v>1701</v>
      </c>
      <c r="B835" s="23" t="s">
        <v>806</v>
      </c>
      <c r="C835" s="23" t="s">
        <v>1657</v>
      </c>
      <c r="D835" s="23" t="s">
        <v>1658</v>
      </c>
      <c r="E835" s="23" t="s">
        <v>949</v>
      </c>
      <c r="F835" s="2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3" t="s">
        <v>1702</v>
      </c>
      <c r="B836" s="23" t="s">
        <v>809</v>
      </c>
      <c r="C836" s="23" t="s">
        <v>1657</v>
      </c>
      <c r="D836" s="23" t="s">
        <v>1658</v>
      </c>
      <c r="E836" s="23" t="s">
        <v>949</v>
      </c>
      <c r="F836" s="2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3" t="s">
        <v>1703</v>
      </c>
      <c r="B837" s="23" t="s">
        <v>116</v>
      </c>
      <c r="C837" s="23" t="s">
        <v>1657</v>
      </c>
      <c r="D837" s="23" t="s">
        <v>1658</v>
      </c>
      <c r="E837" s="23" t="s">
        <v>949</v>
      </c>
      <c r="F837" s="2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3" t="s">
        <v>1704</v>
      </c>
      <c r="B838" s="23" t="s">
        <v>123</v>
      </c>
      <c r="C838" s="23" t="s">
        <v>1657</v>
      </c>
      <c r="D838" s="23" t="s">
        <v>1658</v>
      </c>
      <c r="E838" s="23" t="s">
        <v>949</v>
      </c>
      <c r="F838" s="2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3" t="s">
        <v>1705</v>
      </c>
      <c r="B839" s="23" t="s">
        <v>131</v>
      </c>
      <c r="C839" s="23" t="s">
        <v>1657</v>
      </c>
      <c r="D839" s="23" t="s">
        <v>1658</v>
      </c>
      <c r="E839" s="23" t="s">
        <v>949</v>
      </c>
      <c r="F839" s="2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3" t="s">
        <v>1706</v>
      </c>
      <c r="B840" s="23" t="s">
        <v>137</v>
      </c>
      <c r="C840" s="23" t="s">
        <v>1657</v>
      </c>
      <c r="D840" s="23" t="s">
        <v>1658</v>
      </c>
      <c r="E840" s="23" t="s">
        <v>949</v>
      </c>
      <c r="F840" s="2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3" t="s">
        <v>1707</v>
      </c>
      <c r="B841" s="23" t="s">
        <v>144</v>
      </c>
      <c r="C841" s="23" t="s">
        <v>1657</v>
      </c>
      <c r="D841" s="23" t="s">
        <v>1658</v>
      </c>
      <c r="E841" s="23" t="s">
        <v>949</v>
      </c>
      <c r="F841" s="2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3" t="s">
        <v>1708</v>
      </c>
      <c r="B842" s="23" t="s">
        <v>151</v>
      </c>
      <c r="C842" s="23" t="s">
        <v>1657</v>
      </c>
      <c r="D842" s="23" t="s">
        <v>1658</v>
      </c>
      <c r="E842" s="23" t="s">
        <v>949</v>
      </c>
      <c r="F842" s="2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3" t="s">
        <v>1709</v>
      </c>
      <c r="B843" s="23" t="s">
        <v>734</v>
      </c>
      <c r="C843" s="23" t="s">
        <v>1657</v>
      </c>
      <c r="D843" s="23" t="s">
        <v>1658</v>
      </c>
      <c r="E843" s="23" t="s">
        <v>949</v>
      </c>
      <c r="F843" s="2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3" t="s">
        <v>1710</v>
      </c>
      <c r="B844" s="23" t="s">
        <v>831</v>
      </c>
      <c r="C844" s="23" t="s">
        <v>1657</v>
      </c>
      <c r="D844" s="23" t="s">
        <v>1658</v>
      </c>
      <c r="E844" s="23" t="s">
        <v>949</v>
      </c>
      <c r="F844" s="2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3" t="s">
        <v>1711</v>
      </c>
      <c r="B845" s="23" t="s">
        <v>833</v>
      </c>
      <c r="C845" s="23" t="s">
        <v>1657</v>
      </c>
      <c r="D845" s="23" t="s">
        <v>1658</v>
      </c>
      <c r="E845" s="23" t="s">
        <v>949</v>
      </c>
      <c r="F845" s="2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3" t="s">
        <v>1712</v>
      </c>
      <c r="B846" s="23" t="s">
        <v>811</v>
      </c>
      <c r="C846" s="23" t="s">
        <v>1657</v>
      </c>
      <c r="D846" s="23" t="s">
        <v>1658</v>
      </c>
      <c r="E846" s="23" t="s">
        <v>949</v>
      </c>
      <c r="F846" s="2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3" t="s">
        <v>1713</v>
      </c>
      <c r="B847" s="23" t="s">
        <v>838</v>
      </c>
      <c r="C847" s="23" t="s">
        <v>1657</v>
      </c>
      <c r="D847" s="23" t="s">
        <v>1658</v>
      </c>
      <c r="E847" s="23" t="s">
        <v>949</v>
      </c>
      <c r="F847" s="2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3" t="s">
        <v>1714</v>
      </c>
      <c r="B848" s="23" t="s">
        <v>840</v>
      </c>
      <c r="C848" s="23" t="s">
        <v>1657</v>
      </c>
      <c r="D848" s="23" t="s">
        <v>1658</v>
      </c>
      <c r="E848" s="23" t="s">
        <v>949</v>
      </c>
      <c r="F848" s="2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3" t="s">
        <v>1715</v>
      </c>
      <c r="B849" s="23" t="s">
        <v>842</v>
      </c>
      <c r="C849" s="23" t="s">
        <v>1657</v>
      </c>
      <c r="D849" s="23" t="s">
        <v>1658</v>
      </c>
      <c r="E849" s="23" t="s">
        <v>949</v>
      </c>
      <c r="F849" s="2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3" t="s">
        <v>1716</v>
      </c>
      <c r="B850" s="23" t="s">
        <v>844</v>
      </c>
      <c r="C850" s="23" t="s">
        <v>1657</v>
      </c>
      <c r="D850" s="23" t="s">
        <v>1658</v>
      </c>
      <c r="E850" s="23" t="s">
        <v>949</v>
      </c>
      <c r="F850" s="2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3" t="s">
        <v>1717</v>
      </c>
      <c r="B851" s="23" t="s">
        <v>846</v>
      </c>
      <c r="C851" s="23" t="s">
        <v>1657</v>
      </c>
      <c r="D851" s="23" t="s">
        <v>1658</v>
      </c>
      <c r="E851" s="23" t="s">
        <v>949</v>
      </c>
      <c r="F851" s="2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3" t="s">
        <v>1718</v>
      </c>
      <c r="B852" s="23" t="s">
        <v>848</v>
      </c>
      <c r="C852" s="23" t="s">
        <v>1657</v>
      </c>
      <c r="D852" s="23" t="s">
        <v>1658</v>
      </c>
      <c r="E852" s="23" t="s">
        <v>949</v>
      </c>
      <c r="F852" s="2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3" t="s">
        <v>1719</v>
      </c>
      <c r="B853" s="23" t="s">
        <v>850</v>
      </c>
      <c r="C853" s="23" t="s">
        <v>1657</v>
      </c>
      <c r="D853" s="23" t="s">
        <v>1658</v>
      </c>
      <c r="E853" s="23" t="s">
        <v>949</v>
      </c>
      <c r="F853" s="2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3" t="s">
        <v>1720</v>
      </c>
      <c r="B854" s="23" t="s">
        <v>853</v>
      </c>
      <c r="C854" s="23" t="s">
        <v>1657</v>
      </c>
      <c r="D854" s="23" t="s">
        <v>1658</v>
      </c>
      <c r="E854" s="23" t="s">
        <v>949</v>
      </c>
      <c r="F854" s="2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3" t="s">
        <v>1721</v>
      </c>
      <c r="B855" s="23" t="s">
        <v>855</v>
      </c>
      <c r="C855" s="23" t="s">
        <v>1657</v>
      </c>
      <c r="D855" s="23" t="s">
        <v>1658</v>
      </c>
      <c r="E855" s="23" t="s">
        <v>949</v>
      </c>
      <c r="F855" s="2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3" t="s">
        <v>1722</v>
      </c>
      <c r="B856" s="23" t="s">
        <v>857</v>
      </c>
      <c r="C856" s="23" t="s">
        <v>1657</v>
      </c>
      <c r="D856" s="23" t="s">
        <v>1658</v>
      </c>
      <c r="E856" s="23" t="s">
        <v>949</v>
      </c>
      <c r="F856" s="2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3" t="s">
        <v>1723</v>
      </c>
      <c r="B857" s="23" t="s">
        <v>860</v>
      </c>
      <c r="C857" s="23" t="s">
        <v>1657</v>
      </c>
      <c r="D857" s="23" t="s">
        <v>1658</v>
      </c>
      <c r="E857" s="23" t="s">
        <v>949</v>
      </c>
      <c r="F857" s="2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3" t="s">
        <v>1724</v>
      </c>
      <c r="B858" s="23" t="s">
        <v>862</v>
      </c>
      <c r="C858" s="23" t="s">
        <v>1657</v>
      </c>
      <c r="D858" s="23" t="s">
        <v>1658</v>
      </c>
      <c r="E858" s="23" t="s">
        <v>949</v>
      </c>
      <c r="F858" s="2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3" t="s">
        <v>1725</v>
      </c>
      <c r="B859" s="23" t="s">
        <v>865</v>
      </c>
      <c r="C859" s="23" t="s">
        <v>1657</v>
      </c>
      <c r="D859" s="23" t="s">
        <v>1658</v>
      </c>
      <c r="E859" s="23" t="s">
        <v>949</v>
      </c>
      <c r="F859" s="2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3" t="s">
        <v>1726</v>
      </c>
      <c r="B860" s="23" t="s">
        <v>867</v>
      </c>
      <c r="C860" s="23" t="s">
        <v>1657</v>
      </c>
      <c r="D860" s="23" t="s">
        <v>1658</v>
      </c>
      <c r="E860" s="23" t="s">
        <v>949</v>
      </c>
      <c r="F860" s="2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3" t="s">
        <v>1727</v>
      </c>
      <c r="B861" s="23" t="s">
        <v>869</v>
      </c>
      <c r="C861" s="23" t="s">
        <v>1657</v>
      </c>
      <c r="D861" s="23" t="s">
        <v>1658</v>
      </c>
      <c r="E861" s="23" t="s">
        <v>949</v>
      </c>
      <c r="F861" s="2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3" t="s">
        <v>1728</v>
      </c>
      <c r="B862" s="23" t="s">
        <v>871</v>
      </c>
      <c r="C862" s="23" t="s">
        <v>1657</v>
      </c>
      <c r="D862" s="23" t="s">
        <v>1658</v>
      </c>
      <c r="E862" s="23" t="s">
        <v>949</v>
      </c>
      <c r="F862" s="2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3" t="s">
        <v>1729</v>
      </c>
      <c r="B863" s="23" t="s">
        <v>876</v>
      </c>
      <c r="C863" s="23" t="s">
        <v>1657</v>
      </c>
      <c r="D863" s="23" t="s">
        <v>1658</v>
      </c>
      <c r="E863" s="23" t="s">
        <v>949</v>
      </c>
      <c r="F863" s="2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3" t="s">
        <v>1730</v>
      </c>
      <c r="B864" s="23" t="s">
        <v>879</v>
      </c>
      <c r="C864" s="23" t="s">
        <v>1657</v>
      </c>
      <c r="D864" s="23" t="s">
        <v>1658</v>
      </c>
      <c r="E864" s="23" t="s">
        <v>949</v>
      </c>
      <c r="F864" s="2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3" t="s">
        <v>1731</v>
      </c>
      <c r="B865" s="23" t="s">
        <v>881</v>
      </c>
      <c r="C865" s="23" t="s">
        <v>1657</v>
      </c>
      <c r="D865" s="23" t="s">
        <v>1658</v>
      </c>
      <c r="E865" s="23" t="s">
        <v>949</v>
      </c>
      <c r="F865" s="2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3" t="s">
        <v>1732</v>
      </c>
      <c r="B866" s="23" t="s">
        <v>883</v>
      </c>
      <c r="C866" s="23" t="s">
        <v>1657</v>
      </c>
      <c r="D866" s="23" t="s">
        <v>1658</v>
      </c>
      <c r="E866" s="23" t="s">
        <v>949</v>
      </c>
      <c r="F866" s="2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3" t="s">
        <v>1733</v>
      </c>
      <c r="B867" s="23" t="s">
        <v>885</v>
      </c>
      <c r="C867" s="23" t="s">
        <v>1657</v>
      </c>
      <c r="D867" s="23" t="s">
        <v>1658</v>
      </c>
      <c r="E867" s="23" t="s">
        <v>949</v>
      </c>
      <c r="F867" s="2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3" t="s">
        <v>1734</v>
      </c>
      <c r="B868" s="23" t="s">
        <v>887</v>
      </c>
      <c r="C868" s="23" t="s">
        <v>1657</v>
      </c>
      <c r="D868" s="23" t="s">
        <v>1658</v>
      </c>
      <c r="E868" s="23" t="s">
        <v>949</v>
      </c>
      <c r="F868" s="2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3" t="s">
        <v>1735</v>
      </c>
      <c r="B869" s="23" t="s">
        <v>892</v>
      </c>
      <c r="C869" s="23" t="s">
        <v>1657</v>
      </c>
      <c r="D869" s="23" t="s">
        <v>1658</v>
      </c>
      <c r="E869" s="23" t="s">
        <v>949</v>
      </c>
      <c r="F869" s="2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3" t="s">
        <v>1736</v>
      </c>
      <c r="B870" s="23" t="s">
        <v>935</v>
      </c>
      <c r="C870" s="23" t="s">
        <v>1657</v>
      </c>
      <c r="D870" s="23" t="s">
        <v>1658</v>
      </c>
      <c r="E870" s="23" t="s">
        <v>949</v>
      </c>
      <c r="F870" s="2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3" t="s">
        <v>1737</v>
      </c>
      <c r="B871" s="23" t="s">
        <v>895</v>
      </c>
      <c r="C871" s="23" t="s">
        <v>1657</v>
      </c>
      <c r="D871" s="23" t="s">
        <v>1658</v>
      </c>
      <c r="E871" s="23" t="s">
        <v>949</v>
      </c>
      <c r="F871" s="2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3" t="s">
        <v>1738</v>
      </c>
      <c r="B872" s="23" t="s">
        <v>897</v>
      </c>
      <c r="C872" s="23" t="s">
        <v>1657</v>
      </c>
      <c r="D872" s="23" t="s">
        <v>1658</v>
      </c>
      <c r="E872" s="23" t="s">
        <v>949</v>
      </c>
      <c r="F872" s="2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3" t="s">
        <v>1739</v>
      </c>
      <c r="B873" s="23" t="s">
        <v>889</v>
      </c>
      <c r="C873" s="23" t="s">
        <v>1657</v>
      </c>
      <c r="D873" s="23" t="s">
        <v>1658</v>
      </c>
      <c r="E873" s="23" t="s">
        <v>949</v>
      </c>
      <c r="F873" s="2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3" t="s">
        <v>1740</v>
      </c>
      <c r="B874" s="23" t="s">
        <v>899</v>
      </c>
      <c r="C874" s="23" t="s">
        <v>1657</v>
      </c>
      <c r="D874" s="23" t="s">
        <v>1658</v>
      </c>
      <c r="E874" s="23" t="s">
        <v>949</v>
      </c>
      <c r="F874" s="2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3" t="s">
        <v>1741</v>
      </c>
      <c r="B875" s="23" t="s">
        <v>901</v>
      </c>
      <c r="C875" s="23" t="s">
        <v>1657</v>
      </c>
      <c r="D875" s="23" t="s">
        <v>1658</v>
      </c>
      <c r="E875" s="23" t="s">
        <v>949</v>
      </c>
      <c r="F875" s="2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3" t="s">
        <v>1742</v>
      </c>
      <c r="B876" s="23" t="s">
        <v>904</v>
      </c>
      <c r="C876" s="23" t="s">
        <v>1657</v>
      </c>
      <c r="D876" s="23" t="s">
        <v>1658</v>
      </c>
      <c r="E876" s="23" t="s">
        <v>949</v>
      </c>
      <c r="F876" s="2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3" t="s">
        <v>1743</v>
      </c>
      <c r="B877" s="23" t="s">
        <v>906</v>
      </c>
      <c r="C877" s="23" t="s">
        <v>1657</v>
      </c>
      <c r="D877" s="23" t="s">
        <v>1658</v>
      </c>
      <c r="E877" s="23" t="s">
        <v>949</v>
      </c>
      <c r="F877" s="2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3" t="s">
        <v>1744</v>
      </c>
      <c r="B878" s="23" t="s">
        <v>908</v>
      </c>
      <c r="C878" s="23" t="s">
        <v>1657</v>
      </c>
      <c r="D878" s="23" t="s">
        <v>1658</v>
      </c>
      <c r="E878" s="23" t="s">
        <v>949</v>
      </c>
      <c r="F878" s="2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3" t="s">
        <v>1745</v>
      </c>
      <c r="B879" s="23" t="s">
        <v>936</v>
      </c>
      <c r="C879" s="23" t="s">
        <v>1657</v>
      </c>
      <c r="D879" s="23" t="s">
        <v>1658</v>
      </c>
      <c r="E879" s="23" t="s">
        <v>949</v>
      </c>
      <c r="F879" s="2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3" t="s">
        <v>1746</v>
      </c>
      <c r="B880" s="23" t="s">
        <v>910</v>
      </c>
      <c r="C880" s="23" t="s">
        <v>1657</v>
      </c>
      <c r="D880" s="23" t="s">
        <v>1658</v>
      </c>
      <c r="E880" s="23" t="s">
        <v>949</v>
      </c>
      <c r="F880" s="2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3" t="s">
        <v>1747</v>
      </c>
      <c r="B881" s="23" t="s">
        <v>937</v>
      </c>
      <c r="C881" s="23" t="s">
        <v>1657</v>
      </c>
      <c r="D881" s="23" t="s">
        <v>1658</v>
      </c>
      <c r="E881" s="23" t="s">
        <v>949</v>
      </c>
      <c r="F881" s="2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3" t="s">
        <v>1748</v>
      </c>
      <c r="B882" s="23" t="s">
        <v>912</v>
      </c>
      <c r="C882" s="23" t="s">
        <v>1657</v>
      </c>
      <c r="D882" s="23" t="s">
        <v>1658</v>
      </c>
      <c r="E882" s="23" t="s">
        <v>971</v>
      </c>
      <c r="F882" s="2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3" t="s">
        <v>1749</v>
      </c>
      <c r="B883" s="23" t="s">
        <v>938</v>
      </c>
      <c r="C883" s="23" t="s">
        <v>1657</v>
      </c>
      <c r="D883" s="23" t="s">
        <v>1658</v>
      </c>
      <c r="E883" s="23" t="s">
        <v>949</v>
      </c>
      <c r="F883" s="2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3" t="s">
        <v>1750</v>
      </c>
      <c r="B884" s="23" t="s">
        <v>914</v>
      </c>
      <c r="C884" s="23" t="s">
        <v>1657</v>
      </c>
      <c r="D884" s="23" t="s">
        <v>1658</v>
      </c>
      <c r="E884" s="23" t="s">
        <v>949</v>
      </c>
      <c r="F884" s="2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3" t="s">
        <v>1751</v>
      </c>
      <c r="B885" s="23" t="s">
        <v>939</v>
      </c>
      <c r="C885" s="23" t="s">
        <v>1657</v>
      </c>
      <c r="D885" s="23" t="s">
        <v>1658</v>
      </c>
      <c r="E885" s="23" t="s">
        <v>949</v>
      </c>
      <c r="F885" s="2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3" t="s">
        <v>1752</v>
      </c>
      <c r="B886" s="23" t="s">
        <v>953</v>
      </c>
      <c r="C886" s="23" t="s">
        <v>1657</v>
      </c>
      <c r="D886" s="23" t="s">
        <v>1658</v>
      </c>
      <c r="E886" s="23" t="s">
        <v>949</v>
      </c>
      <c r="F886" s="2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3" t="s">
        <v>1753</v>
      </c>
      <c r="B887" s="23" t="s">
        <v>917</v>
      </c>
      <c r="C887" s="23" t="s">
        <v>1657</v>
      </c>
      <c r="D887" s="23" t="s">
        <v>1658</v>
      </c>
      <c r="E887" s="23" t="s">
        <v>949</v>
      </c>
      <c r="F887" s="2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3" t="s">
        <v>1754</v>
      </c>
      <c r="B888" s="23" t="s">
        <v>873</v>
      </c>
      <c r="C888" s="23" t="s">
        <v>1657</v>
      </c>
      <c r="D888" s="23" t="s">
        <v>1658</v>
      </c>
      <c r="E888" s="23" t="s">
        <v>949</v>
      </c>
      <c r="F888" s="2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3" t="s">
        <v>1755</v>
      </c>
      <c r="B889" s="23" t="s">
        <v>920</v>
      </c>
      <c r="C889" s="23" t="s">
        <v>1657</v>
      </c>
      <c r="D889" s="23" t="s">
        <v>1658</v>
      </c>
      <c r="E889" s="23" t="s">
        <v>949</v>
      </c>
      <c r="F889" s="2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3" t="s">
        <v>1756</v>
      </c>
      <c r="B890" s="23" t="s">
        <v>923</v>
      </c>
      <c r="C890" s="23" t="s">
        <v>1657</v>
      </c>
      <c r="D890" s="23" t="s">
        <v>1658</v>
      </c>
      <c r="E890" s="23" t="s">
        <v>949</v>
      </c>
      <c r="F890" s="2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3" t="s">
        <v>1757</v>
      </c>
      <c r="B891" s="23" t="s">
        <v>926</v>
      </c>
      <c r="C891" s="23" t="s">
        <v>1657</v>
      </c>
      <c r="D891" s="23" t="s">
        <v>1658</v>
      </c>
      <c r="E891" s="23" t="s">
        <v>949</v>
      </c>
      <c r="F891" s="2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3" t="s">
        <v>1758</v>
      </c>
      <c r="B892" s="23" t="s">
        <v>929</v>
      </c>
      <c r="C892" s="23" t="s">
        <v>1657</v>
      </c>
      <c r="D892" s="23" t="s">
        <v>1658</v>
      </c>
      <c r="E892" s="23" t="s">
        <v>949</v>
      </c>
      <c r="F892" s="2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3" t="s">
        <v>1759</v>
      </c>
      <c r="B893" s="23" t="s">
        <v>932</v>
      </c>
      <c r="C893" s="23" t="s">
        <v>1657</v>
      </c>
      <c r="D893" s="23" t="s">
        <v>1658</v>
      </c>
      <c r="E893" s="23" t="s">
        <v>949</v>
      </c>
      <c r="F893" s="2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3" t="s">
        <v>1760</v>
      </c>
      <c r="B894" s="23" t="s">
        <v>934</v>
      </c>
      <c r="C894" s="23" t="s">
        <v>1657</v>
      </c>
      <c r="D894" s="23" t="s">
        <v>1658</v>
      </c>
      <c r="E894" s="23" t="s">
        <v>971</v>
      </c>
      <c r="F894" s="2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3" t="s">
        <v>1761</v>
      </c>
      <c r="B895" s="23" t="s">
        <v>942</v>
      </c>
      <c r="C895" s="23" t="s">
        <v>1657</v>
      </c>
      <c r="D895" s="23" t="s">
        <v>1658</v>
      </c>
      <c r="E895" s="23" t="s">
        <v>949</v>
      </c>
      <c r="F895" s="2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3" t="s">
        <v>1762</v>
      </c>
      <c r="B896" s="23" t="s">
        <v>793</v>
      </c>
      <c r="C896" s="23" t="s">
        <v>1657</v>
      </c>
      <c r="D896" s="23" t="s">
        <v>1763</v>
      </c>
      <c r="E896" s="23" t="s">
        <v>949</v>
      </c>
      <c r="F896" s="23" t="s">
        <v>1764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3" t="s">
        <v>1765</v>
      </c>
      <c r="B897" s="23" t="s">
        <v>752</v>
      </c>
      <c r="C897" s="23" t="s">
        <v>1657</v>
      </c>
      <c r="D897" s="23" t="s">
        <v>1763</v>
      </c>
      <c r="E897" s="23" t="s">
        <v>949</v>
      </c>
      <c r="F897" s="23" t="s">
        <v>1766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3" t="s">
        <v>1767</v>
      </c>
      <c r="B898" s="23" t="s">
        <v>764</v>
      </c>
      <c r="C898" s="23" t="s">
        <v>1657</v>
      </c>
      <c r="D898" s="23" t="s">
        <v>1763</v>
      </c>
      <c r="E898" s="23" t="s">
        <v>971</v>
      </c>
      <c r="F898" s="23" t="s">
        <v>1768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3" t="s">
        <v>1769</v>
      </c>
      <c r="B899" s="23" t="s">
        <v>951</v>
      </c>
      <c r="C899" s="23" t="s">
        <v>1657</v>
      </c>
      <c r="D899" s="23" t="s">
        <v>1763</v>
      </c>
      <c r="E899" s="23" t="s">
        <v>971</v>
      </c>
      <c r="F899" s="23" t="s">
        <v>1768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3" t="s">
        <v>1770</v>
      </c>
      <c r="B900" s="23" t="s">
        <v>796</v>
      </c>
      <c r="C900" s="23" t="s">
        <v>1657</v>
      </c>
      <c r="D900" s="23" t="s">
        <v>1763</v>
      </c>
      <c r="E900" s="23" t="s">
        <v>949</v>
      </c>
      <c r="F900" s="23" t="s">
        <v>1771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3" t="s">
        <v>1772</v>
      </c>
      <c r="B901" s="23" t="s">
        <v>766</v>
      </c>
      <c r="C901" s="23" t="s">
        <v>1657</v>
      </c>
      <c r="D901" s="23" t="s">
        <v>1763</v>
      </c>
      <c r="E901" s="23" t="s">
        <v>949</v>
      </c>
      <c r="F901" s="23" t="s">
        <v>1771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3" t="s">
        <v>1773</v>
      </c>
      <c r="B902" s="23" t="s">
        <v>756</v>
      </c>
      <c r="C902" s="23" t="s">
        <v>1657</v>
      </c>
      <c r="D902" s="23" t="s">
        <v>1763</v>
      </c>
      <c r="E902" s="23" t="s">
        <v>949</v>
      </c>
      <c r="F902" s="23" t="s">
        <v>1774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3" t="s">
        <v>1775</v>
      </c>
      <c r="B903" s="23" t="s">
        <v>769</v>
      </c>
      <c r="C903" s="23" t="s">
        <v>1657</v>
      </c>
      <c r="D903" s="23" t="s">
        <v>1763</v>
      </c>
      <c r="E903" s="23" t="s">
        <v>971</v>
      </c>
      <c r="F903" s="23" t="s">
        <v>1768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3" t="s">
        <v>1776</v>
      </c>
      <c r="B904" s="23" t="s">
        <v>810</v>
      </c>
      <c r="C904" s="23" t="s">
        <v>1657</v>
      </c>
      <c r="D904" s="23" t="s">
        <v>1763</v>
      </c>
      <c r="E904" s="23" t="s">
        <v>949</v>
      </c>
      <c r="F904" s="23" t="s">
        <v>1777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3" t="s">
        <v>1778</v>
      </c>
      <c r="B905" s="23" t="s">
        <v>771</v>
      </c>
      <c r="C905" s="23" t="s">
        <v>1657</v>
      </c>
      <c r="D905" s="23" t="s">
        <v>1763</v>
      </c>
      <c r="E905" s="23" t="s">
        <v>949</v>
      </c>
      <c r="F905" s="23" t="s">
        <v>1774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3" t="s">
        <v>1779</v>
      </c>
      <c r="B906" s="23" t="s">
        <v>773</v>
      </c>
      <c r="C906" s="23" t="s">
        <v>1657</v>
      </c>
      <c r="D906" s="23" t="s">
        <v>1763</v>
      </c>
      <c r="E906" s="23" t="s">
        <v>971</v>
      </c>
      <c r="F906" s="23" t="s">
        <v>1768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3" t="s">
        <v>1780</v>
      </c>
      <c r="B907" s="23" t="s">
        <v>719</v>
      </c>
      <c r="C907" s="23" t="s">
        <v>1657</v>
      </c>
      <c r="D907" s="23" t="s">
        <v>1763</v>
      </c>
      <c r="E907" s="23" t="s">
        <v>949</v>
      </c>
      <c r="F907" s="23" t="s">
        <v>1781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3" t="s">
        <v>1782</v>
      </c>
      <c r="B908" s="23" t="s">
        <v>725</v>
      </c>
      <c r="C908" s="23" t="s">
        <v>1657</v>
      </c>
      <c r="D908" s="23" t="s">
        <v>1763</v>
      </c>
      <c r="E908" s="23" t="s">
        <v>949</v>
      </c>
      <c r="F908" s="23" t="s">
        <v>1783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3" t="s">
        <v>1784</v>
      </c>
      <c r="B909" s="23" t="s">
        <v>708</v>
      </c>
      <c r="C909" s="23" t="s">
        <v>1657</v>
      </c>
      <c r="D909" s="23" t="s">
        <v>1763</v>
      </c>
      <c r="E909" s="23" t="s">
        <v>949</v>
      </c>
      <c r="F909" s="23" t="s">
        <v>1785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3" t="s">
        <v>1786</v>
      </c>
      <c r="B910" s="23" t="s">
        <v>798</v>
      </c>
      <c r="C910" s="23" t="s">
        <v>1657</v>
      </c>
      <c r="D910" s="23" t="s">
        <v>1763</v>
      </c>
      <c r="E910" s="23" t="s">
        <v>949</v>
      </c>
      <c r="F910" s="23" t="s">
        <v>1787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3" t="s">
        <v>1788</v>
      </c>
      <c r="B911" s="23" t="s">
        <v>962</v>
      </c>
      <c r="C911" s="23" t="s">
        <v>1657</v>
      </c>
      <c r="D911" s="23" t="s">
        <v>1763</v>
      </c>
      <c r="E911" s="23" t="s">
        <v>971</v>
      </c>
      <c r="F911" s="23" t="s">
        <v>1768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3" t="s">
        <v>1789</v>
      </c>
      <c r="B912" s="23" t="s">
        <v>781</v>
      </c>
      <c r="C912" s="23" t="s">
        <v>1657</v>
      </c>
      <c r="D912" s="23" t="s">
        <v>1763</v>
      </c>
      <c r="E912" s="23" t="s">
        <v>949</v>
      </c>
      <c r="F912" s="23" t="s">
        <v>1790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3" t="s">
        <v>1791</v>
      </c>
      <c r="B913" s="23" t="s">
        <v>784</v>
      </c>
      <c r="C913" s="23" t="s">
        <v>1657</v>
      </c>
      <c r="D913" s="23" t="s">
        <v>1763</v>
      </c>
      <c r="E913" s="23" t="s">
        <v>949</v>
      </c>
      <c r="F913" s="23" t="s">
        <v>1792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3" t="s">
        <v>1793</v>
      </c>
      <c r="B914" s="23" t="s">
        <v>737</v>
      </c>
      <c r="C914" s="23" t="s">
        <v>1657</v>
      </c>
      <c r="D914" s="23" t="s">
        <v>1763</v>
      </c>
      <c r="E914" s="23" t="s">
        <v>949</v>
      </c>
      <c r="F914" s="23" t="s">
        <v>1794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3" t="s">
        <v>1795</v>
      </c>
      <c r="B915" s="23" t="s">
        <v>746</v>
      </c>
      <c r="C915" s="23" t="s">
        <v>1657</v>
      </c>
      <c r="D915" s="23" t="s">
        <v>1763</v>
      </c>
      <c r="E915" s="23" t="s">
        <v>949</v>
      </c>
      <c r="F915" s="23" t="s">
        <v>1796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3" t="s">
        <v>1797</v>
      </c>
      <c r="B916" s="23" t="s">
        <v>722</v>
      </c>
      <c r="C916" s="23" t="s">
        <v>1657</v>
      </c>
      <c r="D916" s="23" t="s">
        <v>1763</v>
      </c>
      <c r="E916" s="23" t="s">
        <v>949</v>
      </c>
      <c r="F916" s="23" t="s">
        <v>1790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3" t="s">
        <v>1798</v>
      </c>
      <c r="B917" s="23" t="s">
        <v>704</v>
      </c>
      <c r="C917" s="23" t="s">
        <v>1657</v>
      </c>
      <c r="D917" s="23" t="s">
        <v>1763</v>
      </c>
      <c r="E917" s="23" t="s">
        <v>949</v>
      </c>
      <c r="F917" s="23" t="s">
        <v>1785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3" t="s">
        <v>1799</v>
      </c>
      <c r="B918" s="23" t="s">
        <v>740</v>
      </c>
      <c r="C918" s="23" t="s">
        <v>1657</v>
      </c>
      <c r="D918" s="23" t="s">
        <v>1763</v>
      </c>
      <c r="E918" s="23" t="s">
        <v>949</v>
      </c>
      <c r="F918" s="23" t="s">
        <v>1785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3" t="s">
        <v>1800</v>
      </c>
      <c r="B919" s="23" t="s">
        <v>729</v>
      </c>
      <c r="C919" s="23" t="s">
        <v>1657</v>
      </c>
      <c r="D919" s="23" t="s">
        <v>1763</v>
      </c>
      <c r="E919" s="23" t="s">
        <v>949</v>
      </c>
      <c r="F919" s="23" t="s">
        <v>1801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3" t="s">
        <v>1802</v>
      </c>
      <c r="B920" s="23" t="s">
        <v>696</v>
      </c>
      <c r="C920" s="23" t="s">
        <v>1657</v>
      </c>
      <c r="D920" s="23" t="s">
        <v>1763</v>
      </c>
      <c r="E920" s="23" t="s">
        <v>971</v>
      </c>
      <c r="F920" s="23" t="s">
        <v>1768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3" t="s">
        <v>1803</v>
      </c>
      <c r="B921" s="23" t="s">
        <v>749</v>
      </c>
      <c r="C921" s="23" t="s">
        <v>1657</v>
      </c>
      <c r="D921" s="23" t="s">
        <v>1763</v>
      </c>
      <c r="E921" s="23" t="s">
        <v>949</v>
      </c>
      <c r="F921" s="23" t="s">
        <v>1804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3" t="s">
        <v>1805</v>
      </c>
      <c r="B922" s="23" t="s">
        <v>775</v>
      </c>
      <c r="C922" s="23" t="s">
        <v>1657</v>
      </c>
      <c r="D922" s="23" t="s">
        <v>1763</v>
      </c>
      <c r="E922" s="23" t="s">
        <v>949</v>
      </c>
      <c r="F922" s="23" t="s">
        <v>1771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3" t="s">
        <v>1806</v>
      </c>
      <c r="B923" s="23" t="s">
        <v>778</v>
      </c>
      <c r="C923" s="23" t="s">
        <v>1657</v>
      </c>
      <c r="D923" s="23" t="s">
        <v>1763</v>
      </c>
      <c r="E923" s="23" t="s">
        <v>949</v>
      </c>
      <c r="F923" s="23" t="s">
        <v>1774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3" t="s">
        <v>1807</v>
      </c>
      <c r="B924" s="23" t="s">
        <v>969</v>
      </c>
      <c r="C924" s="23" t="s">
        <v>1657</v>
      </c>
      <c r="D924" s="23" t="s">
        <v>1763</v>
      </c>
      <c r="E924" s="23" t="s">
        <v>971</v>
      </c>
      <c r="F924" s="23" t="s">
        <v>1768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3" t="s">
        <v>1808</v>
      </c>
      <c r="B925" s="23" t="s">
        <v>715</v>
      </c>
      <c r="C925" s="23" t="s">
        <v>1657</v>
      </c>
      <c r="D925" s="23" t="s">
        <v>1763</v>
      </c>
      <c r="E925" s="23" t="s">
        <v>949</v>
      </c>
      <c r="F925" s="23" t="s">
        <v>1809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3" t="s">
        <v>1810</v>
      </c>
      <c r="B926" s="23" t="s">
        <v>743</v>
      </c>
      <c r="C926" s="23" t="s">
        <v>1657</v>
      </c>
      <c r="D926" s="23" t="s">
        <v>1763</v>
      </c>
      <c r="E926" s="23" t="s">
        <v>949</v>
      </c>
      <c r="F926" s="23" t="s">
        <v>1811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3" t="s">
        <v>1812</v>
      </c>
      <c r="B927" s="23" t="s">
        <v>974</v>
      </c>
      <c r="C927" s="23" t="s">
        <v>1657</v>
      </c>
      <c r="D927" s="23" t="s">
        <v>1763</v>
      </c>
      <c r="E927" s="23" t="s">
        <v>949</v>
      </c>
      <c r="F927" s="23" t="s">
        <v>1764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3" t="s">
        <v>1813</v>
      </c>
      <c r="B928" s="23" t="s">
        <v>975</v>
      </c>
      <c r="C928" s="23" t="s">
        <v>1657</v>
      </c>
      <c r="D928" s="23" t="s">
        <v>1763</v>
      </c>
      <c r="E928" s="23" t="s">
        <v>971</v>
      </c>
      <c r="F928" s="23" t="s">
        <v>1768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3" t="s">
        <v>1814</v>
      </c>
      <c r="B929" s="23" t="s">
        <v>801</v>
      </c>
      <c r="C929" s="23" t="s">
        <v>1657</v>
      </c>
      <c r="D929" s="23" t="s">
        <v>1763</v>
      </c>
      <c r="E929" s="23" t="s">
        <v>949</v>
      </c>
      <c r="F929" s="23" t="s">
        <v>1787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3" t="s">
        <v>1815</v>
      </c>
      <c r="B930" s="23" t="s">
        <v>732</v>
      </c>
      <c r="C930" s="23" t="s">
        <v>1657</v>
      </c>
      <c r="D930" s="23" t="s">
        <v>1763</v>
      </c>
      <c r="E930" s="23" t="s">
        <v>949</v>
      </c>
      <c r="F930" s="23" t="s">
        <v>1781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3" t="s">
        <v>1816</v>
      </c>
      <c r="B931" s="23" t="s">
        <v>758</v>
      </c>
      <c r="C931" s="23" t="s">
        <v>1657</v>
      </c>
      <c r="D931" s="23" t="s">
        <v>1763</v>
      </c>
      <c r="E931" s="23" t="s">
        <v>949</v>
      </c>
      <c r="F931" s="23" t="s">
        <v>1817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3" t="s">
        <v>1818</v>
      </c>
      <c r="B932" s="23" t="s">
        <v>700</v>
      </c>
      <c r="C932" s="23" t="s">
        <v>1657</v>
      </c>
      <c r="D932" s="23" t="s">
        <v>1763</v>
      </c>
      <c r="E932" s="23" t="s">
        <v>949</v>
      </c>
      <c r="F932" s="23" t="s">
        <v>1785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3" t="s">
        <v>1819</v>
      </c>
      <c r="B933" s="23" t="s">
        <v>712</v>
      </c>
      <c r="C933" s="23" t="s">
        <v>1657</v>
      </c>
      <c r="D933" s="23" t="s">
        <v>1763</v>
      </c>
      <c r="E933" s="23" t="s">
        <v>949</v>
      </c>
      <c r="F933" s="23" t="s">
        <v>1820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3" t="s">
        <v>1821</v>
      </c>
      <c r="B934" s="23" t="s">
        <v>693</v>
      </c>
      <c r="C934" s="23" t="s">
        <v>1657</v>
      </c>
      <c r="D934" s="23" t="s">
        <v>1763</v>
      </c>
      <c r="E934" s="23" t="s">
        <v>949</v>
      </c>
      <c r="F934" s="23" t="s">
        <v>1822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3" t="s">
        <v>1823</v>
      </c>
      <c r="B935" s="23" t="s">
        <v>787</v>
      </c>
      <c r="C935" s="23" t="s">
        <v>1657</v>
      </c>
      <c r="D935" s="23" t="s">
        <v>1763</v>
      </c>
      <c r="E935" s="23" t="s">
        <v>949</v>
      </c>
      <c r="F935" s="23" t="s">
        <v>1777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3" t="s">
        <v>1824</v>
      </c>
      <c r="B936" s="23" t="s">
        <v>790</v>
      </c>
      <c r="C936" s="23" t="s">
        <v>1657</v>
      </c>
      <c r="D936" s="23" t="s">
        <v>1763</v>
      </c>
      <c r="E936" s="23" t="s">
        <v>949</v>
      </c>
      <c r="F936" s="23" t="s">
        <v>1825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3" t="s">
        <v>1826</v>
      </c>
      <c r="B937" s="23" t="s">
        <v>761</v>
      </c>
      <c r="C937" s="23" t="s">
        <v>1657</v>
      </c>
      <c r="D937" s="23" t="s">
        <v>1763</v>
      </c>
      <c r="E937" s="23" t="s">
        <v>949</v>
      </c>
      <c r="F937" s="23" t="s">
        <v>1764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3" t="s">
        <v>1827</v>
      </c>
      <c r="B938" s="23" t="s">
        <v>804</v>
      </c>
      <c r="C938" s="23" t="s">
        <v>1657</v>
      </c>
      <c r="D938" s="23" t="s">
        <v>1763</v>
      </c>
      <c r="E938" s="23" t="s">
        <v>949</v>
      </c>
      <c r="F938" s="23" t="s">
        <v>1828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3" t="s">
        <v>1829</v>
      </c>
      <c r="B939" s="23" t="s">
        <v>806</v>
      </c>
      <c r="C939" s="23" t="s">
        <v>1657</v>
      </c>
      <c r="D939" s="23" t="s">
        <v>1763</v>
      </c>
      <c r="E939" s="23" t="s">
        <v>949</v>
      </c>
      <c r="F939" s="23" t="s">
        <v>1822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3" t="s">
        <v>1830</v>
      </c>
      <c r="B940" s="23" t="s">
        <v>809</v>
      </c>
      <c r="C940" s="23" t="s">
        <v>1657</v>
      </c>
      <c r="D940" s="23" t="s">
        <v>1763</v>
      </c>
      <c r="E940" s="23" t="s">
        <v>949</v>
      </c>
      <c r="F940" s="23" t="s">
        <v>1792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3" t="s">
        <v>1831</v>
      </c>
      <c r="B941" s="23" t="s">
        <v>116</v>
      </c>
      <c r="C941" s="23" t="s">
        <v>125</v>
      </c>
      <c r="D941" s="23" t="s">
        <v>1658</v>
      </c>
      <c r="E941" s="23" t="s">
        <v>949</v>
      </c>
      <c r="F941" s="2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3" t="s">
        <v>1832</v>
      </c>
      <c r="B942" s="23" t="s">
        <v>123</v>
      </c>
      <c r="C942" s="23" t="s">
        <v>125</v>
      </c>
      <c r="D942" s="23" t="s">
        <v>1658</v>
      </c>
      <c r="E942" s="23" t="s">
        <v>949</v>
      </c>
      <c r="F942" s="2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3" t="s">
        <v>1833</v>
      </c>
      <c r="B943" s="23" t="s">
        <v>131</v>
      </c>
      <c r="C943" s="23" t="s">
        <v>125</v>
      </c>
      <c r="D943" s="23" t="s">
        <v>1658</v>
      </c>
      <c r="E943" s="23" t="s">
        <v>949</v>
      </c>
      <c r="F943" s="2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3" t="s">
        <v>1834</v>
      </c>
      <c r="B944" s="23" t="s">
        <v>137</v>
      </c>
      <c r="C944" s="23" t="s">
        <v>125</v>
      </c>
      <c r="D944" s="23" t="s">
        <v>1658</v>
      </c>
      <c r="E944" s="23" t="s">
        <v>949</v>
      </c>
      <c r="F944" s="2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3" t="s">
        <v>1835</v>
      </c>
      <c r="B945" s="23" t="s">
        <v>144</v>
      </c>
      <c r="C945" s="23" t="s">
        <v>125</v>
      </c>
      <c r="D945" s="23" t="s">
        <v>1658</v>
      </c>
      <c r="E945" s="23" t="s">
        <v>949</v>
      </c>
      <c r="F945" s="2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3" t="s">
        <v>1836</v>
      </c>
      <c r="B946" s="23" t="s">
        <v>151</v>
      </c>
      <c r="C946" s="23" t="s">
        <v>125</v>
      </c>
      <c r="D946" s="23" t="s">
        <v>1658</v>
      </c>
      <c r="E946" s="23" t="s">
        <v>949</v>
      </c>
      <c r="F946" s="2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3" t="s">
        <v>1837</v>
      </c>
      <c r="B947" s="23" t="s">
        <v>734</v>
      </c>
      <c r="C947" s="23" t="s">
        <v>125</v>
      </c>
      <c r="D947" s="23" t="s">
        <v>1658</v>
      </c>
      <c r="E947" s="23" t="s">
        <v>949</v>
      </c>
      <c r="F947" s="2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3" t="s">
        <v>1838</v>
      </c>
      <c r="B948" s="23" t="s">
        <v>831</v>
      </c>
      <c r="C948" s="23" t="s">
        <v>125</v>
      </c>
      <c r="D948" s="23" t="s">
        <v>1658</v>
      </c>
      <c r="E948" s="23" t="s">
        <v>949</v>
      </c>
      <c r="F948" s="2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3" t="s">
        <v>1839</v>
      </c>
      <c r="B949" s="23" t="s">
        <v>833</v>
      </c>
      <c r="C949" s="23" t="s">
        <v>125</v>
      </c>
      <c r="D949" s="23" t="s">
        <v>1658</v>
      </c>
      <c r="E949" s="23" t="s">
        <v>949</v>
      </c>
      <c r="F949" s="2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3" t="s">
        <v>1840</v>
      </c>
      <c r="B950" s="23" t="s">
        <v>811</v>
      </c>
      <c r="C950" s="23" t="s">
        <v>125</v>
      </c>
      <c r="D950" s="23" t="s">
        <v>1658</v>
      </c>
      <c r="E950" s="23" t="s">
        <v>949</v>
      </c>
      <c r="F950" s="2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3" t="s">
        <v>1841</v>
      </c>
      <c r="B951" s="23" t="s">
        <v>838</v>
      </c>
      <c r="C951" s="23" t="s">
        <v>125</v>
      </c>
      <c r="D951" s="23" t="s">
        <v>1658</v>
      </c>
      <c r="E951" s="23" t="s">
        <v>949</v>
      </c>
      <c r="F951" s="2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3" t="s">
        <v>1842</v>
      </c>
      <c r="B952" s="23" t="s">
        <v>840</v>
      </c>
      <c r="C952" s="23" t="s">
        <v>125</v>
      </c>
      <c r="D952" s="23" t="s">
        <v>1658</v>
      </c>
      <c r="E952" s="23" t="s">
        <v>949</v>
      </c>
      <c r="F952" s="2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3" t="s">
        <v>1843</v>
      </c>
      <c r="B953" s="23" t="s">
        <v>842</v>
      </c>
      <c r="C953" s="23" t="s">
        <v>125</v>
      </c>
      <c r="D953" s="23" t="s">
        <v>1658</v>
      </c>
      <c r="E953" s="23" t="s">
        <v>949</v>
      </c>
      <c r="F953" s="2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3" t="s">
        <v>1844</v>
      </c>
      <c r="B954" s="23" t="s">
        <v>844</v>
      </c>
      <c r="C954" s="23" t="s">
        <v>125</v>
      </c>
      <c r="D954" s="23" t="s">
        <v>1658</v>
      </c>
      <c r="E954" s="23" t="s">
        <v>949</v>
      </c>
      <c r="F954" s="2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3" t="s">
        <v>1845</v>
      </c>
      <c r="B955" s="23" t="s">
        <v>846</v>
      </c>
      <c r="C955" s="23" t="s">
        <v>125</v>
      </c>
      <c r="D955" s="23" t="s">
        <v>1658</v>
      </c>
      <c r="E955" s="23" t="s">
        <v>949</v>
      </c>
      <c r="F955" s="2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3" t="s">
        <v>1846</v>
      </c>
      <c r="B956" s="23" t="s">
        <v>848</v>
      </c>
      <c r="C956" s="23" t="s">
        <v>125</v>
      </c>
      <c r="D956" s="23" t="s">
        <v>1658</v>
      </c>
      <c r="E956" s="23" t="s">
        <v>949</v>
      </c>
      <c r="F956" s="2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3" t="s">
        <v>1847</v>
      </c>
      <c r="B957" s="23" t="s">
        <v>850</v>
      </c>
      <c r="C957" s="23" t="s">
        <v>125</v>
      </c>
      <c r="D957" s="23" t="s">
        <v>1658</v>
      </c>
      <c r="E957" s="23" t="s">
        <v>949</v>
      </c>
      <c r="F957" s="2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3" t="s">
        <v>1848</v>
      </c>
      <c r="B958" s="23" t="s">
        <v>853</v>
      </c>
      <c r="C958" s="23" t="s">
        <v>125</v>
      </c>
      <c r="D958" s="23" t="s">
        <v>1658</v>
      </c>
      <c r="E958" s="23" t="s">
        <v>949</v>
      </c>
      <c r="F958" s="2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3" t="s">
        <v>1849</v>
      </c>
      <c r="B959" s="23" t="s">
        <v>855</v>
      </c>
      <c r="C959" s="23" t="s">
        <v>125</v>
      </c>
      <c r="D959" s="23" t="s">
        <v>1658</v>
      </c>
      <c r="E959" s="23" t="s">
        <v>949</v>
      </c>
      <c r="F959" s="2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3" t="s">
        <v>1850</v>
      </c>
      <c r="B960" s="23" t="s">
        <v>857</v>
      </c>
      <c r="C960" s="23" t="s">
        <v>125</v>
      </c>
      <c r="D960" s="23" t="s">
        <v>1658</v>
      </c>
      <c r="E960" s="23" t="s">
        <v>949</v>
      </c>
      <c r="F960" s="2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3" t="s">
        <v>1851</v>
      </c>
      <c r="B961" s="23" t="s">
        <v>860</v>
      </c>
      <c r="C961" s="23" t="s">
        <v>125</v>
      </c>
      <c r="D961" s="23" t="s">
        <v>1658</v>
      </c>
      <c r="E961" s="23" t="s">
        <v>949</v>
      </c>
      <c r="F961" s="2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3" t="s">
        <v>1852</v>
      </c>
      <c r="B962" s="23" t="s">
        <v>862</v>
      </c>
      <c r="C962" s="23" t="s">
        <v>125</v>
      </c>
      <c r="D962" s="23" t="s">
        <v>1658</v>
      </c>
      <c r="E962" s="23" t="s">
        <v>949</v>
      </c>
      <c r="F962" s="2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3" t="s">
        <v>1853</v>
      </c>
      <c r="B963" s="23" t="s">
        <v>865</v>
      </c>
      <c r="C963" s="23" t="s">
        <v>125</v>
      </c>
      <c r="D963" s="23" t="s">
        <v>1658</v>
      </c>
      <c r="E963" s="23" t="s">
        <v>949</v>
      </c>
      <c r="F963" s="2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3" t="s">
        <v>1854</v>
      </c>
      <c r="B964" s="23" t="s">
        <v>867</v>
      </c>
      <c r="C964" s="23" t="s">
        <v>125</v>
      </c>
      <c r="D964" s="23" t="s">
        <v>1658</v>
      </c>
      <c r="E964" s="23" t="s">
        <v>949</v>
      </c>
      <c r="F964" s="2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3" t="s">
        <v>1855</v>
      </c>
      <c r="B965" s="23" t="s">
        <v>869</v>
      </c>
      <c r="C965" s="23" t="s">
        <v>125</v>
      </c>
      <c r="D965" s="23" t="s">
        <v>1658</v>
      </c>
      <c r="E965" s="23" t="s">
        <v>949</v>
      </c>
      <c r="F965" s="2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3" t="s">
        <v>1856</v>
      </c>
      <c r="B966" s="23" t="s">
        <v>871</v>
      </c>
      <c r="C966" s="23" t="s">
        <v>125</v>
      </c>
      <c r="D966" s="23" t="s">
        <v>1658</v>
      </c>
      <c r="E966" s="23" t="s">
        <v>949</v>
      </c>
      <c r="F966" s="2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3" t="s">
        <v>1857</v>
      </c>
      <c r="B967" s="23" t="s">
        <v>876</v>
      </c>
      <c r="C967" s="23" t="s">
        <v>125</v>
      </c>
      <c r="D967" s="23" t="s">
        <v>1658</v>
      </c>
      <c r="E967" s="23" t="s">
        <v>949</v>
      </c>
      <c r="F967" s="2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3" t="s">
        <v>1858</v>
      </c>
      <c r="B968" s="23" t="s">
        <v>879</v>
      </c>
      <c r="C968" s="23" t="s">
        <v>125</v>
      </c>
      <c r="D968" s="23" t="s">
        <v>1658</v>
      </c>
      <c r="E968" s="23" t="s">
        <v>949</v>
      </c>
      <c r="F968" s="2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3" t="s">
        <v>1859</v>
      </c>
      <c r="B969" s="23" t="s">
        <v>881</v>
      </c>
      <c r="C969" s="23" t="s">
        <v>125</v>
      </c>
      <c r="D969" s="23" t="s">
        <v>1658</v>
      </c>
      <c r="E969" s="23" t="s">
        <v>971</v>
      </c>
      <c r="F969" s="2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3" t="s">
        <v>1860</v>
      </c>
      <c r="B970" s="23" t="s">
        <v>883</v>
      </c>
      <c r="C970" s="23" t="s">
        <v>125</v>
      </c>
      <c r="D970" s="23" t="s">
        <v>1658</v>
      </c>
      <c r="E970" s="23" t="s">
        <v>949</v>
      </c>
      <c r="F970" s="2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3" t="s">
        <v>1861</v>
      </c>
      <c r="B971" s="23" t="s">
        <v>885</v>
      </c>
      <c r="C971" s="23" t="s">
        <v>125</v>
      </c>
      <c r="D971" s="23" t="s">
        <v>1658</v>
      </c>
      <c r="E971" s="23" t="s">
        <v>949</v>
      </c>
      <c r="F971" s="2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3" t="s">
        <v>1862</v>
      </c>
      <c r="B972" s="23" t="s">
        <v>887</v>
      </c>
      <c r="C972" s="23" t="s">
        <v>125</v>
      </c>
      <c r="D972" s="23" t="s">
        <v>1658</v>
      </c>
      <c r="E972" s="23" t="s">
        <v>949</v>
      </c>
      <c r="F972" s="2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3" t="s">
        <v>1863</v>
      </c>
      <c r="B973" s="23" t="s">
        <v>892</v>
      </c>
      <c r="C973" s="23" t="s">
        <v>125</v>
      </c>
      <c r="D973" s="23" t="s">
        <v>1658</v>
      </c>
      <c r="E973" s="23" t="s">
        <v>949</v>
      </c>
      <c r="F973" s="2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3" t="s">
        <v>1864</v>
      </c>
      <c r="B974" s="23" t="s">
        <v>935</v>
      </c>
      <c r="C974" s="23" t="s">
        <v>125</v>
      </c>
      <c r="D974" s="23" t="s">
        <v>1658</v>
      </c>
      <c r="E974" s="23" t="s">
        <v>949</v>
      </c>
      <c r="F974" s="2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3" t="s">
        <v>1865</v>
      </c>
      <c r="B975" s="23" t="s">
        <v>895</v>
      </c>
      <c r="C975" s="23" t="s">
        <v>125</v>
      </c>
      <c r="D975" s="23" t="s">
        <v>1658</v>
      </c>
      <c r="E975" s="23" t="s">
        <v>949</v>
      </c>
      <c r="F975" s="2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3" t="s">
        <v>1866</v>
      </c>
      <c r="B976" s="23" t="s">
        <v>897</v>
      </c>
      <c r="C976" s="23" t="s">
        <v>125</v>
      </c>
      <c r="D976" s="23" t="s">
        <v>1658</v>
      </c>
      <c r="E976" s="23" t="s">
        <v>949</v>
      </c>
      <c r="F976" s="2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3" t="s">
        <v>1867</v>
      </c>
      <c r="B977" s="23" t="s">
        <v>889</v>
      </c>
      <c r="C977" s="23" t="s">
        <v>125</v>
      </c>
      <c r="D977" s="23" t="s">
        <v>1658</v>
      </c>
      <c r="E977" s="23" t="s">
        <v>949</v>
      </c>
      <c r="F977" s="2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3" t="s">
        <v>1868</v>
      </c>
      <c r="B978" s="23" t="s">
        <v>899</v>
      </c>
      <c r="C978" s="23" t="s">
        <v>125</v>
      </c>
      <c r="D978" s="23" t="s">
        <v>1658</v>
      </c>
      <c r="E978" s="23" t="s">
        <v>949</v>
      </c>
      <c r="F978" s="2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3" t="s">
        <v>1869</v>
      </c>
      <c r="B979" s="23" t="s">
        <v>901</v>
      </c>
      <c r="C979" s="23" t="s">
        <v>125</v>
      </c>
      <c r="D979" s="23" t="s">
        <v>1658</v>
      </c>
      <c r="E979" s="23" t="s">
        <v>949</v>
      </c>
      <c r="F979" s="2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3" t="s">
        <v>1870</v>
      </c>
      <c r="B980" s="23" t="s">
        <v>904</v>
      </c>
      <c r="C980" s="23" t="s">
        <v>125</v>
      </c>
      <c r="D980" s="23" t="s">
        <v>1658</v>
      </c>
      <c r="E980" s="23" t="s">
        <v>949</v>
      </c>
      <c r="F980" s="2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3" t="s">
        <v>1871</v>
      </c>
      <c r="B981" s="23" t="s">
        <v>906</v>
      </c>
      <c r="C981" s="23" t="s">
        <v>125</v>
      </c>
      <c r="D981" s="23" t="s">
        <v>1658</v>
      </c>
      <c r="E981" s="23" t="s">
        <v>949</v>
      </c>
      <c r="F981" s="2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3" t="s">
        <v>1872</v>
      </c>
      <c r="B982" s="23" t="s">
        <v>908</v>
      </c>
      <c r="C982" s="23" t="s">
        <v>125</v>
      </c>
      <c r="D982" s="23" t="s">
        <v>1658</v>
      </c>
      <c r="E982" s="23" t="s">
        <v>949</v>
      </c>
      <c r="F982" s="2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3" t="s">
        <v>1873</v>
      </c>
      <c r="B983" s="23" t="s">
        <v>936</v>
      </c>
      <c r="C983" s="23" t="s">
        <v>125</v>
      </c>
      <c r="D983" s="23" t="s">
        <v>1658</v>
      </c>
      <c r="E983" s="23" t="s">
        <v>949</v>
      </c>
      <c r="F983" s="2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3" t="s">
        <v>1874</v>
      </c>
      <c r="B984" s="23" t="s">
        <v>910</v>
      </c>
      <c r="C984" s="23" t="s">
        <v>125</v>
      </c>
      <c r="D984" s="23" t="s">
        <v>1658</v>
      </c>
      <c r="E984" s="23" t="s">
        <v>949</v>
      </c>
      <c r="F984" s="2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3" t="s">
        <v>1875</v>
      </c>
      <c r="B985" s="23" t="s">
        <v>937</v>
      </c>
      <c r="C985" s="23" t="s">
        <v>125</v>
      </c>
      <c r="D985" s="23" t="s">
        <v>1658</v>
      </c>
      <c r="E985" s="23" t="s">
        <v>949</v>
      </c>
      <c r="F985" s="2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3" t="s">
        <v>1876</v>
      </c>
      <c r="B986" s="23" t="s">
        <v>912</v>
      </c>
      <c r="C986" s="23" t="s">
        <v>125</v>
      </c>
      <c r="D986" s="23" t="s">
        <v>1658</v>
      </c>
      <c r="E986" s="23" t="s">
        <v>971</v>
      </c>
      <c r="F986" s="2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3" t="s">
        <v>1877</v>
      </c>
      <c r="B987" s="23" t="s">
        <v>938</v>
      </c>
      <c r="C987" s="23" t="s">
        <v>125</v>
      </c>
      <c r="D987" s="23" t="s">
        <v>1658</v>
      </c>
      <c r="E987" s="23" t="s">
        <v>949</v>
      </c>
      <c r="F987" s="2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3" t="s">
        <v>1878</v>
      </c>
      <c r="B988" s="23" t="s">
        <v>914</v>
      </c>
      <c r="C988" s="23" t="s">
        <v>125</v>
      </c>
      <c r="D988" s="23" t="s">
        <v>1658</v>
      </c>
      <c r="E988" s="23" t="s">
        <v>949</v>
      </c>
      <c r="F988" s="2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3" t="s">
        <v>1879</v>
      </c>
      <c r="B989" s="23" t="s">
        <v>939</v>
      </c>
      <c r="C989" s="23" t="s">
        <v>125</v>
      </c>
      <c r="D989" s="23" t="s">
        <v>1658</v>
      </c>
      <c r="E989" s="23" t="s">
        <v>949</v>
      </c>
      <c r="F989" s="2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3" t="s">
        <v>1880</v>
      </c>
      <c r="B990" s="23" t="s">
        <v>953</v>
      </c>
      <c r="C990" s="23" t="s">
        <v>125</v>
      </c>
      <c r="D990" s="23" t="s">
        <v>1658</v>
      </c>
      <c r="E990" s="23" t="s">
        <v>949</v>
      </c>
      <c r="F990" s="2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3" t="s">
        <v>1881</v>
      </c>
      <c r="B991" s="23" t="s">
        <v>917</v>
      </c>
      <c r="C991" s="23" t="s">
        <v>125</v>
      </c>
      <c r="D991" s="23" t="s">
        <v>1658</v>
      </c>
      <c r="E991" s="23" t="s">
        <v>949</v>
      </c>
      <c r="F991" s="2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3" t="s">
        <v>1882</v>
      </c>
      <c r="B992" s="23" t="s">
        <v>873</v>
      </c>
      <c r="C992" s="23" t="s">
        <v>125</v>
      </c>
      <c r="D992" s="23" t="s">
        <v>1658</v>
      </c>
      <c r="E992" s="23" t="s">
        <v>949</v>
      </c>
      <c r="F992" s="2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3" t="s">
        <v>1883</v>
      </c>
      <c r="B993" s="23" t="s">
        <v>920</v>
      </c>
      <c r="C993" s="23" t="s">
        <v>125</v>
      </c>
      <c r="D993" s="23" t="s">
        <v>1658</v>
      </c>
      <c r="E993" s="23" t="s">
        <v>949</v>
      </c>
      <c r="F993" s="2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3" t="s">
        <v>1884</v>
      </c>
      <c r="B994" s="23" t="s">
        <v>923</v>
      </c>
      <c r="C994" s="23" t="s">
        <v>125</v>
      </c>
      <c r="D994" s="23" t="s">
        <v>1658</v>
      </c>
      <c r="E994" s="23" t="s">
        <v>949</v>
      </c>
      <c r="F994" s="2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3" t="s">
        <v>1885</v>
      </c>
      <c r="B995" s="23" t="s">
        <v>926</v>
      </c>
      <c r="C995" s="23" t="s">
        <v>125</v>
      </c>
      <c r="D995" s="23" t="s">
        <v>1658</v>
      </c>
      <c r="E995" s="23" t="s">
        <v>949</v>
      </c>
      <c r="F995" s="2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3" t="s">
        <v>1886</v>
      </c>
      <c r="B996" s="23" t="s">
        <v>929</v>
      </c>
      <c r="C996" s="23" t="s">
        <v>125</v>
      </c>
      <c r="D996" s="23" t="s">
        <v>1658</v>
      </c>
      <c r="E996" s="23" t="s">
        <v>949</v>
      </c>
      <c r="F996" s="2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3" t="s">
        <v>1887</v>
      </c>
      <c r="B997" s="23" t="s">
        <v>932</v>
      </c>
      <c r="C997" s="23" t="s">
        <v>125</v>
      </c>
      <c r="D997" s="23" t="s">
        <v>1658</v>
      </c>
      <c r="E997" s="23" t="s">
        <v>949</v>
      </c>
      <c r="F997" s="2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3" t="s">
        <v>1888</v>
      </c>
      <c r="B998" s="23" t="s">
        <v>934</v>
      </c>
      <c r="C998" s="23" t="s">
        <v>125</v>
      </c>
      <c r="D998" s="23" t="s">
        <v>1658</v>
      </c>
      <c r="E998" s="23" t="s">
        <v>971</v>
      </c>
      <c r="F998" s="2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3" t="s">
        <v>1889</v>
      </c>
      <c r="B999" s="23" t="s">
        <v>942</v>
      </c>
      <c r="C999" s="23" t="s">
        <v>125</v>
      </c>
      <c r="D999" s="23" t="s">
        <v>1658</v>
      </c>
      <c r="E999" s="23" t="s">
        <v>949</v>
      </c>
      <c r="F999" s="2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3" t="s">
        <v>1890</v>
      </c>
      <c r="B1000" s="23" t="s">
        <v>981</v>
      </c>
      <c r="C1000" s="23" t="s">
        <v>125</v>
      </c>
      <c r="D1000" s="23" t="s">
        <v>1658</v>
      </c>
      <c r="E1000" s="23" t="s">
        <v>949</v>
      </c>
      <c r="F1000" s="2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2.5" customHeight="1">
      <c r="A1001" s="23" t="s">
        <v>1891</v>
      </c>
      <c r="B1001" s="23" t="s">
        <v>116</v>
      </c>
      <c r="C1001" s="23" t="s">
        <v>1892</v>
      </c>
      <c r="D1001" s="23" t="s">
        <v>948</v>
      </c>
      <c r="E1001" s="23" t="s">
        <v>949</v>
      </c>
      <c r="F1001" s="2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2.5" customHeight="1">
      <c r="A1002" s="23" t="s">
        <v>1893</v>
      </c>
      <c r="B1002" s="23" t="s">
        <v>123</v>
      </c>
      <c r="C1002" s="23" t="s">
        <v>1892</v>
      </c>
      <c r="D1002" s="23" t="s">
        <v>948</v>
      </c>
      <c r="E1002" s="23" t="s">
        <v>949</v>
      </c>
      <c r="F1002" s="2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22.5" customHeight="1">
      <c r="A1003" s="23" t="s">
        <v>1894</v>
      </c>
      <c r="B1003" s="23" t="s">
        <v>131</v>
      </c>
      <c r="C1003" s="23" t="s">
        <v>1892</v>
      </c>
      <c r="D1003" s="23" t="s">
        <v>948</v>
      </c>
      <c r="E1003" s="23" t="s">
        <v>949</v>
      </c>
      <c r="F1003" s="2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22.5" customHeight="1">
      <c r="A1004" s="23" t="s">
        <v>1895</v>
      </c>
      <c r="B1004" s="23" t="s">
        <v>137</v>
      </c>
      <c r="C1004" s="23" t="s">
        <v>1892</v>
      </c>
      <c r="D1004" s="23" t="s">
        <v>948</v>
      </c>
      <c r="E1004" s="23" t="s">
        <v>949</v>
      </c>
      <c r="F1004" s="2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22.5" customHeight="1">
      <c r="A1005" s="23" t="s">
        <v>1896</v>
      </c>
      <c r="B1005" s="23" t="s">
        <v>144</v>
      </c>
      <c r="C1005" s="23" t="s">
        <v>1892</v>
      </c>
      <c r="D1005" s="23" t="s">
        <v>948</v>
      </c>
      <c r="E1005" s="23" t="s">
        <v>971</v>
      </c>
      <c r="F1005" s="2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22.5" customHeight="1">
      <c r="A1006" s="23" t="s">
        <v>1897</v>
      </c>
      <c r="B1006" s="23" t="s">
        <v>151</v>
      </c>
      <c r="C1006" s="23" t="s">
        <v>1892</v>
      </c>
      <c r="D1006" s="23" t="s">
        <v>948</v>
      </c>
      <c r="E1006" s="23" t="s">
        <v>949</v>
      </c>
      <c r="F1006" s="2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22.5" customHeight="1">
      <c r="A1007" s="23" t="s">
        <v>1898</v>
      </c>
      <c r="B1007" s="23" t="s">
        <v>734</v>
      </c>
      <c r="C1007" s="23" t="s">
        <v>1892</v>
      </c>
      <c r="D1007" s="23" t="s">
        <v>948</v>
      </c>
      <c r="E1007" s="23" t="s">
        <v>949</v>
      </c>
      <c r="F1007" s="2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22.5" customHeight="1">
      <c r="A1008" s="23" t="s">
        <v>1899</v>
      </c>
      <c r="B1008" s="23" t="s">
        <v>831</v>
      </c>
      <c r="C1008" s="23" t="s">
        <v>1892</v>
      </c>
      <c r="D1008" s="23" t="s">
        <v>948</v>
      </c>
      <c r="E1008" s="23" t="s">
        <v>949</v>
      </c>
      <c r="F1008" s="2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22.5" customHeight="1">
      <c r="A1009" s="23" t="s">
        <v>1900</v>
      </c>
      <c r="B1009" s="23" t="s">
        <v>833</v>
      </c>
      <c r="C1009" s="23" t="s">
        <v>1892</v>
      </c>
      <c r="D1009" s="23" t="s">
        <v>948</v>
      </c>
      <c r="E1009" s="23" t="s">
        <v>949</v>
      </c>
      <c r="F1009" s="2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22.5" customHeight="1">
      <c r="A1010" s="23" t="s">
        <v>1901</v>
      </c>
      <c r="B1010" s="23" t="s">
        <v>811</v>
      </c>
      <c r="C1010" s="23" t="s">
        <v>1892</v>
      </c>
      <c r="D1010" s="23" t="s">
        <v>948</v>
      </c>
      <c r="E1010" s="23" t="s">
        <v>949</v>
      </c>
      <c r="F1010" s="2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22.5" customHeight="1">
      <c r="A1011" s="23" t="s">
        <v>1902</v>
      </c>
      <c r="B1011" s="23" t="s">
        <v>838</v>
      </c>
      <c r="C1011" s="23" t="s">
        <v>1892</v>
      </c>
      <c r="D1011" s="23" t="s">
        <v>948</v>
      </c>
      <c r="E1011" s="23" t="s">
        <v>949</v>
      </c>
      <c r="F1011" s="2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22.5" customHeight="1">
      <c r="A1012" s="23" t="s">
        <v>1903</v>
      </c>
      <c r="B1012" s="23" t="s">
        <v>840</v>
      </c>
      <c r="C1012" s="23" t="s">
        <v>1892</v>
      </c>
      <c r="D1012" s="23" t="s">
        <v>948</v>
      </c>
      <c r="E1012" s="23" t="s">
        <v>949</v>
      </c>
      <c r="F1012" s="2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22.5" customHeight="1">
      <c r="A1013" s="23" t="s">
        <v>1904</v>
      </c>
      <c r="B1013" s="23" t="s">
        <v>842</v>
      </c>
      <c r="C1013" s="23" t="s">
        <v>1892</v>
      </c>
      <c r="D1013" s="23" t="s">
        <v>948</v>
      </c>
      <c r="E1013" s="23" t="s">
        <v>949</v>
      </c>
      <c r="F1013" s="23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22.5" customHeight="1">
      <c r="A1014" s="23" t="s">
        <v>1905</v>
      </c>
      <c r="B1014" s="23" t="s">
        <v>844</v>
      </c>
      <c r="C1014" s="23" t="s">
        <v>1892</v>
      </c>
      <c r="D1014" s="23" t="s">
        <v>948</v>
      </c>
      <c r="E1014" s="23" t="s">
        <v>949</v>
      </c>
      <c r="F1014" s="23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22.5" customHeight="1">
      <c r="A1015" s="23" t="s">
        <v>1906</v>
      </c>
      <c r="B1015" s="23" t="s">
        <v>846</v>
      </c>
      <c r="C1015" s="23" t="s">
        <v>1892</v>
      </c>
      <c r="D1015" s="23" t="s">
        <v>948</v>
      </c>
      <c r="E1015" s="23" t="s">
        <v>949</v>
      </c>
      <c r="F1015" s="23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22.5" customHeight="1">
      <c r="A1016" s="23" t="s">
        <v>1907</v>
      </c>
      <c r="B1016" s="23" t="s">
        <v>848</v>
      </c>
      <c r="C1016" s="23" t="s">
        <v>1892</v>
      </c>
      <c r="D1016" s="23" t="s">
        <v>948</v>
      </c>
      <c r="E1016" s="23" t="s">
        <v>971</v>
      </c>
      <c r="F1016" s="23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22.5" customHeight="1">
      <c r="A1017" s="23" t="s">
        <v>1908</v>
      </c>
      <c r="B1017" s="23" t="s">
        <v>850</v>
      </c>
      <c r="C1017" s="23" t="s">
        <v>1892</v>
      </c>
      <c r="D1017" s="23" t="s">
        <v>948</v>
      </c>
      <c r="E1017" s="23" t="s">
        <v>949</v>
      </c>
      <c r="F1017" s="23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22.5" customHeight="1">
      <c r="A1018" s="23" t="s">
        <v>1909</v>
      </c>
      <c r="B1018" s="23" t="s">
        <v>853</v>
      </c>
      <c r="C1018" s="23" t="s">
        <v>1892</v>
      </c>
      <c r="D1018" s="23" t="s">
        <v>948</v>
      </c>
      <c r="E1018" s="23" t="s">
        <v>949</v>
      </c>
      <c r="F1018" s="23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22.5" customHeight="1">
      <c r="A1019" s="23" t="s">
        <v>1910</v>
      </c>
      <c r="B1019" s="23" t="s">
        <v>855</v>
      </c>
      <c r="C1019" s="23" t="s">
        <v>1892</v>
      </c>
      <c r="D1019" s="23" t="s">
        <v>948</v>
      </c>
      <c r="E1019" s="23" t="s">
        <v>949</v>
      </c>
      <c r="F1019" s="23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22.5" customHeight="1">
      <c r="A1020" s="23" t="s">
        <v>1911</v>
      </c>
      <c r="B1020" s="23" t="s">
        <v>857</v>
      </c>
      <c r="C1020" s="23" t="s">
        <v>1892</v>
      </c>
      <c r="D1020" s="23" t="s">
        <v>948</v>
      </c>
      <c r="E1020" s="23" t="s">
        <v>949</v>
      </c>
      <c r="F1020" s="23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22.5" customHeight="1">
      <c r="A1021" s="23" t="s">
        <v>1912</v>
      </c>
      <c r="B1021" s="23" t="s">
        <v>860</v>
      </c>
      <c r="C1021" s="23" t="s">
        <v>1892</v>
      </c>
      <c r="D1021" s="23" t="s">
        <v>948</v>
      </c>
      <c r="E1021" s="23" t="s">
        <v>949</v>
      </c>
      <c r="F1021" s="23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22.5" customHeight="1">
      <c r="A1022" s="23" t="s">
        <v>1913</v>
      </c>
      <c r="B1022" s="23" t="s">
        <v>862</v>
      </c>
      <c r="C1022" s="23" t="s">
        <v>1892</v>
      </c>
      <c r="D1022" s="23" t="s">
        <v>948</v>
      </c>
      <c r="E1022" s="23" t="s">
        <v>949</v>
      </c>
      <c r="F1022" s="23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22.5" customHeight="1">
      <c r="A1023" s="23" t="s">
        <v>1914</v>
      </c>
      <c r="B1023" s="23" t="s">
        <v>865</v>
      </c>
      <c r="C1023" s="23" t="s">
        <v>1892</v>
      </c>
      <c r="D1023" s="23" t="s">
        <v>948</v>
      </c>
      <c r="E1023" s="23" t="s">
        <v>949</v>
      </c>
      <c r="F1023" s="23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22.5" customHeight="1">
      <c r="A1024" s="23" t="s">
        <v>1915</v>
      </c>
      <c r="B1024" s="23" t="s">
        <v>867</v>
      </c>
      <c r="C1024" s="23" t="s">
        <v>1892</v>
      </c>
      <c r="D1024" s="23" t="s">
        <v>948</v>
      </c>
      <c r="E1024" s="23" t="s">
        <v>949</v>
      </c>
      <c r="F1024" s="23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22.5" customHeight="1">
      <c r="A1025" s="23" t="s">
        <v>1916</v>
      </c>
      <c r="B1025" s="23" t="s">
        <v>869</v>
      </c>
      <c r="C1025" s="23" t="s">
        <v>1892</v>
      </c>
      <c r="D1025" s="23" t="s">
        <v>948</v>
      </c>
      <c r="E1025" s="23" t="s">
        <v>949</v>
      </c>
      <c r="F1025" s="23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22.5" customHeight="1">
      <c r="A1026" s="23" t="s">
        <v>1917</v>
      </c>
      <c r="B1026" s="23" t="s">
        <v>871</v>
      </c>
      <c r="C1026" s="23" t="s">
        <v>1892</v>
      </c>
      <c r="D1026" s="23" t="s">
        <v>948</v>
      </c>
      <c r="E1026" s="23" t="s">
        <v>949</v>
      </c>
      <c r="F1026" s="23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22.5" customHeight="1">
      <c r="A1027" s="23" t="s">
        <v>1918</v>
      </c>
      <c r="B1027" s="23" t="s">
        <v>876</v>
      </c>
      <c r="C1027" s="23" t="s">
        <v>1892</v>
      </c>
      <c r="D1027" s="23" t="s">
        <v>948</v>
      </c>
      <c r="E1027" s="23" t="s">
        <v>949</v>
      </c>
      <c r="F1027" s="23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22.5" customHeight="1">
      <c r="A1028" s="23" t="s">
        <v>1919</v>
      </c>
      <c r="B1028" s="23" t="s">
        <v>879</v>
      </c>
      <c r="C1028" s="23" t="s">
        <v>1892</v>
      </c>
      <c r="D1028" s="23" t="s">
        <v>948</v>
      </c>
      <c r="E1028" s="23" t="s">
        <v>949</v>
      </c>
      <c r="F1028" s="23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22.5" customHeight="1">
      <c r="A1029" s="23" t="s">
        <v>1920</v>
      </c>
      <c r="B1029" s="23" t="s">
        <v>881</v>
      </c>
      <c r="C1029" s="23" t="s">
        <v>1892</v>
      </c>
      <c r="D1029" s="23" t="s">
        <v>948</v>
      </c>
      <c r="E1029" s="23" t="s">
        <v>949</v>
      </c>
      <c r="F1029" s="23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22.5" customHeight="1">
      <c r="A1030" s="23" t="s">
        <v>1921</v>
      </c>
      <c r="B1030" s="23" t="s">
        <v>883</v>
      </c>
      <c r="C1030" s="23" t="s">
        <v>1892</v>
      </c>
      <c r="D1030" s="23" t="s">
        <v>948</v>
      </c>
      <c r="E1030" s="23" t="s">
        <v>971</v>
      </c>
      <c r="F1030" s="23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22.5" customHeight="1">
      <c r="A1031" s="23" t="s">
        <v>1922</v>
      </c>
      <c r="B1031" s="23" t="s">
        <v>885</v>
      </c>
      <c r="C1031" s="23" t="s">
        <v>1892</v>
      </c>
      <c r="D1031" s="23" t="s">
        <v>948</v>
      </c>
      <c r="E1031" s="23" t="s">
        <v>949</v>
      </c>
      <c r="F1031" s="23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22.5" customHeight="1">
      <c r="A1032" s="23" t="s">
        <v>1923</v>
      </c>
      <c r="B1032" s="23" t="s">
        <v>887</v>
      </c>
      <c r="C1032" s="23" t="s">
        <v>1892</v>
      </c>
      <c r="D1032" s="23" t="s">
        <v>948</v>
      </c>
      <c r="E1032" s="23" t="s">
        <v>949</v>
      </c>
      <c r="F1032" s="23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22.5" customHeight="1">
      <c r="A1033" s="23" t="s">
        <v>1924</v>
      </c>
      <c r="B1033" s="23" t="s">
        <v>892</v>
      </c>
      <c r="C1033" s="23" t="s">
        <v>1892</v>
      </c>
      <c r="D1033" s="23" t="s">
        <v>948</v>
      </c>
      <c r="E1033" s="23" t="s">
        <v>949</v>
      </c>
      <c r="F1033" s="23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22.5" customHeight="1">
      <c r="A1034" s="23" t="s">
        <v>1925</v>
      </c>
      <c r="B1034" s="23" t="s">
        <v>935</v>
      </c>
      <c r="C1034" s="23" t="s">
        <v>1892</v>
      </c>
      <c r="D1034" s="23" t="s">
        <v>948</v>
      </c>
      <c r="E1034" s="23" t="s">
        <v>949</v>
      </c>
      <c r="F1034" s="23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22.5" customHeight="1">
      <c r="A1035" s="23" t="s">
        <v>1926</v>
      </c>
      <c r="B1035" s="23" t="s">
        <v>895</v>
      </c>
      <c r="C1035" s="23" t="s">
        <v>1892</v>
      </c>
      <c r="D1035" s="23" t="s">
        <v>948</v>
      </c>
      <c r="E1035" s="23" t="s">
        <v>971</v>
      </c>
      <c r="F1035" s="23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22.5" customHeight="1">
      <c r="A1036" s="23" t="s">
        <v>1927</v>
      </c>
      <c r="B1036" s="23" t="s">
        <v>897</v>
      </c>
      <c r="C1036" s="23" t="s">
        <v>1892</v>
      </c>
      <c r="D1036" s="23" t="s">
        <v>948</v>
      </c>
      <c r="E1036" s="23" t="s">
        <v>949</v>
      </c>
      <c r="F1036" s="23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22.5" customHeight="1">
      <c r="A1037" s="23" t="s">
        <v>1928</v>
      </c>
      <c r="B1037" s="23" t="s">
        <v>889</v>
      </c>
      <c r="C1037" s="23" t="s">
        <v>1892</v>
      </c>
      <c r="D1037" s="23" t="s">
        <v>948</v>
      </c>
      <c r="E1037" s="23" t="s">
        <v>949</v>
      </c>
      <c r="F1037" s="23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22.5" customHeight="1">
      <c r="A1038" s="23" t="s">
        <v>1929</v>
      </c>
      <c r="B1038" s="23" t="s">
        <v>899</v>
      </c>
      <c r="C1038" s="23" t="s">
        <v>1892</v>
      </c>
      <c r="D1038" s="23" t="s">
        <v>948</v>
      </c>
      <c r="E1038" s="23" t="s">
        <v>971</v>
      </c>
      <c r="F1038" s="23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22.5" customHeight="1">
      <c r="A1039" s="23" t="s">
        <v>1930</v>
      </c>
      <c r="B1039" s="23" t="s">
        <v>901</v>
      </c>
      <c r="C1039" s="23" t="s">
        <v>1892</v>
      </c>
      <c r="D1039" s="23" t="s">
        <v>948</v>
      </c>
      <c r="E1039" s="23" t="s">
        <v>949</v>
      </c>
      <c r="F1039" s="23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22.5" customHeight="1">
      <c r="A1040" s="23" t="s">
        <v>1931</v>
      </c>
      <c r="B1040" s="23" t="s">
        <v>904</v>
      </c>
      <c r="C1040" s="23" t="s">
        <v>1892</v>
      </c>
      <c r="D1040" s="23" t="s">
        <v>948</v>
      </c>
      <c r="E1040" s="23" t="s">
        <v>949</v>
      </c>
      <c r="F1040" s="23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22.5" customHeight="1">
      <c r="A1041" s="23" t="s">
        <v>1932</v>
      </c>
      <c r="B1041" s="23" t="s">
        <v>906</v>
      </c>
      <c r="C1041" s="23" t="s">
        <v>1892</v>
      </c>
      <c r="D1041" s="23" t="s">
        <v>948</v>
      </c>
      <c r="E1041" s="23" t="s">
        <v>949</v>
      </c>
      <c r="F1041" s="23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22.5" customHeight="1">
      <c r="A1042" s="23" t="s">
        <v>1933</v>
      </c>
      <c r="B1042" s="23" t="s">
        <v>908</v>
      </c>
      <c r="C1042" s="23" t="s">
        <v>1892</v>
      </c>
      <c r="D1042" s="23" t="s">
        <v>948</v>
      </c>
      <c r="E1042" s="23" t="s">
        <v>949</v>
      </c>
      <c r="F1042" s="23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22.5" customHeight="1">
      <c r="A1043" s="23" t="s">
        <v>1934</v>
      </c>
      <c r="B1043" s="23" t="s">
        <v>936</v>
      </c>
      <c r="C1043" s="23" t="s">
        <v>1892</v>
      </c>
      <c r="D1043" s="23" t="s">
        <v>948</v>
      </c>
      <c r="E1043" s="23" t="s">
        <v>949</v>
      </c>
      <c r="F1043" s="23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22.5" customHeight="1">
      <c r="A1044" s="23" t="s">
        <v>1935</v>
      </c>
      <c r="B1044" s="23" t="s">
        <v>910</v>
      </c>
      <c r="C1044" s="23" t="s">
        <v>1892</v>
      </c>
      <c r="D1044" s="23" t="s">
        <v>948</v>
      </c>
      <c r="E1044" s="23" t="s">
        <v>971</v>
      </c>
      <c r="F1044" s="23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22.5" customHeight="1">
      <c r="A1045" s="23" t="s">
        <v>1936</v>
      </c>
      <c r="B1045" s="23" t="s">
        <v>937</v>
      </c>
      <c r="C1045" s="23" t="s">
        <v>1892</v>
      </c>
      <c r="D1045" s="23" t="s">
        <v>948</v>
      </c>
      <c r="E1045" s="23" t="s">
        <v>949</v>
      </c>
      <c r="F1045" s="23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22.5" customHeight="1">
      <c r="A1046" s="23" t="s">
        <v>1937</v>
      </c>
      <c r="B1046" s="23" t="s">
        <v>912</v>
      </c>
      <c r="C1046" s="23" t="s">
        <v>1892</v>
      </c>
      <c r="D1046" s="23" t="s">
        <v>948</v>
      </c>
      <c r="E1046" s="23" t="s">
        <v>971</v>
      </c>
      <c r="F1046" s="23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22.5" customHeight="1">
      <c r="A1047" s="23" t="s">
        <v>1938</v>
      </c>
      <c r="B1047" s="23" t="s">
        <v>938</v>
      </c>
      <c r="C1047" s="23" t="s">
        <v>1892</v>
      </c>
      <c r="D1047" s="23" t="s">
        <v>948</v>
      </c>
      <c r="E1047" s="23" t="s">
        <v>949</v>
      </c>
      <c r="F1047" s="23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22.5" customHeight="1">
      <c r="A1048" s="23" t="s">
        <v>1939</v>
      </c>
      <c r="B1048" s="23" t="s">
        <v>914</v>
      </c>
      <c r="C1048" s="23" t="s">
        <v>1892</v>
      </c>
      <c r="D1048" s="23" t="s">
        <v>948</v>
      </c>
      <c r="E1048" s="23" t="s">
        <v>949</v>
      </c>
      <c r="F1048" s="23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22.5" customHeight="1">
      <c r="A1049" s="23" t="s">
        <v>1940</v>
      </c>
      <c r="B1049" s="23" t="s">
        <v>939</v>
      </c>
      <c r="C1049" s="23" t="s">
        <v>1892</v>
      </c>
      <c r="D1049" s="23" t="s">
        <v>948</v>
      </c>
      <c r="E1049" s="23" t="s">
        <v>949</v>
      </c>
      <c r="F1049" s="23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22.5" customHeight="1">
      <c r="A1050" s="23" t="s">
        <v>1941</v>
      </c>
      <c r="B1050" s="23" t="s">
        <v>953</v>
      </c>
      <c r="C1050" s="23" t="s">
        <v>1892</v>
      </c>
      <c r="D1050" s="23" t="s">
        <v>948</v>
      </c>
      <c r="E1050" s="23" t="s">
        <v>971</v>
      </c>
      <c r="F1050" s="23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22.5" customHeight="1">
      <c r="A1051" s="23" t="s">
        <v>1942</v>
      </c>
      <c r="B1051" s="23" t="s">
        <v>917</v>
      </c>
      <c r="C1051" s="23" t="s">
        <v>1892</v>
      </c>
      <c r="D1051" s="23" t="s">
        <v>948</v>
      </c>
      <c r="E1051" s="23" t="s">
        <v>949</v>
      </c>
      <c r="F1051" s="23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22.5" customHeight="1">
      <c r="A1052" s="23" t="s">
        <v>1943</v>
      </c>
      <c r="B1052" s="23" t="s">
        <v>873</v>
      </c>
      <c r="C1052" s="23" t="s">
        <v>1892</v>
      </c>
      <c r="D1052" s="23" t="s">
        <v>948</v>
      </c>
      <c r="E1052" s="23" t="s">
        <v>949</v>
      </c>
      <c r="F1052" s="23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22.5" customHeight="1">
      <c r="A1053" s="23" t="s">
        <v>1944</v>
      </c>
      <c r="B1053" s="23" t="s">
        <v>920</v>
      </c>
      <c r="C1053" s="23" t="s">
        <v>1892</v>
      </c>
      <c r="D1053" s="23" t="s">
        <v>948</v>
      </c>
      <c r="E1053" s="23" t="s">
        <v>971</v>
      </c>
      <c r="F1053" s="23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22.5" customHeight="1">
      <c r="A1054" s="23" t="s">
        <v>1945</v>
      </c>
      <c r="B1054" s="23" t="s">
        <v>923</v>
      </c>
      <c r="C1054" s="23" t="s">
        <v>1892</v>
      </c>
      <c r="D1054" s="23" t="s">
        <v>948</v>
      </c>
      <c r="E1054" s="23" t="s">
        <v>949</v>
      </c>
      <c r="F1054" s="23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22.5" customHeight="1">
      <c r="A1055" s="23" t="s">
        <v>1946</v>
      </c>
      <c r="B1055" s="23" t="s">
        <v>926</v>
      </c>
      <c r="C1055" s="23" t="s">
        <v>1892</v>
      </c>
      <c r="D1055" s="23" t="s">
        <v>948</v>
      </c>
      <c r="E1055" s="23" t="s">
        <v>949</v>
      </c>
      <c r="F1055" s="23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22.5" customHeight="1">
      <c r="A1056" s="23" t="s">
        <v>1947</v>
      </c>
      <c r="B1056" s="23" t="s">
        <v>929</v>
      </c>
      <c r="C1056" s="23" t="s">
        <v>1892</v>
      </c>
      <c r="D1056" s="23" t="s">
        <v>948</v>
      </c>
      <c r="E1056" s="23" t="s">
        <v>949</v>
      </c>
      <c r="F1056" s="23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22.5" customHeight="1">
      <c r="A1057" s="23" t="s">
        <v>1948</v>
      </c>
      <c r="B1057" s="23" t="s">
        <v>932</v>
      </c>
      <c r="C1057" s="23" t="s">
        <v>1892</v>
      </c>
      <c r="D1057" s="23" t="s">
        <v>948</v>
      </c>
      <c r="E1057" s="23" t="s">
        <v>949</v>
      </c>
      <c r="F1057" s="23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22.5" customHeight="1">
      <c r="A1058" s="23" t="s">
        <v>1949</v>
      </c>
      <c r="B1058" s="23" t="s">
        <v>934</v>
      </c>
      <c r="C1058" s="23" t="s">
        <v>1892</v>
      </c>
      <c r="D1058" s="23" t="s">
        <v>948</v>
      </c>
      <c r="E1058" s="23" t="s">
        <v>949</v>
      </c>
      <c r="F1058" s="23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22.5" customHeight="1">
      <c r="A1059" s="23" t="s">
        <v>1950</v>
      </c>
      <c r="B1059" s="23" t="s">
        <v>942</v>
      </c>
      <c r="C1059" s="23" t="s">
        <v>1892</v>
      </c>
      <c r="D1059" s="23" t="s">
        <v>948</v>
      </c>
      <c r="E1059" s="23" t="s">
        <v>949</v>
      </c>
      <c r="F1059" s="23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22.5" customHeight="1">
      <c r="A1060" s="23" t="s">
        <v>1951</v>
      </c>
      <c r="B1060" s="23" t="s">
        <v>981</v>
      </c>
      <c r="C1060" s="23" t="s">
        <v>1892</v>
      </c>
      <c r="D1060" s="23" t="s">
        <v>948</v>
      </c>
      <c r="E1060" s="23" t="s">
        <v>949</v>
      </c>
      <c r="F1060" s="23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22.5" customHeight="1">
      <c r="A1061" s="23" t="s">
        <v>1952</v>
      </c>
      <c r="B1061" s="23" t="s">
        <v>116</v>
      </c>
      <c r="C1061" s="23" t="s">
        <v>1953</v>
      </c>
      <c r="D1061" s="23" t="s">
        <v>948</v>
      </c>
      <c r="E1061" s="23" t="s">
        <v>949</v>
      </c>
      <c r="F1061" s="23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22.5" customHeight="1">
      <c r="A1062" s="23" t="s">
        <v>1954</v>
      </c>
      <c r="B1062" s="23" t="s">
        <v>123</v>
      </c>
      <c r="C1062" s="23" t="s">
        <v>1953</v>
      </c>
      <c r="D1062" s="23" t="s">
        <v>948</v>
      </c>
      <c r="E1062" s="23" t="s">
        <v>949</v>
      </c>
      <c r="F1062" s="23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22.5" customHeight="1">
      <c r="A1063" s="23" t="s">
        <v>1955</v>
      </c>
      <c r="B1063" s="23" t="s">
        <v>131</v>
      </c>
      <c r="C1063" s="23" t="s">
        <v>1953</v>
      </c>
      <c r="D1063" s="23" t="s">
        <v>948</v>
      </c>
      <c r="E1063" s="23" t="s">
        <v>949</v>
      </c>
      <c r="F1063" s="23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22.5" customHeight="1">
      <c r="A1064" s="23" t="s">
        <v>1956</v>
      </c>
      <c r="B1064" s="23" t="s">
        <v>137</v>
      </c>
      <c r="C1064" s="23" t="s">
        <v>1953</v>
      </c>
      <c r="D1064" s="23" t="s">
        <v>948</v>
      </c>
      <c r="E1064" s="23" t="s">
        <v>949</v>
      </c>
      <c r="F1064" s="23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22.5" customHeight="1">
      <c r="A1065" s="23" t="s">
        <v>1957</v>
      </c>
      <c r="B1065" s="23" t="s">
        <v>144</v>
      </c>
      <c r="C1065" s="23" t="s">
        <v>1953</v>
      </c>
      <c r="D1065" s="23" t="s">
        <v>948</v>
      </c>
      <c r="E1065" s="23" t="s">
        <v>949</v>
      </c>
      <c r="F1065" s="23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22.5" customHeight="1">
      <c r="A1066" s="23" t="s">
        <v>1958</v>
      </c>
      <c r="B1066" s="23" t="s">
        <v>151</v>
      </c>
      <c r="C1066" s="23" t="s">
        <v>1953</v>
      </c>
      <c r="D1066" s="23" t="s">
        <v>948</v>
      </c>
      <c r="E1066" s="23" t="s">
        <v>949</v>
      </c>
      <c r="F1066" s="23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22.5" customHeight="1">
      <c r="A1067" s="23" t="s">
        <v>1959</v>
      </c>
      <c r="B1067" s="23" t="s">
        <v>734</v>
      </c>
      <c r="C1067" s="23" t="s">
        <v>1953</v>
      </c>
      <c r="D1067" s="23" t="s">
        <v>948</v>
      </c>
      <c r="E1067" s="23" t="s">
        <v>949</v>
      </c>
      <c r="F1067" s="23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22.5" customHeight="1">
      <c r="A1068" s="23" t="s">
        <v>1960</v>
      </c>
      <c r="B1068" s="23" t="s">
        <v>831</v>
      </c>
      <c r="C1068" s="23" t="s">
        <v>1953</v>
      </c>
      <c r="D1068" s="23" t="s">
        <v>948</v>
      </c>
      <c r="E1068" s="23" t="s">
        <v>949</v>
      </c>
      <c r="F1068" s="23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22.5" customHeight="1">
      <c r="A1069" s="23" t="s">
        <v>1961</v>
      </c>
      <c r="B1069" s="23" t="s">
        <v>833</v>
      </c>
      <c r="C1069" s="23" t="s">
        <v>1953</v>
      </c>
      <c r="D1069" s="23" t="s">
        <v>948</v>
      </c>
      <c r="E1069" s="23" t="s">
        <v>949</v>
      </c>
      <c r="F1069" s="23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22.5" customHeight="1">
      <c r="A1070" s="23" t="s">
        <v>1962</v>
      </c>
      <c r="B1070" s="23" t="s">
        <v>811</v>
      </c>
      <c r="C1070" s="23" t="s">
        <v>1953</v>
      </c>
      <c r="D1070" s="23" t="s">
        <v>948</v>
      </c>
      <c r="E1070" s="23" t="s">
        <v>949</v>
      </c>
      <c r="F1070" s="23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22.5" customHeight="1">
      <c r="A1071" s="23" t="s">
        <v>1963</v>
      </c>
      <c r="B1071" s="23" t="s">
        <v>838</v>
      </c>
      <c r="C1071" s="23" t="s">
        <v>1953</v>
      </c>
      <c r="D1071" s="23" t="s">
        <v>948</v>
      </c>
      <c r="E1071" s="23" t="s">
        <v>949</v>
      </c>
      <c r="F1071" s="23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22.5" customHeight="1">
      <c r="A1072" s="23" t="s">
        <v>1964</v>
      </c>
      <c r="B1072" s="23" t="s">
        <v>840</v>
      </c>
      <c r="C1072" s="23" t="s">
        <v>1953</v>
      </c>
      <c r="D1072" s="23" t="s">
        <v>948</v>
      </c>
      <c r="E1072" s="23" t="s">
        <v>949</v>
      </c>
      <c r="F1072" s="23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22.5" customHeight="1">
      <c r="A1073" s="23" t="s">
        <v>1965</v>
      </c>
      <c r="B1073" s="23" t="s">
        <v>842</v>
      </c>
      <c r="C1073" s="23" t="s">
        <v>1953</v>
      </c>
      <c r="D1073" s="23" t="s">
        <v>948</v>
      </c>
      <c r="E1073" s="23" t="s">
        <v>949</v>
      </c>
      <c r="F1073" s="23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22.5" customHeight="1">
      <c r="A1074" s="23" t="s">
        <v>1966</v>
      </c>
      <c r="B1074" s="23" t="s">
        <v>844</v>
      </c>
      <c r="C1074" s="23" t="s">
        <v>1953</v>
      </c>
      <c r="D1074" s="23" t="s">
        <v>948</v>
      </c>
      <c r="E1074" s="23" t="s">
        <v>949</v>
      </c>
      <c r="F1074" s="23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22.5" customHeight="1">
      <c r="A1075" s="23" t="s">
        <v>1967</v>
      </c>
      <c r="B1075" s="23" t="s">
        <v>846</v>
      </c>
      <c r="C1075" s="23" t="s">
        <v>1953</v>
      </c>
      <c r="D1075" s="23" t="s">
        <v>948</v>
      </c>
      <c r="E1075" s="23" t="s">
        <v>949</v>
      </c>
      <c r="F1075" s="23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22.5" customHeight="1">
      <c r="A1076" s="23" t="s">
        <v>1968</v>
      </c>
      <c r="B1076" s="23" t="s">
        <v>848</v>
      </c>
      <c r="C1076" s="23" t="s">
        <v>1953</v>
      </c>
      <c r="D1076" s="23" t="s">
        <v>948</v>
      </c>
      <c r="E1076" s="23" t="s">
        <v>949</v>
      </c>
      <c r="F1076" s="23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22.5" customHeight="1">
      <c r="A1077" s="23" t="s">
        <v>1969</v>
      </c>
      <c r="B1077" s="23" t="s">
        <v>850</v>
      </c>
      <c r="C1077" s="23" t="s">
        <v>1953</v>
      </c>
      <c r="D1077" s="23" t="s">
        <v>948</v>
      </c>
      <c r="E1077" s="23" t="s">
        <v>949</v>
      </c>
      <c r="F1077" s="23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22.5" customHeight="1">
      <c r="A1078" s="23" t="s">
        <v>1970</v>
      </c>
      <c r="B1078" s="23" t="s">
        <v>853</v>
      </c>
      <c r="C1078" s="23" t="s">
        <v>1953</v>
      </c>
      <c r="D1078" s="23" t="s">
        <v>948</v>
      </c>
      <c r="E1078" s="23" t="s">
        <v>949</v>
      </c>
      <c r="F1078" s="23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22.5" customHeight="1">
      <c r="A1079" s="23" t="s">
        <v>1971</v>
      </c>
      <c r="B1079" s="23" t="s">
        <v>855</v>
      </c>
      <c r="C1079" s="23" t="s">
        <v>1953</v>
      </c>
      <c r="D1079" s="23" t="s">
        <v>948</v>
      </c>
      <c r="E1079" s="23" t="s">
        <v>949</v>
      </c>
      <c r="F1079" s="23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22.5" customHeight="1">
      <c r="A1080" s="23" t="s">
        <v>1972</v>
      </c>
      <c r="B1080" s="23" t="s">
        <v>857</v>
      </c>
      <c r="C1080" s="23" t="s">
        <v>1953</v>
      </c>
      <c r="D1080" s="23" t="s">
        <v>948</v>
      </c>
      <c r="E1080" s="23" t="s">
        <v>949</v>
      </c>
      <c r="F1080" s="23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22.5" customHeight="1">
      <c r="A1081" s="23" t="s">
        <v>1973</v>
      </c>
      <c r="B1081" s="23" t="s">
        <v>860</v>
      </c>
      <c r="C1081" s="23" t="s">
        <v>1953</v>
      </c>
      <c r="D1081" s="23" t="s">
        <v>948</v>
      </c>
      <c r="E1081" s="23" t="s">
        <v>949</v>
      </c>
      <c r="F1081" s="23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22.5" customHeight="1">
      <c r="A1082" s="23" t="s">
        <v>1974</v>
      </c>
      <c r="B1082" s="23" t="s">
        <v>862</v>
      </c>
      <c r="C1082" s="23" t="s">
        <v>1953</v>
      </c>
      <c r="D1082" s="23" t="s">
        <v>948</v>
      </c>
      <c r="E1082" s="23" t="s">
        <v>949</v>
      </c>
      <c r="F1082" s="23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22.5" customHeight="1">
      <c r="A1083" s="23" t="s">
        <v>1975</v>
      </c>
      <c r="B1083" s="23" t="s">
        <v>865</v>
      </c>
      <c r="C1083" s="23" t="s">
        <v>1953</v>
      </c>
      <c r="D1083" s="23" t="s">
        <v>948</v>
      </c>
      <c r="E1083" s="23" t="s">
        <v>949</v>
      </c>
      <c r="F1083" s="23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22.5" customHeight="1">
      <c r="A1084" s="23" t="s">
        <v>1976</v>
      </c>
      <c r="B1084" s="23" t="s">
        <v>867</v>
      </c>
      <c r="C1084" s="23" t="s">
        <v>1953</v>
      </c>
      <c r="D1084" s="23" t="s">
        <v>948</v>
      </c>
      <c r="E1084" s="23" t="s">
        <v>971</v>
      </c>
      <c r="F1084" s="23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22.5" customHeight="1">
      <c r="A1085" s="23" t="s">
        <v>1977</v>
      </c>
      <c r="B1085" s="23" t="s">
        <v>869</v>
      </c>
      <c r="C1085" s="23" t="s">
        <v>1953</v>
      </c>
      <c r="D1085" s="23" t="s">
        <v>948</v>
      </c>
      <c r="E1085" s="23" t="s">
        <v>949</v>
      </c>
      <c r="F1085" s="23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22.5" customHeight="1">
      <c r="A1086" s="23" t="s">
        <v>1978</v>
      </c>
      <c r="B1086" s="23" t="s">
        <v>871</v>
      </c>
      <c r="C1086" s="23" t="s">
        <v>1953</v>
      </c>
      <c r="D1086" s="23" t="s">
        <v>948</v>
      </c>
      <c r="E1086" s="23" t="s">
        <v>949</v>
      </c>
      <c r="F1086" s="23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22.5" customHeight="1">
      <c r="A1087" s="23" t="s">
        <v>1979</v>
      </c>
      <c r="B1087" s="23" t="s">
        <v>876</v>
      </c>
      <c r="C1087" s="23" t="s">
        <v>1953</v>
      </c>
      <c r="D1087" s="23" t="s">
        <v>948</v>
      </c>
      <c r="E1087" s="23" t="s">
        <v>949</v>
      </c>
      <c r="F1087" s="23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22.5" customHeight="1">
      <c r="A1088" s="23" t="s">
        <v>1980</v>
      </c>
      <c r="B1088" s="23" t="s">
        <v>879</v>
      </c>
      <c r="C1088" s="23" t="s">
        <v>1953</v>
      </c>
      <c r="D1088" s="23" t="s">
        <v>948</v>
      </c>
      <c r="E1088" s="23" t="s">
        <v>949</v>
      </c>
      <c r="F1088" s="23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22.5" customHeight="1">
      <c r="A1089" s="23" t="s">
        <v>1981</v>
      </c>
      <c r="B1089" s="23" t="s">
        <v>881</v>
      </c>
      <c r="C1089" s="23" t="s">
        <v>1953</v>
      </c>
      <c r="D1089" s="23" t="s">
        <v>948</v>
      </c>
      <c r="E1089" s="23" t="s">
        <v>949</v>
      </c>
      <c r="F1089" s="23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22.5" customHeight="1">
      <c r="A1090" s="23" t="s">
        <v>1982</v>
      </c>
      <c r="B1090" s="23" t="s">
        <v>883</v>
      </c>
      <c r="C1090" s="23" t="s">
        <v>1953</v>
      </c>
      <c r="D1090" s="23" t="s">
        <v>948</v>
      </c>
      <c r="E1090" s="23" t="s">
        <v>949</v>
      </c>
      <c r="F1090" s="23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22.5" customHeight="1">
      <c r="A1091" s="23" t="s">
        <v>1983</v>
      </c>
      <c r="B1091" s="23" t="s">
        <v>885</v>
      </c>
      <c r="C1091" s="23" t="s">
        <v>1953</v>
      </c>
      <c r="D1091" s="23" t="s">
        <v>948</v>
      </c>
      <c r="E1091" s="23" t="s">
        <v>949</v>
      </c>
      <c r="F1091" s="23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22.5" customHeight="1">
      <c r="A1092" s="23" t="s">
        <v>1984</v>
      </c>
      <c r="B1092" s="23" t="s">
        <v>887</v>
      </c>
      <c r="C1092" s="23" t="s">
        <v>1953</v>
      </c>
      <c r="D1092" s="23" t="s">
        <v>948</v>
      </c>
      <c r="E1092" s="23" t="s">
        <v>971</v>
      </c>
      <c r="F1092" s="23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22.5" customHeight="1">
      <c r="A1093" s="23" t="s">
        <v>1985</v>
      </c>
      <c r="B1093" s="23" t="s">
        <v>892</v>
      </c>
      <c r="C1093" s="23" t="s">
        <v>1953</v>
      </c>
      <c r="D1093" s="23" t="s">
        <v>948</v>
      </c>
      <c r="E1093" s="23" t="s">
        <v>949</v>
      </c>
      <c r="F1093" s="23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22.5" customHeight="1">
      <c r="A1094" s="23" t="s">
        <v>1986</v>
      </c>
      <c r="B1094" s="23" t="s">
        <v>935</v>
      </c>
      <c r="C1094" s="23" t="s">
        <v>1953</v>
      </c>
      <c r="D1094" s="23" t="s">
        <v>948</v>
      </c>
      <c r="E1094" s="23" t="s">
        <v>949</v>
      </c>
      <c r="F1094" s="23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22.5" customHeight="1">
      <c r="A1095" s="23" t="s">
        <v>1987</v>
      </c>
      <c r="B1095" s="23" t="s">
        <v>895</v>
      </c>
      <c r="C1095" s="23" t="s">
        <v>1953</v>
      </c>
      <c r="D1095" s="23" t="s">
        <v>948</v>
      </c>
      <c r="E1095" s="23" t="s">
        <v>949</v>
      </c>
      <c r="F1095" s="23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22.5" customHeight="1">
      <c r="A1096" s="23" t="s">
        <v>1988</v>
      </c>
      <c r="B1096" s="23" t="s">
        <v>897</v>
      </c>
      <c r="C1096" s="23" t="s">
        <v>1953</v>
      </c>
      <c r="D1096" s="23" t="s">
        <v>948</v>
      </c>
      <c r="E1096" s="23" t="s">
        <v>949</v>
      </c>
      <c r="F1096" s="23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22.5" customHeight="1">
      <c r="A1097" s="23" t="s">
        <v>1989</v>
      </c>
      <c r="B1097" s="23" t="s">
        <v>889</v>
      </c>
      <c r="C1097" s="23" t="s">
        <v>1953</v>
      </c>
      <c r="D1097" s="23" t="s">
        <v>948</v>
      </c>
      <c r="E1097" s="23" t="s">
        <v>949</v>
      </c>
      <c r="F1097" s="23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22.5" customHeight="1">
      <c r="A1098" s="23" t="s">
        <v>1990</v>
      </c>
      <c r="B1098" s="23" t="s">
        <v>899</v>
      </c>
      <c r="C1098" s="23" t="s">
        <v>1953</v>
      </c>
      <c r="D1098" s="23" t="s">
        <v>948</v>
      </c>
      <c r="E1098" s="23" t="s">
        <v>971</v>
      </c>
      <c r="F1098" s="23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22.5" customHeight="1">
      <c r="A1099" s="23" t="s">
        <v>1991</v>
      </c>
      <c r="B1099" s="23" t="s">
        <v>901</v>
      </c>
      <c r="C1099" s="23" t="s">
        <v>1953</v>
      </c>
      <c r="D1099" s="23" t="s">
        <v>948</v>
      </c>
      <c r="E1099" s="23" t="s">
        <v>971</v>
      </c>
      <c r="F1099" s="23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22.5" customHeight="1">
      <c r="A1100" s="23" t="s">
        <v>1992</v>
      </c>
      <c r="B1100" s="23" t="s">
        <v>904</v>
      </c>
      <c r="C1100" s="23" t="s">
        <v>1953</v>
      </c>
      <c r="D1100" s="23" t="s">
        <v>948</v>
      </c>
      <c r="E1100" s="23" t="s">
        <v>971</v>
      </c>
      <c r="F1100" s="23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22.5" customHeight="1">
      <c r="A1101" s="23" t="s">
        <v>1993</v>
      </c>
      <c r="B1101" s="23" t="s">
        <v>906</v>
      </c>
      <c r="C1101" s="23" t="s">
        <v>1953</v>
      </c>
      <c r="D1101" s="23" t="s">
        <v>948</v>
      </c>
      <c r="E1101" s="23" t="s">
        <v>971</v>
      </c>
      <c r="F1101" s="23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22.5" customHeight="1">
      <c r="A1102" s="23" t="s">
        <v>1994</v>
      </c>
      <c r="B1102" s="23" t="s">
        <v>908</v>
      </c>
      <c r="C1102" s="23" t="s">
        <v>1953</v>
      </c>
      <c r="D1102" s="23" t="s">
        <v>948</v>
      </c>
      <c r="E1102" s="23" t="s">
        <v>971</v>
      </c>
      <c r="F1102" s="23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22.5" customHeight="1">
      <c r="A1103" s="23" t="s">
        <v>1995</v>
      </c>
      <c r="B1103" s="23" t="s">
        <v>936</v>
      </c>
      <c r="C1103" s="23" t="s">
        <v>1953</v>
      </c>
      <c r="D1103" s="23" t="s">
        <v>948</v>
      </c>
      <c r="E1103" s="23" t="s">
        <v>949</v>
      </c>
      <c r="F1103" s="23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22.5" customHeight="1">
      <c r="A1104" s="23" t="s">
        <v>1996</v>
      </c>
      <c r="B1104" s="23" t="s">
        <v>910</v>
      </c>
      <c r="C1104" s="23" t="s">
        <v>1953</v>
      </c>
      <c r="D1104" s="23" t="s">
        <v>948</v>
      </c>
      <c r="E1104" s="23" t="s">
        <v>971</v>
      </c>
      <c r="F1104" s="23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22.5" customHeight="1">
      <c r="A1105" s="23" t="s">
        <v>1997</v>
      </c>
      <c r="B1105" s="23" t="s">
        <v>937</v>
      </c>
      <c r="C1105" s="23" t="s">
        <v>1953</v>
      </c>
      <c r="D1105" s="23" t="s">
        <v>948</v>
      </c>
      <c r="E1105" s="23" t="s">
        <v>949</v>
      </c>
      <c r="F1105" s="23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22.5" customHeight="1">
      <c r="A1106" s="23" t="s">
        <v>1998</v>
      </c>
      <c r="B1106" s="23" t="s">
        <v>912</v>
      </c>
      <c r="C1106" s="23" t="s">
        <v>1953</v>
      </c>
      <c r="D1106" s="23" t="s">
        <v>948</v>
      </c>
      <c r="E1106" s="23" t="s">
        <v>949</v>
      </c>
      <c r="F1106" s="23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22.5" customHeight="1">
      <c r="A1107" s="23" t="s">
        <v>1999</v>
      </c>
      <c r="B1107" s="23" t="s">
        <v>938</v>
      </c>
      <c r="C1107" s="23" t="s">
        <v>1953</v>
      </c>
      <c r="D1107" s="23" t="s">
        <v>948</v>
      </c>
      <c r="E1107" s="23" t="s">
        <v>949</v>
      </c>
      <c r="F1107" s="23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22.5" customHeight="1">
      <c r="A1108" s="23" t="s">
        <v>2000</v>
      </c>
      <c r="B1108" s="23" t="s">
        <v>914</v>
      </c>
      <c r="C1108" s="23" t="s">
        <v>1953</v>
      </c>
      <c r="D1108" s="23" t="s">
        <v>948</v>
      </c>
      <c r="E1108" s="23" t="s">
        <v>949</v>
      </c>
      <c r="F1108" s="23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22.5" customHeight="1">
      <c r="A1109" s="23" t="s">
        <v>2001</v>
      </c>
      <c r="B1109" s="23" t="s">
        <v>939</v>
      </c>
      <c r="C1109" s="23" t="s">
        <v>1953</v>
      </c>
      <c r="D1109" s="23" t="s">
        <v>948</v>
      </c>
      <c r="E1109" s="23" t="s">
        <v>949</v>
      </c>
      <c r="F1109" s="23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22.5" customHeight="1">
      <c r="A1110" s="23" t="s">
        <v>2002</v>
      </c>
      <c r="B1110" s="23" t="s">
        <v>917</v>
      </c>
      <c r="C1110" s="23" t="s">
        <v>1953</v>
      </c>
      <c r="D1110" s="23" t="s">
        <v>948</v>
      </c>
      <c r="E1110" s="23" t="s">
        <v>949</v>
      </c>
      <c r="F1110" s="23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22.5" customHeight="1">
      <c r="A1111" s="23" t="s">
        <v>2003</v>
      </c>
      <c r="B1111" s="23" t="s">
        <v>873</v>
      </c>
      <c r="C1111" s="23" t="s">
        <v>1953</v>
      </c>
      <c r="D1111" s="23" t="s">
        <v>948</v>
      </c>
      <c r="E1111" s="23" t="s">
        <v>949</v>
      </c>
      <c r="F1111" s="23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22.5" customHeight="1">
      <c r="A1112" s="23" t="s">
        <v>2004</v>
      </c>
      <c r="B1112" s="23" t="s">
        <v>920</v>
      </c>
      <c r="C1112" s="23" t="s">
        <v>1953</v>
      </c>
      <c r="D1112" s="23" t="s">
        <v>948</v>
      </c>
      <c r="E1112" s="23" t="s">
        <v>949</v>
      </c>
      <c r="F1112" s="23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22.5" customHeight="1">
      <c r="A1113" s="23" t="s">
        <v>2005</v>
      </c>
      <c r="B1113" s="23" t="s">
        <v>923</v>
      </c>
      <c r="C1113" s="23" t="s">
        <v>1953</v>
      </c>
      <c r="D1113" s="23" t="s">
        <v>948</v>
      </c>
      <c r="E1113" s="23" t="s">
        <v>949</v>
      </c>
      <c r="F1113" s="23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22.5" customHeight="1">
      <c r="A1114" s="23" t="s">
        <v>2006</v>
      </c>
      <c r="B1114" s="23" t="s">
        <v>926</v>
      </c>
      <c r="C1114" s="23" t="s">
        <v>1953</v>
      </c>
      <c r="D1114" s="23" t="s">
        <v>948</v>
      </c>
      <c r="E1114" s="23" t="s">
        <v>949</v>
      </c>
      <c r="F1114" s="23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22.5" customHeight="1">
      <c r="A1115" s="23" t="s">
        <v>2007</v>
      </c>
      <c r="B1115" s="23" t="s">
        <v>929</v>
      </c>
      <c r="C1115" s="23" t="s">
        <v>1953</v>
      </c>
      <c r="D1115" s="23" t="s">
        <v>948</v>
      </c>
      <c r="E1115" s="23" t="s">
        <v>949</v>
      </c>
      <c r="F1115" s="23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22.5" customHeight="1">
      <c r="A1116" s="23" t="s">
        <v>2008</v>
      </c>
      <c r="B1116" s="23" t="s">
        <v>932</v>
      </c>
      <c r="C1116" s="23" t="s">
        <v>1953</v>
      </c>
      <c r="D1116" s="23" t="s">
        <v>948</v>
      </c>
      <c r="E1116" s="23" t="s">
        <v>949</v>
      </c>
      <c r="F1116" s="23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22.5" customHeight="1">
      <c r="A1117" s="23" t="s">
        <v>2009</v>
      </c>
      <c r="B1117" s="23" t="s">
        <v>934</v>
      </c>
      <c r="C1117" s="23" t="s">
        <v>1953</v>
      </c>
      <c r="D1117" s="23" t="s">
        <v>948</v>
      </c>
      <c r="E1117" s="23" t="s">
        <v>971</v>
      </c>
      <c r="F1117" s="23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22.5" customHeight="1">
      <c r="A1118" s="23" t="s">
        <v>2010</v>
      </c>
      <c r="B1118" s="23" t="s">
        <v>942</v>
      </c>
      <c r="C1118" s="23" t="s">
        <v>1953</v>
      </c>
      <c r="D1118" s="23" t="s">
        <v>948</v>
      </c>
      <c r="E1118" s="23" t="s">
        <v>949</v>
      </c>
      <c r="F1118" s="23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22.5" customHeight="1">
      <c r="A1119" s="23" t="s">
        <v>2011</v>
      </c>
      <c r="B1119" s="23" t="s">
        <v>116</v>
      </c>
      <c r="C1119" s="23" t="s">
        <v>2012</v>
      </c>
      <c r="D1119" s="23" t="s">
        <v>948</v>
      </c>
      <c r="E1119" s="23" t="s">
        <v>971</v>
      </c>
      <c r="F1119" s="23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22.5" customHeight="1">
      <c r="A1120" s="23" t="s">
        <v>2013</v>
      </c>
      <c r="B1120" s="23" t="s">
        <v>123</v>
      </c>
      <c r="C1120" s="23" t="s">
        <v>2012</v>
      </c>
      <c r="D1120" s="23" t="s">
        <v>948</v>
      </c>
      <c r="E1120" s="23" t="s">
        <v>949</v>
      </c>
      <c r="F1120" s="23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22.5" customHeight="1">
      <c r="A1121" s="23" t="s">
        <v>2014</v>
      </c>
      <c r="B1121" s="23" t="s">
        <v>131</v>
      </c>
      <c r="C1121" s="23" t="s">
        <v>2012</v>
      </c>
      <c r="D1121" s="23" t="s">
        <v>948</v>
      </c>
      <c r="E1121" s="23" t="s">
        <v>949</v>
      </c>
      <c r="F1121" s="23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22.5" customHeight="1">
      <c r="A1122" s="23" t="s">
        <v>2015</v>
      </c>
      <c r="B1122" s="23" t="s">
        <v>137</v>
      </c>
      <c r="C1122" s="23" t="s">
        <v>2012</v>
      </c>
      <c r="D1122" s="23" t="s">
        <v>948</v>
      </c>
      <c r="E1122" s="23" t="s">
        <v>949</v>
      </c>
      <c r="F1122" s="23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22.5" customHeight="1">
      <c r="A1123" s="23" t="s">
        <v>2016</v>
      </c>
      <c r="B1123" s="23" t="s">
        <v>144</v>
      </c>
      <c r="C1123" s="23" t="s">
        <v>2012</v>
      </c>
      <c r="D1123" s="23" t="s">
        <v>948</v>
      </c>
      <c r="E1123" s="23" t="s">
        <v>971</v>
      </c>
      <c r="F1123" s="23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22.5" customHeight="1">
      <c r="A1124" s="23" t="s">
        <v>2017</v>
      </c>
      <c r="B1124" s="23" t="s">
        <v>151</v>
      </c>
      <c r="C1124" s="23" t="s">
        <v>2012</v>
      </c>
      <c r="D1124" s="23" t="s">
        <v>948</v>
      </c>
      <c r="E1124" s="23" t="s">
        <v>949</v>
      </c>
      <c r="F1124" s="23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22.5" customHeight="1">
      <c r="A1125" s="23" t="s">
        <v>2018</v>
      </c>
      <c r="B1125" s="23" t="s">
        <v>734</v>
      </c>
      <c r="C1125" s="23" t="s">
        <v>2012</v>
      </c>
      <c r="D1125" s="23" t="s">
        <v>948</v>
      </c>
      <c r="E1125" s="23" t="s">
        <v>949</v>
      </c>
      <c r="F1125" s="23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22.5" customHeight="1">
      <c r="A1126" s="23" t="s">
        <v>2019</v>
      </c>
      <c r="B1126" s="23" t="s">
        <v>831</v>
      </c>
      <c r="C1126" s="23" t="s">
        <v>2012</v>
      </c>
      <c r="D1126" s="23" t="s">
        <v>948</v>
      </c>
      <c r="E1126" s="23" t="s">
        <v>949</v>
      </c>
      <c r="F1126" s="23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22.5" customHeight="1">
      <c r="A1127" s="23" t="s">
        <v>2020</v>
      </c>
      <c r="B1127" s="23" t="s">
        <v>833</v>
      </c>
      <c r="C1127" s="23" t="s">
        <v>2012</v>
      </c>
      <c r="D1127" s="23" t="s">
        <v>948</v>
      </c>
      <c r="E1127" s="23" t="s">
        <v>949</v>
      </c>
      <c r="F1127" s="23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22.5" customHeight="1">
      <c r="A1128" s="23" t="s">
        <v>2021</v>
      </c>
      <c r="B1128" s="23" t="s">
        <v>811</v>
      </c>
      <c r="C1128" s="23" t="s">
        <v>2012</v>
      </c>
      <c r="D1128" s="23" t="s">
        <v>948</v>
      </c>
      <c r="E1128" s="23" t="s">
        <v>949</v>
      </c>
      <c r="F1128" s="23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22.5" customHeight="1">
      <c r="A1129" s="23" t="s">
        <v>2022</v>
      </c>
      <c r="B1129" s="23" t="s">
        <v>838</v>
      </c>
      <c r="C1129" s="23" t="s">
        <v>2012</v>
      </c>
      <c r="D1129" s="23" t="s">
        <v>948</v>
      </c>
      <c r="E1129" s="23" t="s">
        <v>949</v>
      </c>
      <c r="F1129" s="23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22.5" customHeight="1">
      <c r="A1130" s="23" t="s">
        <v>2023</v>
      </c>
      <c r="B1130" s="23" t="s">
        <v>840</v>
      </c>
      <c r="C1130" s="23" t="s">
        <v>2012</v>
      </c>
      <c r="D1130" s="23" t="s">
        <v>948</v>
      </c>
      <c r="E1130" s="23" t="s">
        <v>949</v>
      </c>
      <c r="F1130" s="23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22.5" customHeight="1">
      <c r="A1131" s="23" t="s">
        <v>2024</v>
      </c>
      <c r="B1131" s="23" t="s">
        <v>842</v>
      </c>
      <c r="C1131" s="23" t="s">
        <v>2012</v>
      </c>
      <c r="D1131" s="23" t="s">
        <v>948</v>
      </c>
      <c r="E1131" s="23" t="s">
        <v>949</v>
      </c>
      <c r="F1131" s="23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22.5" customHeight="1">
      <c r="A1132" s="23" t="s">
        <v>2025</v>
      </c>
      <c r="B1132" s="23" t="s">
        <v>844</v>
      </c>
      <c r="C1132" s="23" t="s">
        <v>2012</v>
      </c>
      <c r="D1132" s="23" t="s">
        <v>948</v>
      </c>
      <c r="E1132" s="23" t="s">
        <v>949</v>
      </c>
      <c r="F1132" s="23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22.5" customHeight="1">
      <c r="A1133" s="23" t="s">
        <v>2026</v>
      </c>
      <c r="B1133" s="23" t="s">
        <v>846</v>
      </c>
      <c r="C1133" s="23" t="s">
        <v>2012</v>
      </c>
      <c r="D1133" s="23" t="s">
        <v>948</v>
      </c>
      <c r="E1133" s="23" t="s">
        <v>949</v>
      </c>
      <c r="F1133" s="23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22.5" customHeight="1">
      <c r="A1134" s="23" t="s">
        <v>2027</v>
      </c>
      <c r="B1134" s="23" t="s">
        <v>848</v>
      </c>
      <c r="C1134" s="23" t="s">
        <v>2012</v>
      </c>
      <c r="D1134" s="23" t="s">
        <v>948</v>
      </c>
      <c r="E1134" s="23" t="s">
        <v>949</v>
      </c>
      <c r="F1134" s="23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22.5" customHeight="1">
      <c r="A1135" s="23" t="s">
        <v>2028</v>
      </c>
      <c r="B1135" s="23" t="s">
        <v>850</v>
      </c>
      <c r="C1135" s="23" t="s">
        <v>2012</v>
      </c>
      <c r="D1135" s="23" t="s">
        <v>948</v>
      </c>
      <c r="E1135" s="23" t="s">
        <v>971</v>
      </c>
      <c r="F1135" s="23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22.5" customHeight="1">
      <c r="A1136" s="23" t="s">
        <v>2029</v>
      </c>
      <c r="B1136" s="23" t="s">
        <v>853</v>
      </c>
      <c r="C1136" s="23" t="s">
        <v>2012</v>
      </c>
      <c r="D1136" s="23" t="s">
        <v>948</v>
      </c>
      <c r="E1136" s="23" t="s">
        <v>949</v>
      </c>
      <c r="F1136" s="23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22.5" customHeight="1">
      <c r="A1137" s="23" t="s">
        <v>2030</v>
      </c>
      <c r="B1137" s="23" t="s">
        <v>855</v>
      </c>
      <c r="C1137" s="23" t="s">
        <v>2012</v>
      </c>
      <c r="D1137" s="23" t="s">
        <v>948</v>
      </c>
      <c r="E1137" s="23" t="s">
        <v>971</v>
      </c>
      <c r="F1137" s="23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22.5" customHeight="1">
      <c r="A1138" s="23" t="s">
        <v>2031</v>
      </c>
      <c r="B1138" s="23" t="s">
        <v>857</v>
      </c>
      <c r="C1138" s="23" t="s">
        <v>2012</v>
      </c>
      <c r="D1138" s="23" t="s">
        <v>948</v>
      </c>
      <c r="E1138" s="23" t="s">
        <v>949</v>
      </c>
      <c r="F1138" s="23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22.5" customHeight="1">
      <c r="A1139" s="23" t="s">
        <v>2032</v>
      </c>
      <c r="B1139" s="23" t="s">
        <v>860</v>
      </c>
      <c r="C1139" s="23" t="s">
        <v>2012</v>
      </c>
      <c r="D1139" s="23" t="s">
        <v>948</v>
      </c>
      <c r="E1139" s="23" t="s">
        <v>949</v>
      </c>
      <c r="F1139" s="23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22.5" customHeight="1">
      <c r="A1140" s="23" t="s">
        <v>2033</v>
      </c>
      <c r="B1140" s="23" t="s">
        <v>862</v>
      </c>
      <c r="C1140" s="23" t="s">
        <v>2012</v>
      </c>
      <c r="D1140" s="23" t="s">
        <v>948</v>
      </c>
      <c r="E1140" s="23" t="s">
        <v>949</v>
      </c>
      <c r="F1140" s="23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22.5" customHeight="1">
      <c r="A1141" s="23" t="s">
        <v>2034</v>
      </c>
      <c r="B1141" s="23" t="s">
        <v>865</v>
      </c>
      <c r="C1141" s="23" t="s">
        <v>2012</v>
      </c>
      <c r="D1141" s="23" t="s">
        <v>948</v>
      </c>
      <c r="E1141" s="23" t="s">
        <v>949</v>
      </c>
      <c r="F1141" s="23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22.5" customHeight="1">
      <c r="A1142" s="23" t="s">
        <v>2035</v>
      </c>
      <c r="B1142" s="23" t="s">
        <v>867</v>
      </c>
      <c r="C1142" s="23" t="s">
        <v>2012</v>
      </c>
      <c r="D1142" s="23" t="s">
        <v>948</v>
      </c>
      <c r="E1142" s="23" t="s">
        <v>949</v>
      </c>
      <c r="F1142" s="23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22.5" customHeight="1">
      <c r="A1143" s="23" t="s">
        <v>2036</v>
      </c>
      <c r="B1143" s="23" t="s">
        <v>869</v>
      </c>
      <c r="C1143" s="23" t="s">
        <v>2012</v>
      </c>
      <c r="D1143" s="23" t="s">
        <v>948</v>
      </c>
      <c r="E1143" s="23" t="s">
        <v>949</v>
      </c>
      <c r="F1143" s="23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22.5" customHeight="1">
      <c r="A1144" s="23" t="s">
        <v>2037</v>
      </c>
      <c r="B1144" s="23" t="s">
        <v>871</v>
      </c>
      <c r="C1144" s="23" t="s">
        <v>2012</v>
      </c>
      <c r="D1144" s="23" t="s">
        <v>948</v>
      </c>
      <c r="E1144" s="23" t="s">
        <v>949</v>
      </c>
      <c r="F1144" s="23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22.5" customHeight="1">
      <c r="A1145" s="23" t="s">
        <v>2038</v>
      </c>
      <c r="B1145" s="23" t="s">
        <v>876</v>
      </c>
      <c r="C1145" s="23" t="s">
        <v>2012</v>
      </c>
      <c r="D1145" s="23" t="s">
        <v>948</v>
      </c>
      <c r="E1145" s="23" t="s">
        <v>949</v>
      </c>
      <c r="F1145" s="23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22.5" customHeight="1">
      <c r="A1146" s="23" t="s">
        <v>2039</v>
      </c>
      <c r="B1146" s="23" t="s">
        <v>879</v>
      </c>
      <c r="C1146" s="23" t="s">
        <v>2012</v>
      </c>
      <c r="D1146" s="23" t="s">
        <v>948</v>
      </c>
      <c r="E1146" s="23" t="s">
        <v>949</v>
      </c>
      <c r="F1146" s="23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22.5" customHeight="1">
      <c r="A1147" s="23" t="s">
        <v>2040</v>
      </c>
      <c r="B1147" s="23" t="s">
        <v>881</v>
      </c>
      <c r="C1147" s="23" t="s">
        <v>2012</v>
      </c>
      <c r="D1147" s="23" t="s">
        <v>948</v>
      </c>
      <c r="E1147" s="23" t="s">
        <v>949</v>
      </c>
      <c r="F1147" s="23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22.5" customHeight="1">
      <c r="A1148" s="23" t="s">
        <v>2041</v>
      </c>
      <c r="B1148" s="23" t="s">
        <v>883</v>
      </c>
      <c r="C1148" s="23" t="s">
        <v>2012</v>
      </c>
      <c r="D1148" s="23" t="s">
        <v>948</v>
      </c>
      <c r="E1148" s="23" t="s">
        <v>971</v>
      </c>
      <c r="F1148" s="23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22.5" customHeight="1">
      <c r="A1149" s="23" t="s">
        <v>2042</v>
      </c>
      <c r="B1149" s="23" t="s">
        <v>885</v>
      </c>
      <c r="C1149" s="23" t="s">
        <v>2012</v>
      </c>
      <c r="D1149" s="23" t="s">
        <v>948</v>
      </c>
      <c r="E1149" s="23" t="s">
        <v>949</v>
      </c>
      <c r="F1149" s="23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22.5" customHeight="1">
      <c r="A1150" s="23" t="s">
        <v>2043</v>
      </c>
      <c r="B1150" s="23" t="s">
        <v>887</v>
      </c>
      <c r="C1150" s="23" t="s">
        <v>2012</v>
      </c>
      <c r="D1150" s="23" t="s">
        <v>948</v>
      </c>
      <c r="E1150" s="23" t="s">
        <v>949</v>
      </c>
      <c r="F1150" s="23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22.5" customHeight="1">
      <c r="A1151" s="23" t="s">
        <v>2044</v>
      </c>
      <c r="B1151" s="23" t="s">
        <v>892</v>
      </c>
      <c r="C1151" s="23" t="s">
        <v>2012</v>
      </c>
      <c r="D1151" s="23" t="s">
        <v>948</v>
      </c>
      <c r="E1151" s="23" t="s">
        <v>949</v>
      </c>
      <c r="F1151" s="23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22.5" customHeight="1">
      <c r="A1152" s="23" t="s">
        <v>2045</v>
      </c>
      <c r="B1152" s="23" t="s">
        <v>935</v>
      </c>
      <c r="C1152" s="23" t="s">
        <v>2012</v>
      </c>
      <c r="D1152" s="23" t="s">
        <v>948</v>
      </c>
      <c r="E1152" s="23" t="s">
        <v>949</v>
      </c>
      <c r="F1152" s="23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22.5" customHeight="1">
      <c r="A1153" s="23" t="s">
        <v>2046</v>
      </c>
      <c r="B1153" s="23" t="s">
        <v>895</v>
      </c>
      <c r="C1153" s="23" t="s">
        <v>2012</v>
      </c>
      <c r="D1153" s="23" t="s">
        <v>948</v>
      </c>
      <c r="E1153" s="23" t="s">
        <v>949</v>
      </c>
      <c r="F1153" s="23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22.5" customHeight="1">
      <c r="A1154" s="23" t="s">
        <v>2047</v>
      </c>
      <c r="B1154" s="23" t="s">
        <v>897</v>
      </c>
      <c r="C1154" s="23" t="s">
        <v>2012</v>
      </c>
      <c r="D1154" s="23" t="s">
        <v>948</v>
      </c>
      <c r="E1154" s="23" t="s">
        <v>949</v>
      </c>
      <c r="F1154" s="23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22.5" customHeight="1">
      <c r="A1155" s="23" t="s">
        <v>2048</v>
      </c>
      <c r="B1155" s="23" t="s">
        <v>889</v>
      </c>
      <c r="C1155" s="23" t="s">
        <v>2012</v>
      </c>
      <c r="D1155" s="23" t="s">
        <v>948</v>
      </c>
      <c r="E1155" s="23" t="s">
        <v>949</v>
      </c>
      <c r="F1155" s="23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22.5" customHeight="1">
      <c r="A1156" s="23" t="s">
        <v>2049</v>
      </c>
      <c r="B1156" s="23" t="s">
        <v>899</v>
      </c>
      <c r="C1156" s="23" t="s">
        <v>2012</v>
      </c>
      <c r="D1156" s="23" t="s">
        <v>948</v>
      </c>
      <c r="E1156" s="23" t="s">
        <v>949</v>
      </c>
      <c r="F1156" s="23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22.5" customHeight="1">
      <c r="A1157" s="23" t="s">
        <v>2050</v>
      </c>
      <c r="B1157" s="23" t="s">
        <v>901</v>
      </c>
      <c r="C1157" s="23" t="s">
        <v>2012</v>
      </c>
      <c r="D1157" s="23" t="s">
        <v>948</v>
      </c>
      <c r="E1157" s="23" t="s">
        <v>949</v>
      </c>
      <c r="F1157" s="23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22.5" customHeight="1">
      <c r="A1158" s="23" t="s">
        <v>2051</v>
      </c>
      <c r="B1158" s="23" t="s">
        <v>904</v>
      </c>
      <c r="C1158" s="23" t="s">
        <v>2012</v>
      </c>
      <c r="D1158" s="23" t="s">
        <v>948</v>
      </c>
      <c r="E1158" s="23" t="s">
        <v>949</v>
      </c>
      <c r="F1158" s="23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22.5" customHeight="1">
      <c r="A1159" s="23" t="s">
        <v>2052</v>
      </c>
      <c r="B1159" s="23" t="s">
        <v>906</v>
      </c>
      <c r="C1159" s="23" t="s">
        <v>2012</v>
      </c>
      <c r="D1159" s="23" t="s">
        <v>948</v>
      </c>
      <c r="E1159" s="23" t="s">
        <v>949</v>
      </c>
      <c r="F1159" s="23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22.5" customHeight="1">
      <c r="A1160" s="23" t="s">
        <v>2053</v>
      </c>
      <c r="B1160" s="23" t="s">
        <v>908</v>
      </c>
      <c r="C1160" s="23" t="s">
        <v>2012</v>
      </c>
      <c r="D1160" s="23" t="s">
        <v>948</v>
      </c>
      <c r="E1160" s="23" t="s">
        <v>949</v>
      </c>
      <c r="F1160" s="23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22.5" customHeight="1">
      <c r="A1161" s="23" t="s">
        <v>2054</v>
      </c>
      <c r="B1161" s="23" t="s">
        <v>936</v>
      </c>
      <c r="C1161" s="23" t="s">
        <v>2012</v>
      </c>
      <c r="D1161" s="23" t="s">
        <v>948</v>
      </c>
      <c r="E1161" s="23" t="s">
        <v>949</v>
      </c>
      <c r="F1161" s="23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22.5" customHeight="1">
      <c r="A1162" s="23" t="s">
        <v>2055</v>
      </c>
      <c r="B1162" s="23" t="s">
        <v>910</v>
      </c>
      <c r="C1162" s="23" t="s">
        <v>2012</v>
      </c>
      <c r="D1162" s="23" t="s">
        <v>948</v>
      </c>
      <c r="E1162" s="23" t="s">
        <v>949</v>
      </c>
      <c r="F1162" s="23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22.5" customHeight="1">
      <c r="A1163" s="23" t="s">
        <v>2056</v>
      </c>
      <c r="B1163" s="23" t="s">
        <v>937</v>
      </c>
      <c r="C1163" s="23" t="s">
        <v>2012</v>
      </c>
      <c r="D1163" s="23" t="s">
        <v>948</v>
      </c>
      <c r="E1163" s="23" t="s">
        <v>949</v>
      </c>
      <c r="F1163" s="23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22.5" customHeight="1">
      <c r="A1164" s="23" t="s">
        <v>2057</v>
      </c>
      <c r="B1164" s="23" t="s">
        <v>912</v>
      </c>
      <c r="C1164" s="23" t="s">
        <v>2012</v>
      </c>
      <c r="D1164" s="23" t="s">
        <v>948</v>
      </c>
      <c r="E1164" s="23" t="s">
        <v>949</v>
      </c>
      <c r="F1164" s="23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22.5" customHeight="1">
      <c r="A1165" s="23" t="s">
        <v>2058</v>
      </c>
      <c r="B1165" s="23" t="s">
        <v>938</v>
      </c>
      <c r="C1165" s="23" t="s">
        <v>2012</v>
      </c>
      <c r="D1165" s="23" t="s">
        <v>948</v>
      </c>
      <c r="E1165" s="23" t="s">
        <v>949</v>
      </c>
      <c r="F1165" s="23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22.5" customHeight="1">
      <c r="A1166" s="23" t="s">
        <v>2059</v>
      </c>
      <c r="B1166" s="23" t="s">
        <v>914</v>
      </c>
      <c r="C1166" s="23" t="s">
        <v>2012</v>
      </c>
      <c r="D1166" s="23" t="s">
        <v>948</v>
      </c>
      <c r="E1166" s="23" t="s">
        <v>949</v>
      </c>
      <c r="F1166" s="23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22.5" customHeight="1">
      <c r="A1167" s="23" t="s">
        <v>2060</v>
      </c>
      <c r="B1167" s="23" t="s">
        <v>939</v>
      </c>
      <c r="C1167" s="23" t="s">
        <v>2012</v>
      </c>
      <c r="D1167" s="23" t="s">
        <v>948</v>
      </c>
      <c r="E1167" s="23" t="s">
        <v>949</v>
      </c>
      <c r="F1167" s="23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22.5" customHeight="1">
      <c r="A1168" s="23" t="s">
        <v>2061</v>
      </c>
      <c r="B1168" s="23" t="s">
        <v>917</v>
      </c>
      <c r="C1168" s="23" t="s">
        <v>2012</v>
      </c>
      <c r="D1168" s="23" t="s">
        <v>948</v>
      </c>
      <c r="E1168" s="23" t="s">
        <v>949</v>
      </c>
      <c r="F1168" s="23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22.5" customHeight="1">
      <c r="A1169" s="23" t="s">
        <v>2062</v>
      </c>
      <c r="B1169" s="23" t="s">
        <v>873</v>
      </c>
      <c r="C1169" s="23" t="s">
        <v>2012</v>
      </c>
      <c r="D1169" s="23" t="s">
        <v>948</v>
      </c>
      <c r="E1169" s="23" t="s">
        <v>949</v>
      </c>
      <c r="F1169" s="23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22.5" customHeight="1">
      <c r="A1170" s="23" t="s">
        <v>2063</v>
      </c>
      <c r="B1170" s="23" t="s">
        <v>920</v>
      </c>
      <c r="C1170" s="23" t="s">
        <v>2012</v>
      </c>
      <c r="D1170" s="23" t="s">
        <v>948</v>
      </c>
      <c r="E1170" s="23" t="s">
        <v>949</v>
      </c>
      <c r="F1170" s="23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22.5" customHeight="1">
      <c r="A1171" s="23" t="s">
        <v>2064</v>
      </c>
      <c r="B1171" s="23" t="s">
        <v>923</v>
      </c>
      <c r="C1171" s="23" t="s">
        <v>2012</v>
      </c>
      <c r="D1171" s="23" t="s">
        <v>948</v>
      </c>
      <c r="E1171" s="23" t="s">
        <v>949</v>
      </c>
      <c r="F1171" s="23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22.5" customHeight="1">
      <c r="A1172" s="23" t="s">
        <v>2065</v>
      </c>
      <c r="B1172" s="23" t="s">
        <v>926</v>
      </c>
      <c r="C1172" s="23" t="s">
        <v>2012</v>
      </c>
      <c r="D1172" s="23" t="s">
        <v>948</v>
      </c>
      <c r="E1172" s="23" t="s">
        <v>949</v>
      </c>
      <c r="F1172" s="23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22.5" customHeight="1">
      <c r="A1173" s="23" t="s">
        <v>2066</v>
      </c>
      <c r="B1173" s="23" t="s">
        <v>929</v>
      </c>
      <c r="C1173" s="23" t="s">
        <v>2012</v>
      </c>
      <c r="D1173" s="23" t="s">
        <v>948</v>
      </c>
      <c r="E1173" s="23" t="s">
        <v>949</v>
      </c>
      <c r="F1173" s="23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22.5" customHeight="1">
      <c r="A1174" s="23" t="s">
        <v>2067</v>
      </c>
      <c r="B1174" s="23" t="s">
        <v>932</v>
      </c>
      <c r="C1174" s="23" t="s">
        <v>2012</v>
      </c>
      <c r="D1174" s="23" t="s">
        <v>948</v>
      </c>
      <c r="E1174" s="23" t="s">
        <v>949</v>
      </c>
      <c r="F1174" s="23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22.5" customHeight="1">
      <c r="A1175" s="23" t="s">
        <v>2068</v>
      </c>
      <c r="B1175" s="23" t="s">
        <v>934</v>
      </c>
      <c r="C1175" s="23" t="s">
        <v>2012</v>
      </c>
      <c r="D1175" s="23" t="s">
        <v>948</v>
      </c>
      <c r="E1175" s="23" t="s">
        <v>949</v>
      </c>
      <c r="F1175" s="23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22.5" customHeight="1">
      <c r="A1176" s="23" t="s">
        <v>2069</v>
      </c>
      <c r="B1176" s="23" t="s">
        <v>942</v>
      </c>
      <c r="C1176" s="23" t="s">
        <v>2012</v>
      </c>
      <c r="D1176" s="23" t="s">
        <v>948</v>
      </c>
      <c r="E1176" s="23" t="s">
        <v>949</v>
      </c>
      <c r="F1176" s="23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22.5" customHeight="1">
      <c r="A1177" s="23" t="s">
        <v>2070</v>
      </c>
      <c r="B1177" s="23" t="s">
        <v>116</v>
      </c>
      <c r="C1177" s="23" t="s">
        <v>2071</v>
      </c>
      <c r="D1177" s="23" t="s">
        <v>948</v>
      </c>
      <c r="E1177" s="23" t="s">
        <v>949</v>
      </c>
      <c r="F1177" s="23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22.5" customHeight="1">
      <c r="A1178" s="23" t="s">
        <v>2072</v>
      </c>
      <c r="B1178" s="23" t="s">
        <v>123</v>
      </c>
      <c r="C1178" s="23" t="s">
        <v>2071</v>
      </c>
      <c r="D1178" s="23" t="s">
        <v>948</v>
      </c>
      <c r="E1178" s="23" t="s">
        <v>949</v>
      </c>
      <c r="F1178" s="23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22.5" customHeight="1">
      <c r="A1179" s="23" t="s">
        <v>2073</v>
      </c>
      <c r="B1179" s="23" t="s">
        <v>131</v>
      </c>
      <c r="C1179" s="23" t="s">
        <v>2071</v>
      </c>
      <c r="D1179" s="23" t="s">
        <v>948</v>
      </c>
      <c r="E1179" s="23" t="s">
        <v>949</v>
      </c>
      <c r="F1179" s="23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22.5" customHeight="1">
      <c r="A1180" s="23" t="s">
        <v>2074</v>
      </c>
      <c r="B1180" s="23" t="s">
        <v>137</v>
      </c>
      <c r="C1180" s="23" t="s">
        <v>2071</v>
      </c>
      <c r="D1180" s="23" t="s">
        <v>948</v>
      </c>
      <c r="E1180" s="23" t="s">
        <v>949</v>
      </c>
      <c r="F1180" s="23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22.5" customHeight="1">
      <c r="A1181" s="23" t="s">
        <v>2075</v>
      </c>
      <c r="B1181" s="23" t="s">
        <v>144</v>
      </c>
      <c r="C1181" s="23" t="s">
        <v>2071</v>
      </c>
      <c r="D1181" s="23" t="s">
        <v>948</v>
      </c>
      <c r="E1181" s="23" t="s">
        <v>949</v>
      </c>
      <c r="F1181" s="23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22.5" customHeight="1">
      <c r="A1182" s="23" t="s">
        <v>2076</v>
      </c>
      <c r="B1182" s="23" t="s">
        <v>151</v>
      </c>
      <c r="C1182" s="23" t="s">
        <v>2071</v>
      </c>
      <c r="D1182" s="23" t="s">
        <v>948</v>
      </c>
      <c r="E1182" s="23" t="s">
        <v>949</v>
      </c>
      <c r="F1182" s="23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22.5" customHeight="1">
      <c r="A1183" s="23" t="s">
        <v>2077</v>
      </c>
      <c r="B1183" s="23" t="s">
        <v>734</v>
      </c>
      <c r="C1183" s="23" t="s">
        <v>2071</v>
      </c>
      <c r="D1183" s="23" t="s">
        <v>948</v>
      </c>
      <c r="E1183" s="23" t="s">
        <v>949</v>
      </c>
      <c r="F1183" s="23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22.5" customHeight="1">
      <c r="A1184" s="23" t="s">
        <v>2078</v>
      </c>
      <c r="B1184" s="23" t="s">
        <v>831</v>
      </c>
      <c r="C1184" s="23" t="s">
        <v>2071</v>
      </c>
      <c r="D1184" s="23" t="s">
        <v>948</v>
      </c>
      <c r="E1184" s="23" t="s">
        <v>949</v>
      </c>
      <c r="F1184" s="23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22.5" customHeight="1">
      <c r="A1185" s="23" t="s">
        <v>2079</v>
      </c>
      <c r="B1185" s="23" t="s">
        <v>833</v>
      </c>
      <c r="C1185" s="23" t="s">
        <v>2071</v>
      </c>
      <c r="D1185" s="23" t="s">
        <v>948</v>
      </c>
      <c r="E1185" s="23" t="s">
        <v>949</v>
      </c>
      <c r="F1185" s="23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22.5" customHeight="1">
      <c r="A1186" s="23" t="s">
        <v>2080</v>
      </c>
      <c r="B1186" s="23" t="s">
        <v>811</v>
      </c>
      <c r="C1186" s="23" t="s">
        <v>2071</v>
      </c>
      <c r="D1186" s="23" t="s">
        <v>948</v>
      </c>
      <c r="E1186" s="23" t="s">
        <v>971</v>
      </c>
      <c r="F1186" s="23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22.5" customHeight="1">
      <c r="A1187" s="23" t="s">
        <v>2081</v>
      </c>
      <c r="B1187" s="23" t="s">
        <v>838</v>
      </c>
      <c r="C1187" s="23" t="s">
        <v>2071</v>
      </c>
      <c r="D1187" s="23" t="s">
        <v>948</v>
      </c>
      <c r="E1187" s="23" t="s">
        <v>949</v>
      </c>
      <c r="F1187" s="23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22.5" customHeight="1">
      <c r="A1188" s="23" t="s">
        <v>2082</v>
      </c>
      <c r="B1188" s="23" t="s">
        <v>840</v>
      </c>
      <c r="C1188" s="23" t="s">
        <v>2071</v>
      </c>
      <c r="D1188" s="23" t="s">
        <v>948</v>
      </c>
      <c r="E1188" s="23" t="s">
        <v>949</v>
      </c>
      <c r="F1188" s="23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22.5" customHeight="1">
      <c r="A1189" s="23" t="s">
        <v>2083</v>
      </c>
      <c r="B1189" s="23" t="s">
        <v>842</v>
      </c>
      <c r="C1189" s="23" t="s">
        <v>2071</v>
      </c>
      <c r="D1189" s="23" t="s">
        <v>948</v>
      </c>
      <c r="E1189" s="23" t="s">
        <v>949</v>
      </c>
      <c r="F1189" s="23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22.5" customHeight="1">
      <c r="A1190" s="23" t="s">
        <v>2084</v>
      </c>
      <c r="B1190" s="23" t="s">
        <v>844</v>
      </c>
      <c r="C1190" s="23" t="s">
        <v>2071</v>
      </c>
      <c r="D1190" s="23" t="s">
        <v>948</v>
      </c>
      <c r="E1190" s="23" t="s">
        <v>949</v>
      </c>
      <c r="F1190" s="23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22.5" customHeight="1">
      <c r="A1191" s="23" t="s">
        <v>2085</v>
      </c>
      <c r="B1191" s="23" t="s">
        <v>846</v>
      </c>
      <c r="C1191" s="23" t="s">
        <v>2071</v>
      </c>
      <c r="D1191" s="23" t="s">
        <v>948</v>
      </c>
      <c r="E1191" s="23" t="s">
        <v>949</v>
      </c>
      <c r="F1191" s="23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22.5" customHeight="1">
      <c r="A1192" s="23" t="s">
        <v>2086</v>
      </c>
      <c r="B1192" s="23" t="s">
        <v>848</v>
      </c>
      <c r="C1192" s="23" t="s">
        <v>2071</v>
      </c>
      <c r="D1192" s="23" t="s">
        <v>948</v>
      </c>
      <c r="E1192" s="23" t="s">
        <v>949</v>
      </c>
      <c r="F1192" s="23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22.5" customHeight="1">
      <c r="A1193" s="23" t="s">
        <v>2087</v>
      </c>
      <c r="B1193" s="23" t="s">
        <v>850</v>
      </c>
      <c r="C1193" s="23" t="s">
        <v>2071</v>
      </c>
      <c r="D1193" s="23" t="s">
        <v>948</v>
      </c>
      <c r="E1193" s="23" t="s">
        <v>949</v>
      </c>
      <c r="F1193" s="23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22.5" customHeight="1">
      <c r="A1194" s="23" t="s">
        <v>2088</v>
      </c>
      <c r="B1194" s="23" t="s">
        <v>853</v>
      </c>
      <c r="C1194" s="23" t="s">
        <v>2071</v>
      </c>
      <c r="D1194" s="23" t="s">
        <v>948</v>
      </c>
      <c r="E1194" s="23" t="s">
        <v>949</v>
      </c>
      <c r="F1194" s="23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22.5" customHeight="1">
      <c r="A1195" s="23" t="s">
        <v>2089</v>
      </c>
      <c r="B1195" s="23" t="s">
        <v>855</v>
      </c>
      <c r="C1195" s="23" t="s">
        <v>2071</v>
      </c>
      <c r="D1195" s="23" t="s">
        <v>948</v>
      </c>
      <c r="E1195" s="23" t="s">
        <v>949</v>
      </c>
      <c r="F1195" s="23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22.5" customHeight="1">
      <c r="A1196" s="23" t="s">
        <v>2090</v>
      </c>
      <c r="B1196" s="23" t="s">
        <v>857</v>
      </c>
      <c r="C1196" s="23" t="s">
        <v>2071</v>
      </c>
      <c r="D1196" s="23" t="s">
        <v>948</v>
      </c>
      <c r="E1196" s="23" t="s">
        <v>949</v>
      </c>
      <c r="F1196" s="23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22.5" customHeight="1">
      <c r="A1197" s="23" t="s">
        <v>2091</v>
      </c>
      <c r="B1197" s="23" t="s">
        <v>860</v>
      </c>
      <c r="C1197" s="23" t="s">
        <v>2071</v>
      </c>
      <c r="D1197" s="23" t="s">
        <v>948</v>
      </c>
      <c r="E1197" s="23" t="s">
        <v>949</v>
      </c>
      <c r="F1197" s="23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22.5" customHeight="1">
      <c r="A1198" s="23" t="s">
        <v>2092</v>
      </c>
      <c r="B1198" s="23" t="s">
        <v>862</v>
      </c>
      <c r="C1198" s="23" t="s">
        <v>2071</v>
      </c>
      <c r="D1198" s="23" t="s">
        <v>948</v>
      </c>
      <c r="E1198" s="23" t="s">
        <v>949</v>
      </c>
      <c r="F1198" s="23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22.5" customHeight="1">
      <c r="A1199" s="23" t="s">
        <v>2093</v>
      </c>
      <c r="B1199" s="23" t="s">
        <v>865</v>
      </c>
      <c r="C1199" s="23" t="s">
        <v>2071</v>
      </c>
      <c r="D1199" s="23" t="s">
        <v>948</v>
      </c>
      <c r="E1199" s="23" t="s">
        <v>949</v>
      </c>
      <c r="F1199" s="23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22.5" customHeight="1">
      <c r="A1200" s="23" t="s">
        <v>2094</v>
      </c>
      <c r="B1200" s="23" t="s">
        <v>867</v>
      </c>
      <c r="C1200" s="23" t="s">
        <v>2071</v>
      </c>
      <c r="D1200" s="23" t="s">
        <v>948</v>
      </c>
      <c r="E1200" s="23" t="s">
        <v>949</v>
      </c>
      <c r="F1200" s="23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22.5" customHeight="1">
      <c r="A1201" s="23" t="s">
        <v>2095</v>
      </c>
      <c r="B1201" s="23" t="s">
        <v>869</v>
      </c>
      <c r="C1201" s="23" t="s">
        <v>2071</v>
      </c>
      <c r="D1201" s="23" t="s">
        <v>948</v>
      </c>
      <c r="E1201" s="23" t="s">
        <v>949</v>
      </c>
      <c r="F1201" s="23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22.5" customHeight="1">
      <c r="A1202" s="23" t="s">
        <v>2096</v>
      </c>
      <c r="B1202" s="23" t="s">
        <v>871</v>
      </c>
      <c r="C1202" s="23" t="s">
        <v>2071</v>
      </c>
      <c r="D1202" s="23" t="s">
        <v>948</v>
      </c>
      <c r="E1202" s="23" t="s">
        <v>949</v>
      </c>
      <c r="F1202" s="23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22.5" customHeight="1">
      <c r="A1203" s="23" t="s">
        <v>2097</v>
      </c>
      <c r="B1203" s="23" t="s">
        <v>876</v>
      </c>
      <c r="C1203" s="23" t="s">
        <v>2071</v>
      </c>
      <c r="D1203" s="23" t="s">
        <v>948</v>
      </c>
      <c r="E1203" s="23" t="s">
        <v>949</v>
      </c>
      <c r="F1203" s="23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22.5" customHeight="1">
      <c r="A1204" s="23" t="s">
        <v>2098</v>
      </c>
      <c r="B1204" s="23" t="s">
        <v>879</v>
      </c>
      <c r="C1204" s="23" t="s">
        <v>2071</v>
      </c>
      <c r="D1204" s="23" t="s">
        <v>948</v>
      </c>
      <c r="E1204" s="23" t="s">
        <v>949</v>
      </c>
      <c r="F1204" s="23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22.5" customHeight="1">
      <c r="A1205" s="23" t="s">
        <v>2099</v>
      </c>
      <c r="B1205" s="23" t="s">
        <v>881</v>
      </c>
      <c r="C1205" s="23" t="s">
        <v>2071</v>
      </c>
      <c r="D1205" s="23" t="s">
        <v>948</v>
      </c>
      <c r="E1205" s="23" t="s">
        <v>949</v>
      </c>
      <c r="F1205" s="23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22.5" customHeight="1">
      <c r="A1206" s="23" t="s">
        <v>2100</v>
      </c>
      <c r="B1206" s="23" t="s">
        <v>883</v>
      </c>
      <c r="C1206" s="23" t="s">
        <v>2071</v>
      </c>
      <c r="D1206" s="23" t="s">
        <v>948</v>
      </c>
      <c r="E1206" s="23" t="s">
        <v>949</v>
      </c>
      <c r="F1206" s="23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22.5" customHeight="1">
      <c r="A1207" s="23" t="s">
        <v>2101</v>
      </c>
      <c r="B1207" s="23" t="s">
        <v>885</v>
      </c>
      <c r="C1207" s="23" t="s">
        <v>2071</v>
      </c>
      <c r="D1207" s="23" t="s">
        <v>948</v>
      </c>
      <c r="E1207" s="23" t="s">
        <v>949</v>
      </c>
      <c r="F1207" s="23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22.5" customHeight="1">
      <c r="A1208" s="23" t="s">
        <v>2102</v>
      </c>
      <c r="B1208" s="23" t="s">
        <v>887</v>
      </c>
      <c r="C1208" s="23" t="s">
        <v>2071</v>
      </c>
      <c r="D1208" s="23" t="s">
        <v>948</v>
      </c>
      <c r="E1208" s="23" t="s">
        <v>971</v>
      </c>
      <c r="F1208" s="23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22.5" customHeight="1">
      <c r="A1209" s="23" t="s">
        <v>2103</v>
      </c>
      <c r="B1209" s="23" t="s">
        <v>892</v>
      </c>
      <c r="C1209" s="23" t="s">
        <v>2071</v>
      </c>
      <c r="D1209" s="23" t="s">
        <v>948</v>
      </c>
      <c r="E1209" s="23" t="s">
        <v>949</v>
      </c>
      <c r="F1209" s="23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22.5" customHeight="1">
      <c r="A1210" s="23" t="s">
        <v>2104</v>
      </c>
      <c r="B1210" s="23" t="s">
        <v>935</v>
      </c>
      <c r="C1210" s="23" t="s">
        <v>2071</v>
      </c>
      <c r="D1210" s="23" t="s">
        <v>948</v>
      </c>
      <c r="E1210" s="23" t="s">
        <v>949</v>
      </c>
      <c r="F1210" s="23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22.5" customHeight="1">
      <c r="A1211" s="23" t="s">
        <v>2105</v>
      </c>
      <c r="B1211" s="23" t="s">
        <v>895</v>
      </c>
      <c r="C1211" s="23" t="s">
        <v>2071</v>
      </c>
      <c r="D1211" s="23" t="s">
        <v>948</v>
      </c>
      <c r="E1211" s="23" t="s">
        <v>949</v>
      </c>
      <c r="F1211" s="23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22.5" customHeight="1">
      <c r="A1212" s="23" t="s">
        <v>2106</v>
      </c>
      <c r="B1212" s="23" t="s">
        <v>897</v>
      </c>
      <c r="C1212" s="23" t="s">
        <v>2071</v>
      </c>
      <c r="D1212" s="23" t="s">
        <v>948</v>
      </c>
      <c r="E1212" s="23" t="s">
        <v>949</v>
      </c>
      <c r="F1212" s="23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22.5" customHeight="1">
      <c r="A1213" s="23" t="s">
        <v>2107</v>
      </c>
      <c r="B1213" s="23" t="s">
        <v>889</v>
      </c>
      <c r="C1213" s="23" t="s">
        <v>2071</v>
      </c>
      <c r="D1213" s="23" t="s">
        <v>948</v>
      </c>
      <c r="E1213" s="23" t="s">
        <v>949</v>
      </c>
      <c r="F1213" s="23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22.5" customHeight="1">
      <c r="A1214" s="23" t="s">
        <v>2108</v>
      </c>
      <c r="B1214" s="23" t="s">
        <v>899</v>
      </c>
      <c r="C1214" s="23" t="s">
        <v>2071</v>
      </c>
      <c r="D1214" s="23" t="s">
        <v>948</v>
      </c>
      <c r="E1214" s="23" t="s">
        <v>949</v>
      </c>
      <c r="F1214" s="23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22.5" customHeight="1">
      <c r="A1215" s="23" t="s">
        <v>2109</v>
      </c>
      <c r="B1215" s="23" t="s">
        <v>901</v>
      </c>
      <c r="C1215" s="23" t="s">
        <v>2071</v>
      </c>
      <c r="D1215" s="23" t="s">
        <v>948</v>
      </c>
      <c r="E1215" s="23" t="s">
        <v>949</v>
      </c>
      <c r="F1215" s="23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22.5" customHeight="1">
      <c r="A1216" s="23" t="s">
        <v>2110</v>
      </c>
      <c r="B1216" s="23" t="s">
        <v>904</v>
      </c>
      <c r="C1216" s="23" t="s">
        <v>2071</v>
      </c>
      <c r="D1216" s="23" t="s">
        <v>948</v>
      </c>
      <c r="E1216" s="23" t="s">
        <v>949</v>
      </c>
      <c r="F1216" s="23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22.5" customHeight="1">
      <c r="A1217" s="23" t="s">
        <v>2111</v>
      </c>
      <c r="B1217" s="23" t="s">
        <v>906</v>
      </c>
      <c r="C1217" s="23" t="s">
        <v>2071</v>
      </c>
      <c r="D1217" s="23" t="s">
        <v>948</v>
      </c>
      <c r="E1217" s="23" t="s">
        <v>949</v>
      </c>
      <c r="F1217" s="23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22.5" customHeight="1">
      <c r="A1218" s="23" t="s">
        <v>2112</v>
      </c>
      <c r="B1218" s="23" t="s">
        <v>908</v>
      </c>
      <c r="C1218" s="23" t="s">
        <v>2071</v>
      </c>
      <c r="D1218" s="23" t="s">
        <v>948</v>
      </c>
      <c r="E1218" s="23" t="s">
        <v>949</v>
      </c>
      <c r="F1218" s="23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22.5" customHeight="1">
      <c r="A1219" s="23" t="s">
        <v>2113</v>
      </c>
      <c r="B1219" s="23" t="s">
        <v>936</v>
      </c>
      <c r="C1219" s="23" t="s">
        <v>2071</v>
      </c>
      <c r="D1219" s="23" t="s">
        <v>948</v>
      </c>
      <c r="E1219" s="23" t="s">
        <v>949</v>
      </c>
      <c r="F1219" s="23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22.5" customHeight="1">
      <c r="A1220" s="23" t="s">
        <v>2114</v>
      </c>
      <c r="B1220" s="23" t="s">
        <v>910</v>
      </c>
      <c r="C1220" s="23" t="s">
        <v>2071</v>
      </c>
      <c r="D1220" s="23" t="s">
        <v>948</v>
      </c>
      <c r="E1220" s="23" t="s">
        <v>949</v>
      </c>
      <c r="F1220" s="23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22.5" customHeight="1">
      <c r="A1221" s="23" t="s">
        <v>2115</v>
      </c>
      <c r="B1221" s="23" t="s">
        <v>937</v>
      </c>
      <c r="C1221" s="23" t="s">
        <v>2071</v>
      </c>
      <c r="D1221" s="23" t="s">
        <v>948</v>
      </c>
      <c r="E1221" s="23" t="s">
        <v>949</v>
      </c>
      <c r="F1221" s="23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22.5" customHeight="1">
      <c r="A1222" s="23" t="s">
        <v>2116</v>
      </c>
      <c r="B1222" s="23" t="s">
        <v>912</v>
      </c>
      <c r="C1222" s="23" t="s">
        <v>2071</v>
      </c>
      <c r="D1222" s="23" t="s">
        <v>948</v>
      </c>
      <c r="E1222" s="23" t="s">
        <v>949</v>
      </c>
      <c r="F1222" s="23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22.5" customHeight="1">
      <c r="A1223" s="23" t="s">
        <v>2117</v>
      </c>
      <c r="B1223" s="23" t="s">
        <v>938</v>
      </c>
      <c r="C1223" s="23" t="s">
        <v>2071</v>
      </c>
      <c r="D1223" s="23" t="s">
        <v>948</v>
      </c>
      <c r="E1223" s="23" t="s">
        <v>949</v>
      </c>
      <c r="F1223" s="23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22.5" customHeight="1">
      <c r="A1224" s="23" t="s">
        <v>2118</v>
      </c>
      <c r="B1224" s="23" t="s">
        <v>914</v>
      </c>
      <c r="C1224" s="23" t="s">
        <v>2071</v>
      </c>
      <c r="D1224" s="23" t="s">
        <v>948</v>
      </c>
      <c r="E1224" s="23" t="s">
        <v>949</v>
      </c>
      <c r="F1224" s="23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22.5" customHeight="1">
      <c r="A1225" s="23" t="s">
        <v>2119</v>
      </c>
      <c r="B1225" s="23" t="s">
        <v>939</v>
      </c>
      <c r="C1225" s="23" t="s">
        <v>2071</v>
      </c>
      <c r="D1225" s="23" t="s">
        <v>948</v>
      </c>
      <c r="E1225" s="23" t="s">
        <v>949</v>
      </c>
      <c r="F1225" s="23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22.5" customHeight="1">
      <c r="A1226" s="23" t="s">
        <v>2120</v>
      </c>
      <c r="B1226" s="23" t="s">
        <v>917</v>
      </c>
      <c r="C1226" s="23" t="s">
        <v>2071</v>
      </c>
      <c r="D1226" s="23" t="s">
        <v>948</v>
      </c>
      <c r="E1226" s="23" t="s">
        <v>949</v>
      </c>
      <c r="F1226" s="23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22.5" customHeight="1">
      <c r="A1227" s="23" t="s">
        <v>2121</v>
      </c>
      <c r="B1227" s="23" t="s">
        <v>873</v>
      </c>
      <c r="C1227" s="23" t="s">
        <v>2071</v>
      </c>
      <c r="D1227" s="23" t="s">
        <v>948</v>
      </c>
      <c r="E1227" s="23" t="s">
        <v>971</v>
      </c>
      <c r="F1227" s="23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22.5" customHeight="1">
      <c r="A1228" s="23" t="s">
        <v>2122</v>
      </c>
      <c r="B1228" s="23" t="s">
        <v>920</v>
      </c>
      <c r="C1228" s="23" t="s">
        <v>2071</v>
      </c>
      <c r="D1228" s="23" t="s">
        <v>948</v>
      </c>
      <c r="E1228" s="23" t="s">
        <v>949</v>
      </c>
      <c r="F1228" s="23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22.5" customHeight="1">
      <c r="A1229" s="23" t="s">
        <v>2123</v>
      </c>
      <c r="B1229" s="23" t="s">
        <v>923</v>
      </c>
      <c r="C1229" s="23" t="s">
        <v>2071</v>
      </c>
      <c r="D1229" s="23" t="s">
        <v>948</v>
      </c>
      <c r="E1229" s="23" t="s">
        <v>971</v>
      </c>
      <c r="F1229" s="23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22.5" customHeight="1">
      <c r="A1230" s="23" t="s">
        <v>2124</v>
      </c>
      <c r="B1230" s="23" t="s">
        <v>926</v>
      </c>
      <c r="C1230" s="23" t="s">
        <v>2071</v>
      </c>
      <c r="D1230" s="23" t="s">
        <v>948</v>
      </c>
      <c r="E1230" s="23" t="s">
        <v>949</v>
      </c>
      <c r="F1230" s="23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22.5" customHeight="1">
      <c r="A1231" s="23" t="s">
        <v>2125</v>
      </c>
      <c r="B1231" s="23" t="s">
        <v>929</v>
      </c>
      <c r="C1231" s="23" t="s">
        <v>2071</v>
      </c>
      <c r="D1231" s="23" t="s">
        <v>948</v>
      </c>
      <c r="E1231" s="23" t="s">
        <v>949</v>
      </c>
      <c r="F1231" s="23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22.5" customHeight="1">
      <c r="A1232" s="23" t="s">
        <v>2126</v>
      </c>
      <c r="B1232" s="23" t="s">
        <v>932</v>
      </c>
      <c r="C1232" s="23" t="s">
        <v>2071</v>
      </c>
      <c r="D1232" s="23" t="s">
        <v>948</v>
      </c>
      <c r="E1232" s="23" t="s">
        <v>949</v>
      </c>
      <c r="F1232" s="23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22.5" customHeight="1">
      <c r="A1233" s="23" t="s">
        <v>2127</v>
      </c>
      <c r="B1233" s="23" t="s">
        <v>934</v>
      </c>
      <c r="C1233" s="23" t="s">
        <v>2071</v>
      </c>
      <c r="D1233" s="23" t="s">
        <v>948</v>
      </c>
      <c r="E1233" s="23" t="s">
        <v>949</v>
      </c>
      <c r="F1233" s="23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22.5" customHeight="1">
      <c r="A1234" s="23" t="s">
        <v>2128</v>
      </c>
      <c r="B1234" s="23" t="s">
        <v>942</v>
      </c>
      <c r="C1234" s="23" t="s">
        <v>2071</v>
      </c>
      <c r="D1234" s="23" t="s">
        <v>948</v>
      </c>
      <c r="E1234" s="23" t="s">
        <v>971</v>
      </c>
      <c r="F1234" s="23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22.5" customHeight="1">
      <c r="A1235" s="23" t="s">
        <v>2129</v>
      </c>
      <c r="B1235" s="23" t="s">
        <v>116</v>
      </c>
      <c r="C1235" s="23" t="s">
        <v>2130</v>
      </c>
      <c r="D1235" s="23" t="s">
        <v>948</v>
      </c>
      <c r="E1235" s="23" t="s">
        <v>949</v>
      </c>
      <c r="F1235" s="23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22.5" customHeight="1">
      <c r="A1236" s="23" t="s">
        <v>2131</v>
      </c>
      <c r="B1236" s="23" t="s">
        <v>123</v>
      </c>
      <c r="C1236" s="23" t="s">
        <v>2130</v>
      </c>
      <c r="D1236" s="23" t="s">
        <v>948</v>
      </c>
      <c r="E1236" s="23" t="s">
        <v>949</v>
      </c>
      <c r="F1236" s="23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22.5" customHeight="1">
      <c r="A1237" s="23" t="s">
        <v>2132</v>
      </c>
      <c r="B1237" s="23" t="s">
        <v>131</v>
      </c>
      <c r="C1237" s="23" t="s">
        <v>2130</v>
      </c>
      <c r="D1237" s="23" t="s">
        <v>948</v>
      </c>
      <c r="E1237" s="23" t="s">
        <v>949</v>
      </c>
      <c r="F1237" s="23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22.5" customHeight="1">
      <c r="A1238" s="23" t="s">
        <v>2133</v>
      </c>
      <c r="B1238" s="23" t="s">
        <v>137</v>
      </c>
      <c r="C1238" s="23" t="s">
        <v>2130</v>
      </c>
      <c r="D1238" s="23" t="s">
        <v>948</v>
      </c>
      <c r="E1238" s="23" t="s">
        <v>949</v>
      </c>
      <c r="F1238" s="23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22.5" customHeight="1">
      <c r="A1239" s="23" t="s">
        <v>2134</v>
      </c>
      <c r="B1239" s="23" t="s">
        <v>144</v>
      </c>
      <c r="C1239" s="23" t="s">
        <v>2130</v>
      </c>
      <c r="D1239" s="23" t="s">
        <v>948</v>
      </c>
      <c r="E1239" s="23" t="s">
        <v>949</v>
      </c>
      <c r="F1239" s="23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22.5" customHeight="1">
      <c r="A1240" s="23" t="s">
        <v>2135</v>
      </c>
      <c r="B1240" s="23" t="s">
        <v>151</v>
      </c>
      <c r="C1240" s="23" t="s">
        <v>2130</v>
      </c>
      <c r="D1240" s="23" t="s">
        <v>948</v>
      </c>
      <c r="E1240" s="23" t="s">
        <v>949</v>
      </c>
      <c r="F1240" s="23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22.5" customHeight="1">
      <c r="A1241" s="23" t="s">
        <v>2136</v>
      </c>
      <c r="B1241" s="23" t="s">
        <v>734</v>
      </c>
      <c r="C1241" s="23" t="s">
        <v>2130</v>
      </c>
      <c r="D1241" s="23" t="s">
        <v>948</v>
      </c>
      <c r="E1241" s="23" t="s">
        <v>949</v>
      </c>
      <c r="F1241" s="23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22.5" customHeight="1">
      <c r="A1242" s="23" t="s">
        <v>2137</v>
      </c>
      <c r="B1242" s="23" t="s">
        <v>831</v>
      </c>
      <c r="C1242" s="23" t="s">
        <v>2130</v>
      </c>
      <c r="D1242" s="23" t="s">
        <v>948</v>
      </c>
      <c r="E1242" s="23" t="s">
        <v>949</v>
      </c>
      <c r="F1242" s="23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22.5" customHeight="1">
      <c r="A1243" s="23" t="s">
        <v>2138</v>
      </c>
      <c r="B1243" s="23" t="s">
        <v>833</v>
      </c>
      <c r="C1243" s="23" t="s">
        <v>2130</v>
      </c>
      <c r="D1243" s="23" t="s">
        <v>948</v>
      </c>
      <c r="E1243" s="23" t="s">
        <v>949</v>
      </c>
      <c r="F1243" s="23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22.5" customHeight="1">
      <c r="A1244" s="23" t="s">
        <v>2139</v>
      </c>
      <c r="B1244" s="23" t="s">
        <v>811</v>
      </c>
      <c r="C1244" s="23" t="s">
        <v>2130</v>
      </c>
      <c r="D1244" s="23" t="s">
        <v>948</v>
      </c>
      <c r="E1244" s="23" t="s">
        <v>949</v>
      </c>
      <c r="F1244" s="23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22.5" customHeight="1">
      <c r="A1245" s="23" t="s">
        <v>2140</v>
      </c>
      <c r="B1245" s="23" t="s">
        <v>838</v>
      </c>
      <c r="C1245" s="23" t="s">
        <v>2130</v>
      </c>
      <c r="D1245" s="23" t="s">
        <v>948</v>
      </c>
      <c r="E1245" s="23" t="s">
        <v>949</v>
      </c>
      <c r="F1245" s="23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22.5" customHeight="1">
      <c r="A1246" s="23" t="s">
        <v>2141</v>
      </c>
      <c r="B1246" s="23" t="s">
        <v>840</v>
      </c>
      <c r="C1246" s="23" t="s">
        <v>2130</v>
      </c>
      <c r="D1246" s="23" t="s">
        <v>948</v>
      </c>
      <c r="E1246" s="23" t="s">
        <v>949</v>
      </c>
      <c r="F1246" s="23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22.5" customHeight="1">
      <c r="A1247" s="23" t="s">
        <v>2142</v>
      </c>
      <c r="B1247" s="23" t="s">
        <v>842</v>
      </c>
      <c r="C1247" s="23" t="s">
        <v>2130</v>
      </c>
      <c r="D1247" s="23" t="s">
        <v>948</v>
      </c>
      <c r="E1247" s="23" t="s">
        <v>949</v>
      </c>
      <c r="F1247" s="23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22.5" customHeight="1">
      <c r="A1248" s="23" t="s">
        <v>2143</v>
      </c>
      <c r="B1248" s="23" t="s">
        <v>844</v>
      </c>
      <c r="C1248" s="23" t="s">
        <v>2130</v>
      </c>
      <c r="D1248" s="23" t="s">
        <v>948</v>
      </c>
      <c r="E1248" s="23" t="s">
        <v>949</v>
      </c>
      <c r="F1248" s="23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22.5" customHeight="1">
      <c r="A1249" s="23" t="s">
        <v>2144</v>
      </c>
      <c r="B1249" s="23" t="s">
        <v>846</v>
      </c>
      <c r="C1249" s="23" t="s">
        <v>2130</v>
      </c>
      <c r="D1249" s="23" t="s">
        <v>948</v>
      </c>
      <c r="E1249" s="23" t="s">
        <v>949</v>
      </c>
      <c r="F1249" s="23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22.5" customHeight="1">
      <c r="A1250" s="23" t="s">
        <v>2145</v>
      </c>
      <c r="B1250" s="23" t="s">
        <v>848</v>
      </c>
      <c r="C1250" s="23" t="s">
        <v>2130</v>
      </c>
      <c r="D1250" s="23" t="s">
        <v>948</v>
      </c>
      <c r="E1250" s="23" t="s">
        <v>949</v>
      </c>
      <c r="F1250" s="23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22.5" customHeight="1">
      <c r="A1251" s="23" t="s">
        <v>2146</v>
      </c>
      <c r="B1251" s="23" t="s">
        <v>850</v>
      </c>
      <c r="C1251" s="23" t="s">
        <v>2130</v>
      </c>
      <c r="D1251" s="23" t="s">
        <v>948</v>
      </c>
      <c r="E1251" s="23" t="s">
        <v>949</v>
      </c>
      <c r="F1251" s="23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22.5" customHeight="1">
      <c r="A1252" s="23" t="s">
        <v>2147</v>
      </c>
      <c r="B1252" s="23" t="s">
        <v>853</v>
      </c>
      <c r="C1252" s="23" t="s">
        <v>2130</v>
      </c>
      <c r="D1252" s="23" t="s">
        <v>948</v>
      </c>
      <c r="E1252" s="23" t="s">
        <v>949</v>
      </c>
      <c r="F1252" s="23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22.5" customHeight="1">
      <c r="A1253" s="23" t="s">
        <v>2148</v>
      </c>
      <c r="B1253" s="23" t="s">
        <v>855</v>
      </c>
      <c r="C1253" s="23" t="s">
        <v>2130</v>
      </c>
      <c r="D1253" s="23" t="s">
        <v>948</v>
      </c>
      <c r="E1253" s="23" t="s">
        <v>949</v>
      </c>
      <c r="F1253" s="23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22.5" customHeight="1">
      <c r="A1254" s="23" t="s">
        <v>2149</v>
      </c>
      <c r="B1254" s="23" t="s">
        <v>857</v>
      </c>
      <c r="C1254" s="23" t="s">
        <v>2130</v>
      </c>
      <c r="D1254" s="23" t="s">
        <v>948</v>
      </c>
      <c r="E1254" s="23" t="s">
        <v>949</v>
      </c>
      <c r="F1254" s="23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22.5" customHeight="1">
      <c r="A1255" s="23" t="s">
        <v>2150</v>
      </c>
      <c r="B1255" s="23" t="s">
        <v>860</v>
      </c>
      <c r="C1255" s="23" t="s">
        <v>2130</v>
      </c>
      <c r="D1255" s="23" t="s">
        <v>948</v>
      </c>
      <c r="E1255" s="23" t="s">
        <v>971</v>
      </c>
      <c r="F1255" s="23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22.5" customHeight="1">
      <c r="A1256" s="23" t="s">
        <v>2151</v>
      </c>
      <c r="B1256" s="23" t="s">
        <v>862</v>
      </c>
      <c r="C1256" s="23" t="s">
        <v>2130</v>
      </c>
      <c r="D1256" s="23" t="s">
        <v>948</v>
      </c>
      <c r="E1256" s="23" t="s">
        <v>949</v>
      </c>
      <c r="F1256" s="23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22.5" customHeight="1">
      <c r="A1257" s="23" t="s">
        <v>2152</v>
      </c>
      <c r="B1257" s="23" t="s">
        <v>865</v>
      </c>
      <c r="C1257" s="23" t="s">
        <v>2130</v>
      </c>
      <c r="D1257" s="23" t="s">
        <v>948</v>
      </c>
      <c r="E1257" s="23" t="s">
        <v>949</v>
      </c>
      <c r="F1257" s="23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22.5" customHeight="1">
      <c r="A1258" s="23" t="s">
        <v>2153</v>
      </c>
      <c r="B1258" s="23" t="s">
        <v>867</v>
      </c>
      <c r="C1258" s="23" t="s">
        <v>2130</v>
      </c>
      <c r="D1258" s="23" t="s">
        <v>948</v>
      </c>
      <c r="E1258" s="23" t="s">
        <v>949</v>
      </c>
      <c r="F1258" s="23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22.5" customHeight="1">
      <c r="A1259" s="23" t="s">
        <v>2154</v>
      </c>
      <c r="B1259" s="23" t="s">
        <v>869</v>
      </c>
      <c r="C1259" s="23" t="s">
        <v>2130</v>
      </c>
      <c r="D1259" s="23" t="s">
        <v>948</v>
      </c>
      <c r="E1259" s="23" t="s">
        <v>949</v>
      </c>
      <c r="F1259" s="23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22.5" customHeight="1">
      <c r="A1260" s="23" t="s">
        <v>2155</v>
      </c>
      <c r="B1260" s="23" t="s">
        <v>871</v>
      </c>
      <c r="C1260" s="23" t="s">
        <v>2130</v>
      </c>
      <c r="D1260" s="23" t="s">
        <v>948</v>
      </c>
      <c r="E1260" s="23" t="s">
        <v>949</v>
      </c>
      <c r="F1260" s="23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22.5" customHeight="1">
      <c r="A1261" s="23" t="s">
        <v>2156</v>
      </c>
      <c r="B1261" s="23" t="s">
        <v>876</v>
      </c>
      <c r="C1261" s="23" t="s">
        <v>2130</v>
      </c>
      <c r="D1261" s="23" t="s">
        <v>948</v>
      </c>
      <c r="E1261" s="23" t="s">
        <v>949</v>
      </c>
      <c r="F1261" s="23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22.5" customHeight="1">
      <c r="A1262" s="23" t="s">
        <v>2157</v>
      </c>
      <c r="B1262" s="23" t="s">
        <v>879</v>
      </c>
      <c r="C1262" s="23" t="s">
        <v>2130</v>
      </c>
      <c r="D1262" s="23" t="s">
        <v>948</v>
      </c>
      <c r="E1262" s="23" t="s">
        <v>949</v>
      </c>
      <c r="F1262" s="23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22.5" customHeight="1">
      <c r="A1263" s="23" t="s">
        <v>2158</v>
      </c>
      <c r="B1263" s="23" t="s">
        <v>881</v>
      </c>
      <c r="C1263" s="23" t="s">
        <v>2130</v>
      </c>
      <c r="D1263" s="23" t="s">
        <v>948</v>
      </c>
      <c r="E1263" s="23" t="s">
        <v>949</v>
      </c>
      <c r="F1263" s="23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22.5" customHeight="1">
      <c r="A1264" s="23" t="s">
        <v>2159</v>
      </c>
      <c r="B1264" s="23" t="s">
        <v>883</v>
      </c>
      <c r="C1264" s="23" t="s">
        <v>2130</v>
      </c>
      <c r="D1264" s="23" t="s">
        <v>948</v>
      </c>
      <c r="E1264" s="23" t="s">
        <v>971</v>
      </c>
      <c r="F1264" s="23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22.5" customHeight="1">
      <c r="A1265" s="23" t="s">
        <v>2160</v>
      </c>
      <c r="B1265" s="23" t="s">
        <v>885</v>
      </c>
      <c r="C1265" s="23" t="s">
        <v>2130</v>
      </c>
      <c r="D1265" s="23" t="s">
        <v>948</v>
      </c>
      <c r="E1265" s="23" t="s">
        <v>949</v>
      </c>
      <c r="F1265" s="23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22.5" customHeight="1">
      <c r="A1266" s="23" t="s">
        <v>2161</v>
      </c>
      <c r="B1266" s="23" t="s">
        <v>887</v>
      </c>
      <c r="C1266" s="23" t="s">
        <v>2130</v>
      </c>
      <c r="D1266" s="23" t="s">
        <v>948</v>
      </c>
      <c r="E1266" s="23" t="s">
        <v>949</v>
      </c>
      <c r="F1266" s="23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22.5" customHeight="1">
      <c r="A1267" s="23" t="s">
        <v>2162</v>
      </c>
      <c r="B1267" s="23" t="s">
        <v>892</v>
      </c>
      <c r="C1267" s="23" t="s">
        <v>2130</v>
      </c>
      <c r="D1267" s="23" t="s">
        <v>948</v>
      </c>
      <c r="E1267" s="23" t="s">
        <v>949</v>
      </c>
      <c r="F1267" s="23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22.5" customHeight="1">
      <c r="A1268" s="23" t="s">
        <v>2163</v>
      </c>
      <c r="B1268" s="23" t="s">
        <v>935</v>
      </c>
      <c r="C1268" s="23" t="s">
        <v>2130</v>
      </c>
      <c r="D1268" s="23" t="s">
        <v>948</v>
      </c>
      <c r="E1268" s="23" t="s">
        <v>949</v>
      </c>
      <c r="F1268" s="23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22.5" customHeight="1">
      <c r="A1269" s="23" t="s">
        <v>2164</v>
      </c>
      <c r="B1269" s="23" t="s">
        <v>895</v>
      </c>
      <c r="C1269" s="23" t="s">
        <v>2130</v>
      </c>
      <c r="D1269" s="23" t="s">
        <v>948</v>
      </c>
      <c r="E1269" s="23" t="s">
        <v>949</v>
      </c>
      <c r="F1269" s="23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22.5" customHeight="1">
      <c r="A1270" s="23" t="s">
        <v>2165</v>
      </c>
      <c r="B1270" s="23" t="s">
        <v>897</v>
      </c>
      <c r="C1270" s="23" t="s">
        <v>2130</v>
      </c>
      <c r="D1270" s="23" t="s">
        <v>948</v>
      </c>
      <c r="E1270" s="23" t="s">
        <v>949</v>
      </c>
      <c r="F1270" s="23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22.5" customHeight="1">
      <c r="A1271" s="23" t="s">
        <v>2166</v>
      </c>
      <c r="B1271" s="23" t="s">
        <v>889</v>
      </c>
      <c r="C1271" s="23" t="s">
        <v>2130</v>
      </c>
      <c r="D1271" s="23" t="s">
        <v>948</v>
      </c>
      <c r="E1271" s="23" t="s">
        <v>971</v>
      </c>
      <c r="F1271" s="23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22.5" customHeight="1">
      <c r="A1272" s="23" t="s">
        <v>2167</v>
      </c>
      <c r="B1272" s="23" t="s">
        <v>899</v>
      </c>
      <c r="C1272" s="23" t="s">
        <v>2130</v>
      </c>
      <c r="D1272" s="23" t="s">
        <v>948</v>
      </c>
      <c r="E1272" s="23" t="s">
        <v>949</v>
      </c>
      <c r="F1272" s="23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22.5" customHeight="1">
      <c r="A1273" s="23" t="s">
        <v>2168</v>
      </c>
      <c r="B1273" s="23" t="s">
        <v>901</v>
      </c>
      <c r="C1273" s="23" t="s">
        <v>2130</v>
      </c>
      <c r="D1273" s="23" t="s">
        <v>948</v>
      </c>
      <c r="E1273" s="23" t="s">
        <v>949</v>
      </c>
      <c r="F1273" s="23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22.5" customHeight="1">
      <c r="A1274" s="23" t="s">
        <v>2169</v>
      </c>
      <c r="B1274" s="23" t="s">
        <v>904</v>
      </c>
      <c r="C1274" s="23" t="s">
        <v>2130</v>
      </c>
      <c r="D1274" s="23" t="s">
        <v>948</v>
      </c>
      <c r="E1274" s="23" t="s">
        <v>949</v>
      </c>
      <c r="F1274" s="23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22.5" customHeight="1">
      <c r="A1275" s="23" t="s">
        <v>2170</v>
      </c>
      <c r="B1275" s="23" t="s">
        <v>906</v>
      </c>
      <c r="C1275" s="23" t="s">
        <v>2130</v>
      </c>
      <c r="D1275" s="23" t="s">
        <v>948</v>
      </c>
      <c r="E1275" s="23" t="s">
        <v>949</v>
      </c>
      <c r="F1275" s="23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22.5" customHeight="1">
      <c r="A1276" s="23" t="s">
        <v>2171</v>
      </c>
      <c r="B1276" s="23" t="s">
        <v>908</v>
      </c>
      <c r="C1276" s="23" t="s">
        <v>2130</v>
      </c>
      <c r="D1276" s="23" t="s">
        <v>948</v>
      </c>
      <c r="E1276" s="23" t="s">
        <v>949</v>
      </c>
      <c r="F1276" s="23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22.5" customHeight="1">
      <c r="A1277" s="23" t="s">
        <v>2172</v>
      </c>
      <c r="B1277" s="23" t="s">
        <v>936</v>
      </c>
      <c r="C1277" s="23" t="s">
        <v>2130</v>
      </c>
      <c r="D1277" s="23" t="s">
        <v>948</v>
      </c>
      <c r="E1277" s="23" t="s">
        <v>949</v>
      </c>
      <c r="F1277" s="23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22.5" customHeight="1">
      <c r="A1278" s="23" t="s">
        <v>2173</v>
      </c>
      <c r="B1278" s="23" t="s">
        <v>910</v>
      </c>
      <c r="C1278" s="23" t="s">
        <v>2130</v>
      </c>
      <c r="D1278" s="23" t="s">
        <v>948</v>
      </c>
      <c r="E1278" s="23" t="s">
        <v>949</v>
      </c>
      <c r="F1278" s="23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22.5" customHeight="1">
      <c r="A1279" s="23" t="s">
        <v>2174</v>
      </c>
      <c r="B1279" s="23" t="s">
        <v>937</v>
      </c>
      <c r="C1279" s="23" t="s">
        <v>2130</v>
      </c>
      <c r="D1279" s="23" t="s">
        <v>948</v>
      </c>
      <c r="E1279" s="23" t="s">
        <v>949</v>
      </c>
      <c r="F1279" s="23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22.5" customHeight="1">
      <c r="A1280" s="23" t="s">
        <v>2175</v>
      </c>
      <c r="B1280" s="23" t="s">
        <v>912</v>
      </c>
      <c r="C1280" s="23" t="s">
        <v>2130</v>
      </c>
      <c r="D1280" s="23" t="s">
        <v>948</v>
      </c>
      <c r="E1280" s="23" t="s">
        <v>949</v>
      </c>
      <c r="F1280" s="23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22.5" customHeight="1">
      <c r="A1281" s="23" t="s">
        <v>2176</v>
      </c>
      <c r="B1281" s="23" t="s">
        <v>938</v>
      </c>
      <c r="C1281" s="23" t="s">
        <v>2130</v>
      </c>
      <c r="D1281" s="23" t="s">
        <v>948</v>
      </c>
      <c r="E1281" s="23" t="s">
        <v>949</v>
      </c>
      <c r="F1281" s="23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22.5" customHeight="1">
      <c r="A1282" s="23" t="s">
        <v>2177</v>
      </c>
      <c r="B1282" s="23" t="s">
        <v>914</v>
      </c>
      <c r="C1282" s="23" t="s">
        <v>2130</v>
      </c>
      <c r="D1282" s="23" t="s">
        <v>948</v>
      </c>
      <c r="E1282" s="23" t="s">
        <v>949</v>
      </c>
      <c r="F1282" s="23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22.5" customHeight="1">
      <c r="A1283" s="23" t="s">
        <v>2178</v>
      </c>
      <c r="B1283" s="23" t="s">
        <v>939</v>
      </c>
      <c r="C1283" s="23" t="s">
        <v>2130</v>
      </c>
      <c r="D1283" s="23" t="s">
        <v>948</v>
      </c>
      <c r="E1283" s="23" t="s">
        <v>949</v>
      </c>
      <c r="F1283" s="23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22.5" customHeight="1">
      <c r="A1284" s="23" t="s">
        <v>2179</v>
      </c>
      <c r="B1284" s="23" t="s">
        <v>917</v>
      </c>
      <c r="C1284" s="23" t="s">
        <v>2130</v>
      </c>
      <c r="D1284" s="23" t="s">
        <v>948</v>
      </c>
      <c r="E1284" s="23" t="s">
        <v>949</v>
      </c>
      <c r="F1284" s="23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22.5" customHeight="1">
      <c r="A1285" s="23" t="s">
        <v>2180</v>
      </c>
      <c r="B1285" s="23" t="s">
        <v>873</v>
      </c>
      <c r="C1285" s="23" t="s">
        <v>2130</v>
      </c>
      <c r="D1285" s="23" t="s">
        <v>948</v>
      </c>
      <c r="E1285" s="23" t="s">
        <v>949</v>
      </c>
      <c r="F1285" s="23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22.5" customHeight="1">
      <c r="A1286" s="23" t="s">
        <v>2181</v>
      </c>
      <c r="B1286" s="23" t="s">
        <v>920</v>
      </c>
      <c r="C1286" s="23" t="s">
        <v>2130</v>
      </c>
      <c r="D1286" s="23" t="s">
        <v>948</v>
      </c>
      <c r="E1286" s="23" t="s">
        <v>971</v>
      </c>
      <c r="F1286" s="23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22.5" customHeight="1">
      <c r="A1287" s="23" t="s">
        <v>2182</v>
      </c>
      <c r="B1287" s="23" t="s">
        <v>923</v>
      </c>
      <c r="C1287" s="23" t="s">
        <v>2130</v>
      </c>
      <c r="D1287" s="23" t="s">
        <v>948</v>
      </c>
      <c r="E1287" s="23" t="s">
        <v>949</v>
      </c>
      <c r="F1287" s="23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22.5" customHeight="1">
      <c r="A1288" s="23" t="s">
        <v>2183</v>
      </c>
      <c r="B1288" s="23" t="s">
        <v>926</v>
      </c>
      <c r="C1288" s="23" t="s">
        <v>2130</v>
      </c>
      <c r="D1288" s="23" t="s">
        <v>948</v>
      </c>
      <c r="E1288" s="23" t="s">
        <v>949</v>
      </c>
      <c r="F1288" s="23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22.5" customHeight="1">
      <c r="A1289" s="23" t="s">
        <v>2184</v>
      </c>
      <c r="B1289" s="23" t="s">
        <v>929</v>
      </c>
      <c r="C1289" s="23" t="s">
        <v>2130</v>
      </c>
      <c r="D1289" s="23" t="s">
        <v>948</v>
      </c>
      <c r="E1289" s="23" t="s">
        <v>949</v>
      </c>
      <c r="F1289" s="23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22.5" customHeight="1">
      <c r="A1290" s="23" t="s">
        <v>2185</v>
      </c>
      <c r="B1290" s="23" t="s">
        <v>932</v>
      </c>
      <c r="C1290" s="23" t="s">
        <v>2130</v>
      </c>
      <c r="D1290" s="23" t="s">
        <v>948</v>
      </c>
      <c r="E1290" s="23" t="s">
        <v>949</v>
      </c>
      <c r="F1290" s="23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22.5" customHeight="1">
      <c r="A1291" s="23" t="s">
        <v>2186</v>
      </c>
      <c r="B1291" s="23" t="s">
        <v>934</v>
      </c>
      <c r="C1291" s="23" t="s">
        <v>2130</v>
      </c>
      <c r="D1291" s="23" t="s">
        <v>948</v>
      </c>
      <c r="E1291" s="23" t="s">
        <v>949</v>
      </c>
      <c r="F1291" s="23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22.5" customHeight="1">
      <c r="A1292" s="23" t="s">
        <v>2187</v>
      </c>
      <c r="B1292" s="23" t="s">
        <v>942</v>
      </c>
      <c r="C1292" s="23" t="s">
        <v>2130</v>
      </c>
      <c r="D1292" s="23" t="s">
        <v>948</v>
      </c>
      <c r="E1292" s="23" t="s">
        <v>949</v>
      </c>
      <c r="F1292" s="23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22.5" customHeight="1">
      <c r="A1293" s="23" t="s">
        <v>2188</v>
      </c>
      <c r="B1293" s="23" t="s">
        <v>123</v>
      </c>
      <c r="C1293" s="23" t="s">
        <v>2189</v>
      </c>
      <c r="D1293" s="23" t="s">
        <v>948</v>
      </c>
      <c r="E1293" s="23" t="s">
        <v>971</v>
      </c>
      <c r="F1293" s="23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22.5" customHeight="1">
      <c r="A1294" s="23" t="s">
        <v>2190</v>
      </c>
      <c r="B1294" s="23" t="s">
        <v>131</v>
      </c>
      <c r="C1294" s="23" t="s">
        <v>2189</v>
      </c>
      <c r="D1294" s="23" t="s">
        <v>948</v>
      </c>
      <c r="E1294" s="23" t="s">
        <v>971</v>
      </c>
      <c r="F1294" s="23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22.5" customHeight="1">
      <c r="A1295" s="23" t="s">
        <v>2191</v>
      </c>
      <c r="B1295" s="23" t="s">
        <v>137</v>
      </c>
      <c r="C1295" s="23" t="s">
        <v>2189</v>
      </c>
      <c r="D1295" s="23" t="s">
        <v>948</v>
      </c>
      <c r="E1295" s="23" t="s">
        <v>949</v>
      </c>
      <c r="F1295" s="23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22.5" customHeight="1">
      <c r="A1296" s="23" t="s">
        <v>2192</v>
      </c>
      <c r="B1296" s="23" t="s">
        <v>144</v>
      </c>
      <c r="C1296" s="23" t="s">
        <v>2189</v>
      </c>
      <c r="D1296" s="23" t="s">
        <v>948</v>
      </c>
      <c r="E1296" s="23" t="s">
        <v>949</v>
      </c>
      <c r="F1296" s="23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22.5" customHeight="1">
      <c r="A1297" s="23" t="s">
        <v>2193</v>
      </c>
      <c r="B1297" s="23" t="s">
        <v>151</v>
      </c>
      <c r="C1297" s="23" t="s">
        <v>2189</v>
      </c>
      <c r="D1297" s="23" t="s">
        <v>948</v>
      </c>
      <c r="E1297" s="23" t="s">
        <v>949</v>
      </c>
      <c r="F1297" s="23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22.5" customHeight="1">
      <c r="A1298" s="23" t="s">
        <v>2194</v>
      </c>
      <c r="B1298" s="23" t="s">
        <v>734</v>
      </c>
      <c r="C1298" s="23" t="s">
        <v>2189</v>
      </c>
      <c r="D1298" s="23" t="s">
        <v>948</v>
      </c>
      <c r="E1298" s="23" t="s">
        <v>971</v>
      </c>
      <c r="F1298" s="23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22.5" customHeight="1">
      <c r="A1299" s="23" t="s">
        <v>2195</v>
      </c>
      <c r="B1299" s="23" t="s">
        <v>831</v>
      </c>
      <c r="C1299" s="23" t="s">
        <v>2189</v>
      </c>
      <c r="D1299" s="23" t="s">
        <v>948</v>
      </c>
      <c r="E1299" s="23" t="s">
        <v>949</v>
      </c>
      <c r="F1299" s="23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22.5" customHeight="1">
      <c r="A1300" s="23" t="s">
        <v>2196</v>
      </c>
      <c r="B1300" s="23" t="s">
        <v>833</v>
      </c>
      <c r="C1300" s="23" t="s">
        <v>2189</v>
      </c>
      <c r="D1300" s="23" t="s">
        <v>948</v>
      </c>
      <c r="E1300" s="23" t="s">
        <v>949</v>
      </c>
      <c r="F1300" s="23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22.5" customHeight="1">
      <c r="A1301" s="23" t="s">
        <v>2197</v>
      </c>
      <c r="B1301" s="23" t="s">
        <v>811</v>
      </c>
      <c r="C1301" s="23" t="s">
        <v>2189</v>
      </c>
      <c r="D1301" s="23" t="s">
        <v>948</v>
      </c>
      <c r="E1301" s="23" t="s">
        <v>949</v>
      </c>
      <c r="F1301" s="23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22.5" customHeight="1">
      <c r="A1302" s="23" t="s">
        <v>2198</v>
      </c>
      <c r="B1302" s="23" t="s">
        <v>838</v>
      </c>
      <c r="C1302" s="23" t="s">
        <v>2189</v>
      </c>
      <c r="D1302" s="23" t="s">
        <v>948</v>
      </c>
      <c r="E1302" s="23" t="s">
        <v>949</v>
      </c>
      <c r="F1302" s="23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22.5" customHeight="1">
      <c r="A1303" s="23" t="s">
        <v>2199</v>
      </c>
      <c r="B1303" s="23" t="s">
        <v>840</v>
      </c>
      <c r="C1303" s="23" t="s">
        <v>2189</v>
      </c>
      <c r="D1303" s="23" t="s">
        <v>948</v>
      </c>
      <c r="E1303" s="23" t="s">
        <v>949</v>
      </c>
      <c r="F1303" s="23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22.5" customHeight="1">
      <c r="A1304" s="23" t="s">
        <v>2200</v>
      </c>
      <c r="B1304" s="23" t="s">
        <v>842</v>
      </c>
      <c r="C1304" s="23" t="s">
        <v>2189</v>
      </c>
      <c r="D1304" s="23" t="s">
        <v>948</v>
      </c>
      <c r="E1304" s="23" t="s">
        <v>949</v>
      </c>
      <c r="F1304" s="23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22.5" customHeight="1">
      <c r="A1305" s="23" t="s">
        <v>2201</v>
      </c>
      <c r="B1305" s="23" t="s">
        <v>844</v>
      </c>
      <c r="C1305" s="23" t="s">
        <v>2189</v>
      </c>
      <c r="D1305" s="23" t="s">
        <v>948</v>
      </c>
      <c r="E1305" s="23" t="s">
        <v>949</v>
      </c>
      <c r="F1305" s="23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22.5" customHeight="1">
      <c r="A1306" s="23" t="s">
        <v>2202</v>
      </c>
      <c r="B1306" s="23" t="s">
        <v>846</v>
      </c>
      <c r="C1306" s="23" t="s">
        <v>2189</v>
      </c>
      <c r="D1306" s="23" t="s">
        <v>948</v>
      </c>
      <c r="E1306" s="23" t="s">
        <v>971</v>
      </c>
      <c r="F1306" s="23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22.5" customHeight="1">
      <c r="A1307" s="23" t="s">
        <v>2203</v>
      </c>
      <c r="B1307" s="23" t="s">
        <v>848</v>
      </c>
      <c r="C1307" s="23" t="s">
        <v>2189</v>
      </c>
      <c r="D1307" s="23" t="s">
        <v>948</v>
      </c>
      <c r="E1307" s="23" t="s">
        <v>949</v>
      </c>
      <c r="F1307" s="23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22.5" customHeight="1">
      <c r="A1308" s="23" t="s">
        <v>2204</v>
      </c>
      <c r="B1308" s="23" t="s">
        <v>850</v>
      </c>
      <c r="C1308" s="23" t="s">
        <v>2189</v>
      </c>
      <c r="D1308" s="23" t="s">
        <v>948</v>
      </c>
      <c r="E1308" s="23" t="s">
        <v>949</v>
      </c>
      <c r="F1308" s="23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22.5" customHeight="1">
      <c r="A1309" s="23" t="s">
        <v>2205</v>
      </c>
      <c r="B1309" s="23" t="s">
        <v>853</v>
      </c>
      <c r="C1309" s="23" t="s">
        <v>2189</v>
      </c>
      <c r="D1309" s="23" t="s">
        <v>948</v>
      </c>
      <c r="E1309" s="23" t="s">
        <v>949</v>
      </c>
      <c r="F1309" s="23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22.5" customHeight="1">
      <c r="A1310" s="23" t="s">
        <v>2206</v>
      </c>
      <c r="B1310" s="23" t="s">
        <v>855</v>
      </c>
      <c r="C1310" s="23" t="s">
        <v>2189</v>
      </c>
      <c r="D1310" s="23" t="s">
        <v>948</v>
      </c>
      <c r="E1310" s="23" t="s">
        <v>949</v>
      </c>
      <c r="F1310" s="23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22.5" customHeight="1">
      <c r="A1311" s="23" t="s">
        <v>2207</v>
      </c>
      <c r="B1311" s="23" t="s">
        <v>857</v>
      </c>
      <c r="C1311" s="23" t="s">
        <v>2189</v>
      </c>
      <c r="D1311" s="23" t="s">
        <v>948</v>
      </c>
      <c r="E1311" s="23" t="s">
        <v>949</v>
      </c>
      <c r="F1311" s="23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22.5" customHeight="1">
      <c r="A1312" s="23" t="s">
        <v>2208</v>
      </c>
      <c r="B1312" s="23" t="s">
        <v>860</v>
      </c>
      <c r="C1312" s="23" t="s">
        <v>2189</v>
      </c>
      <c r="D1312" s="23" t="s">
        <v>948</v>
      </c>
      <c r="E1312" s="23" t="s">
        <v>949</v>
      </c>
      <c r="F1312" s="23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22.5" customHeight="1">
      <c r="A1313" s="23" t="s">
        <v>2209</v>
      </c>
      <c r="B1313" s="23" t="s">
        <v>862</v>
      </c>
      <c r="C1313" s="23" t="s">
        <v>2189</v>
      </c>
      <c r="D1313" s="23" t="s">
        <v>948</v>
      </c>
      <c r="E1313" s="23" t="s">
        <v>949</v>
      </c>
      <c r="F1313" s="23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22.5" customHeight="1">
      <c r="A1314" s="23" t="s">
        <v>2210</v>
      </c>
      <c r="B1314" s="23" t="s">
        <v>865</v>
      </c>
      <c r="C1314" s="23" t="s">
        <v>2189</v>
      </c>
      <c r="D1314" s="23" t="s">
        <v>948</v>
      </c>
      <c r="E1314" s="23" t="s">
        <v>949</v>
      </c>
      <c r="F1314" s="23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22.5" customHeight="1">
      <c r="A1315" s="23" t="s">
        <v>2211</v>
      </c>
      <c r="B1315" s="23" t="s">
        <v>867</v>
      </c>
      <c r="C1315" s="23" t="s">
        <v>2189</v>
      </c>
      <c r="D1315" s="23" t="s">
        <v>948</v>
      </c>
      <c r="E1315" s="23" t="s">
        <v>949</v>
      </c>
      <c r="F1315" s="23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22.5" customHeight="1">
      <c r="A1316" s="23" t="s">
        <v>2212</v>
      </c>
      <c r="B1316" s="23" t="s">
        <v>869</v>
      </c>
      <c r="C1316" s="23" t="s">
        <v>2189</v>
      </c>
      <c r="D1316" s="23" t="s">
        <v>948</v>
      </c>
      <c r="E1316" s="23" t="s">
        <v>949</v>
      </c>
      <c r="F1316" s="23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22.5" customHeight="1">
      <c r="A1317" s="23" t="s">
        <v>2213</v>
      </c>
      <c r="B1317" s="23" t="s">
        <v>871</v>
      </c>
      <c r="C1317" s="23" t="s">
        <v>2189</v>
      </c>
      <c r="D1317" s="23" t="s">
        <v>948</v>
      </c>
      <c r="E1317" s="23" t="s">
        <v>949</v>
      </c>
      <c r="F1317" s="23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22.5" customHeight="1">
      <c r="A1318" s="23" t="s">
        <v>2214</v>
      </c>
      <c r="B1318" s="23" t="s">
        <v>876</v>
      </c>
      <c r="C1318" s="23" t="s">
        <v>2189</v>
      </c>
      <c r="D1318" s="23" t="s">
        <v>948</v>
      </c>
      <c r="E1318" s="23" t="s">
        <v>949</v>
      </c>
      <c r="F1318" s="23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22.5" customHeight="1">
      <c r="A1319" s="23" t="s">
        <v>2215</v>
      </c>
      <c r="B1319" s="23" t="s">
        <v>879</v>
      </c>
      <c r="C1319" s="23" t="s">
        <v>2189</v>
      </c>
      <c r="D1319" s="23" t="s">
        <v>948</v>
      </c>
      <c r="E1319" s="23" t="s">
        <v>949</v>
      </c>
      <c r="F1319" s="23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22.5" customHeight="1">
      <c r="A1320" s="23" t="s">
        <v>2216</v>
      </c>
      <c r="B1320" s="23" t="s">
        <v>881</v>
      </c>
      <c r="C1320" s="23" t="s">
        <v>2189</v>
      </c>
      <c r="D1320" s="23" t="s">
        <v>948</v>
      </c>
      <c r="E1320" s="23" t="s">
        <v>949</v>
      </c>
      <c r="F1320" s="23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22.5" customHeight="1">
      <c r="A1321" s="23" t="s">
        <v>2217</v>
      </c>
      <c r="B1321" s="23" t="s">
        <v>883</v>
      </c>
      <c r="C1321" s="23" t="s">
        <v>2189</v>
      </c>
      <c r="D1321" s="23" t="s">
        <v>948</v>
      </c>
      <c r="E1321" s="23" t="s">
        <v>949</v>
      </c>
      <c r="F1321" s="23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22.5" customHeight="1">
      <c r="A1322" s="23" t="s">
        <v>2218</v>
      </c>
      <c r="B1322" s="23" t="s">
        <v>885</v>
      </c>
      <c r="C1322" s="23" t="s">
        <v>2189</v>
      </c>
      <c r="D1322" s="23" t="s">
        <v>948</v>
      </c>
      <c r="E1322" s="23" t="s">
        <v>971</v>
      </c>
      <c r="F1322" s="23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22.5" customHeight="1">
      <c r="A1323" s="23" t="s">
        <v>2219</v>
      </c>
      <c r="B1323" s="23" t="s">
        <v>887</v>
      </c>
      <c r="C1323" s="23" t="s">
        <v>2189</v>
      </c>
      <c r="D1323" s="23" t="s">
        <v>948</v>
      </c>
      <c r="E1323" s="23" t="s">
        <v>949</v>
      </c>
      <c r="F1323" s="23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22.5" customHeight="1">
      <c r="A1324" s="23" t="s">
        <v>2220</v>
      </c>
      <c r="B1324" s="23" t="s">
        <v>892</v>
      </c>
      <c r="C1324" s="23" t="s">
        <v>2189</v>
      </c>
      <c r="D1324" s="23" t="s">
        <v>948</v>
      </c>
      <c r="E1324" s="23" t="s">
        <v>949</v>
      </c>
      <c r="F1324" s="23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22.5" customHeight="1">
      <c r="A1325" s="23" t="s">
        <v>2221</v>
      </c>
      <c r="B1325" s="23" t="s">
        <v>935</v>
      </c>
      <c r="C1325" s="23" t="s">
        <v>2189</v>
      </c>
      <c r="D1325" s="23" t="s">
        <v>948</v>
      </c>
      <c r="E1325" s="23" t="s">
        <v>949</v>
      </c>
      <c r="F1325" s="23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22.5" customHeight="1">
      <c r="A1326" s="23" t="s">
        <v>2222</v>
      </c>
      <c r="B1326" s="23" t="s">
        <v>895</v>
      </c>
      <c r="C1326" s="23" t="s">
        <v>2189</v>
      </c>
      <c r="D1326" s="23" t="s">
        <v>948</v>
      </c>
      <c r="E1326" s="23" t="s">
        <v>949</v>
      </c>
      <c r="F1326" s="23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22.5" customHeight="1">
      <c r="A1327" s="23" t="s">
        <v>2223</v>
      </c>
      <c r="B1327" s="23" t="s">
        <v>897</v>
      </c>
      <c r="C1327" s="23" t="s">
        <v>2189</v>
      </c>
      <c r="D1327" s="23" t="s">
        <v>948</v>
      </c>
      <c r="E1327" s="23" t="s">
        <v>949</v>
      </c>
      <c r="F1327" s="23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22.5" customHeight="1">
      <c r="A1328" s="23" t="s">
        <v>2224</v>
      </c>
      <c r="B1328" s="23" t="s">
        <v>889</v>
      </c>
      <c r="C1328" s="23" t="s">
        <v>2189</v>
      </c>
      <c r="D1328" s="23" t="s">
        <v>948</v>
      </c>
      <c r="E1328" s="23" t="s">
        <v>949</v>
      </c>
      <c r="F1328" s="23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22.5" customHeight="1">
      <c r="A1329" s="23" t="s">
        <v>2225</v>
      </c>
      <c r="B1329" s="23" t="s">
        <v>899</v>
      </c>
      <c r="C1329" s="23" t="s">
        <v>2189</v>
      </c>
      <c r="D1329" s="23" t="s">
        <v>948</v>
      </c>
      <c r="E1329" s="23" t="s">
        <v>949</v>
      </c>
      <c r="F1329" s="23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22.5" customHeight="1">
      <c r="A1330" s="23" t="s">
        <v>2226</v>
      </c>
      <c r="B1330" s="23" t="s">
        <v>901</v>
      </c>
      <c r="C1330" s="23" t="s">
        <v>2189</v>
      </c>
      <c r="D1330" s="23" t="s">
        <v>948</v>
      </c>
      <c r="E1330" s="23" t="s">
        <v>949</v>
      </c>
      <c r="F1330" s="23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22.5" customHeight="1">
      <c r="A1331" s="23" t="s">
        <v>2227</v>
      </c>
      <c r="B1331" s="23" t="s">
        <v>904</v>
      </c>
      <c r="C1331" s="23" t="s">
        <v>2189</v>
      </c>
      <c r="D1331" s="23" t="s">
        <v>948</v>
      </c>
      <c r="E1331" s="23" t="s">
        <v>949</v>
      </c>
      <c r="F1331" s="23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22.5" customHeight="1">
      <c r="A1332" s="23" t="s">
        <v>2228</v>
      </c>
      <c r="B1332" s="23" t="s">
        <v>906</v>
      </c>
      <c r="C1332" s="23" t="s">
        <v>2189</v>
      </c>
      <c r="D1332" s="23" t="s">
        <v>948</v>
      </c>
      <c r="E1332" s="23" t="s">
        <v>949</v>
      </c>
      <c r="F1332" s="23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22.5" customHeight="1">
      <c r="A1333" s="23" t="s">
        <v>2229</v>
      </c>
      <c r="B1333" s="23" t="s">
        <v>908</v>
      </c>
      <c r="C1333" s="23" t="s">
        <v>2189</v>
      </c>
      <c r="D1333" s="23" t="s">
        <v>948</v>
      </c>
      <c r="E1333" s="23" t="s">
        <v>949</v>
      </c>
      <c r="F1333" s="23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22.5" customHeight="1">
      <c r="A1334" s="23" t="s">
        <v>2230</v>
      </c>
      <c r="B1334" s="23" t="s">
        <v>936</v>
      </c>
      <c r="C1334" s="23" t="s">
        <v>2189</v>
      </c>
      <c r="D1334" s="23" t="s">
        <v>948</v>
      </c>
      <c r="E1334" s="23" t="s">
        <v>949</v>
      </c>
      <c r="F1334" s="23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22.5" customHeight="1">
      <c r="A1335" s="23" t="s">
        <v>2231</v>
      </c>
      <c r="B1335" s="23" t="s">
        <v>910</v>
      </c>
      <c r="C1335" s="23" t="s">
        <v>2189</v>
      </c>
      <c r="D1335" s="23" t="s">
        <v>948</v>
      </c>
      <c r="E1335" s="23" t="s">
        <v>949</v>
      </c>
      <c r="F1335" s="23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22.5" customHeight="1">
      <c r="A1336" s="23" t="s">
        <v>2232</v>
      </c>
      <c r="B1336" s="23" t="s">
        <v>937</v>
      </c>
      <c r="C1336" s="23" t="s">
        <v>2189</v>
      </c>
      <c r="D1336" s="23" t="s">
        <v>948</v>
      </c>
      <c r="E1336" s="23" t="s">
        <v>949</v>
      </c>
      <c r="F1336" s="23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22.5" customHeight="1">
      <c r="A1337" s="23" t="s">
        <v>2233</v>
      </c>
      <c r="B1337" s="23" t="s">
        <v>912</v>
      </c>
      <c r="C1337" s="23" t="s">
        <v>2189</v>
      </c>
      <c r="D1337" s="23" t="s">
        <v>948</v>
      </c>
      <c r="E1337" s="23" t="s">
        <v>949</v>
      </c>
      <c r="F1337" s="23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22.5" customHeight="1">
      <c r="A1338" s="23" t="s">
        <v>2234</v>
      </c>
      <c r="B1338" s="23" t="s">
        <v>938</v>
      </c>
      <c r="C1338" s="23" t="s">
        <v>2189</v>
      </c>
      <c r="D1338" s="23" t="s">
        <v>948</v>
      </c>
      <c r="E1338" s="23" t="s">
        <v>949</v>
      </c>
      <c r="F1338" s="23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22.5" customHeight="1">
      <c r="A1339" s="23" t="s">
        <v>2235</v>
      </c>
      <c r="B1339" s="23" t="s">
        <v>914</v>
      </c>
      <c r="C1339" s="23" t="s">
        <v>2189</v>
      </c>
      <c r="D1339" s="23" t="s">
        <v>948</v>
      </c>
      <c r="E1339" s="23" t="s">
        <v>949</v>
      </c>
      <c r="F1339" s="23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22.5" customHeight="1">
      <c r="A1340" s="23" t="s">
        <v>2236</v>
      </c>
      <c r="B1340" s="23" t="s">
        <v>939</v>
      </c>
      <c r="C1340" s="23" t="s">
        <v>2189</v>
      </c>
      <c r="D1340" s="23" t="s">
        <v>948</v>
      </c>
      <c r="E1340" s="23" t="s">
        <v>949</v>
      </c>
      <c r="F1340" s="23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22.5" customHeight="1">
      <c r="A1341" s="23" t="s">
        <v>2237</v>
      </c>
      <c r="B1341" s="23" t="s">
        <v>917</v>
      </c>
      <c r="C1341" s="23" t="s">
        <v>2189</v>
      </c>
      <c r="D1341" s="23" t="s">
        <v>948</v>
      </c>
      <c r="E1341" s="23" t="s">
        <v>949</v>
      </c>
      <c r="F1341" s="23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22.5" customHeight="1">
      <c r="A1342" s="23" t="s">
        <v>2238</v>
      </c>
      <c r="B1342" s="23" t="s">
        <v>873</v>
      </c>
      <c r="C1342" s="23" t="s">
        <v>2189</v>
      </c>
      <c r="D1342" s="23" t="s">
        <v>948</v>
      </c>
      <c r="E1342" s="23" t="s">
        <v>949</v>
      </c>
      <c r="F1342" s="23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22.5" customHeight="1">
      <c r="A1343" s="23" t="s">
        <v>2239</v>
      </c>
      <c r="B1343" s="23" t="s">
        <v>920</v>
      </c>
      <c r="C1343" s="23" t="s">
        <v>2189</v>
      </c>
      <c r="D1343" s="23" t="s">
        <v>948</v>
      </c>
      <c r="E1343" s="23" t="s">
        <v>949</v>
      </c>
      <c r="F1343" s="23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22.5" customHeight="1">
      <c r="A1344" s="23" t="s">
        <v>2240</v>
      </c>
      <c r="B1344" s="23" t="s">
        <v>923</v>
      </c>
      <c r="C1344" s="23" t="s">
        <v>2189</v>
      </c>
      <c r="D1344" s="23" t="s">
        <v>948</v>
      </c>
      <c r="E1344" s="23" t="s">
        <v>949</v>
      </c>
      <c r="F1344" s="23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22.5" customHeight="1">
      <c r="A1345" s="23" t="s">
        <v>2241</v>
      </c>
      <c r="B1345" s="23" t="s">
        <v>926</v>
      </c>
      <c r="C1345" s="23" t="s">
        <v>2189</v>
      </c>
      <c r="D1345" s="23" t="s">
        <v>948</v>
      </c>
      <c r="E1345" s="23" t="s">
        <v>949</v>
      </c>
      <c r="F1345" s="23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22.5" customHeight="1">
      <c r="A1346" s="23" t="s">
        <v>2242</v>
      </c>
      <c r="B1346" s="23" t="s">
        <v>929</v>
      </c>
      <c r="C1346" s="23" t="s">
        <v>2189</v>
      </c>
      <c r="D1346" s="23" t="s">
        <v>948</v>
      </c>
      <c r="E1346" s="23" t="s">
        <v>949</v>
      </c>
      <c r="F1346" s="23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22.5" customHeight="1">
      <c r="A1347" s="23" t="s">
        <v>2243</v>
      </c>
      <c r="B1347" s="23" t="s">
        <v>932</v>
      </c>
      <c r="C1347" s="23" t="s">
        <v>2189</v>
      </c>
      <c r="D1347" s="23" t="s">
        <v>948</v>
      </c>
      <c r="E1347" s="23" t="s">
        <v>949</v>
      </c>
      <c r="F1347" s="23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22.5" customHeight="1">
      <c r="A1348" s="23" t="s">
        <v>2244</v>
      </c>
      <c r="B1348" s="23" t="s">
        <v>934</v>
      </c>
      <c r="C1348" s="23" t="s">
        <v>2189</v>
      </c>
      <c r="D1348" s="23" t="s">
        <v>948</v>
      </c>
      <c r="E1348" s="23" t="s">
        <v>949</v>
      </c>
      <c r="F1348" s="23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22.5" customHeight="1">
      <c r="A1349" s="23" t="s">
        <v>2245</v>
      </c>
      <c r="B1349" s="23" t="s">
        <v>942</v>
      </c>
      <c r="C1349" s="23" t="s">
        <v>2189</v>
      </c>
      <c r="D1349" s="23" t="s">
        <v>948</v>
      </c>
      <c r="E1349" s="23" t="s">
        <v>949</v>
      </c>
      <c r="F1349" s="23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22.5" customHeight="1">
      <c r="A1350" s="23" t="s">
        <v>2246</v>
      </c>
      <c r="B1350" s="23" t="s">
        <v>116</v>
      </c>
      <c r="C1350" s="23" t="s">
        <v>2247</v>
      </c>
      <c r="D1350" s="23" t="s">
        <v>948</v>
      </c>
      <c r="E1350" s="23" t="s">
        <v>949</v>
      </c>
      <c r="F1350" s="23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22.5" customHeight="1">
      <c r="A1351" s="23" t="s">
        <v>2248</v>
      </c>
      <c r="B1351" s="23" t="s">
        <v>123</v>
      </c>
      <c r="C1351" s="23" t="s">
        <v>2247</v>
      </c>
      <c r="D1351" s="23" t="s">
        <v>948</v>
      </c>
      <c r="E1351" s="23" t="s">
        <v>949</v>
      </c>
      <c r="F1351" s="23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22.5" customHeight="1">
      <c r="A1352" s="23" t="s">
        <v>2249</v>
      </c>
      <c r="B1352" s="23" t="s">
        <v>131</v>
      </c>
      <c r="C1352" s="23" t="s">
        <v>2247</v>
      </c>
      <c r="D1352" s="23" t="s">
        <v>948</v>
      </c>
      <c r="E1352" s="23" t="s">
        <v>949</v>
      </c>
      <c r="F1352" s="23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22.5" customHeight="1">
      <c r="A1353" s="23" t="s">
        <v>2250</v>
      </c>
      <c r="B1353" s="23" t="s">
        <v>137</v>
      </c>
      <c r="C1353" s="23" t="s">
        <v>2247</v>
      </c>
      <c r="D1353" s="23" t="s">
        <v>948</v>
      </c>
      <c r="E1353" s="23" t="s">
        <v>949</v>
      </c>
      <c r="F1353" s="23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22.5" customHeight="1">
      <c r="A1354" s="23" t="s">
        <v>2251</v>
      </c>
      <c r="B1354" s="23" t="s">
        <v>144</v>
      </c>
      <c r="C1354" s="23" t="s">
        <v>2247</v>
      </c>
      <c r="D1354" s="23" t="s">
        <v>948</v>
      </c>
      <c r="E1354" s="23" t="s">
        <v>949</v>
      </c>
      <c r="F1354" s="23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22.5" customHeight="1">
      <c r="A1355" s="23" t="s">
        <v>2252</v>
      </c>
      <c r="B1355" s="23" t="s">
        <v>151</v>
      </c>
      <c r="C1355" s="23" t="s">
        <v>2247</v>
      </c>
      <c r="D1355" s="23" t="s">
        <v>948</v>
      </c>
      <c r="E1355" s="23" t="s">
        <v>949</v>
      </c>
      <c r="F1355" s="23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22.5" customHeight="1">
      <c r="A1356" s="23" t="s">
        <v>2253</v>
      </c>
      <c r="B1356" s="23" t="s">
        <v>734</v>
      </c>
      <c r="C1356" s="23" t="s">
        <v>2247</v>
      </c>
      <c r="D1356" s="23" t="s">
        <v>948</v>
      </c>
      <c r="E1356" s="23" t="s">
        <v>949</v>
      </c>
      <c r="F1356" s="23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22.5" customHeight="1">
      <c r="A1357" s="23" t="s">
        <v>2254</v>
      </c>
      <c r="B1357" s="23" t="s">
        <v>831</v>
      </c>
      <c r="C1357" s="23" t="s">
        <v>2247</v>
      </c>
      <c r="D1357" s="23" t="s">
        <v>948</v>
      </c>
      <c r="E1357" s="23" t="s">
        <v>971</v>
      </c>
      <c r="F1357" s="23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22.5" customHeight="1">
      <c r="A1358" s="23" t="s">
        <v>2255</v>
      </c>
      <c r="B1358" s="23" t="s">
        <v>833</v>
      </c>
      <c r="C1358" s="23" t="s">
        <v>2247</v>
      </c>
      <c r="D1358" s="23" t="s">
        <v>948</v>
      </c>
      <c r="E1358" s="23" t="s">
        <v>949</v>
      </c>
      <c r="F1358" s="23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22.5" customHeight="1">
      <c r="A1359" s="23" t="s">
        <v>2256</v>
      </c>
      <c r="B1359" s="23" t="s">
        <v>811</v>
      </c>
      <c r="C1359" s="23" t="s">
        <v>2247</v>
      </c>
      <c r="D1359" s="23" t="s">
        <v>948</v>
      </c>
      <c r="E1359" s="23" t="s">
        <v>949</v>
      </c>
      <c r="F1359" s="23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22.5" customHeight="1">
      <c r="A1360" s="23" t="s">
        <v>2257</v>
      </c>
      <c r="B1360" s="23" t="s">
        <v>838</v>
      </c>
      <c r="C1360" s="23" t="s">
        <v>2247</v>
      </c>
      <c r="D1360" s="23" t="s">
        <v>948</v>
      </c>
      <c r="E1360" s="23" t="s">
        <v>949</v>
      </c>
      <c r="F1360" s="23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22.5" customHeight="1">
      <c r="A1361" s="23" t="s">
        <v>2258</v>
      </c>
      <c r="B1361" s="23" t="s">
        <v>840</v>
      </c>
      <c r="C1361" s="23" t="s">
        <v>2247</v>
      </c>
      <c r="D1361" s="23" t="s">
        <v>948</v>
      </c>
      <c r="E1361" s="23" t="s">
        <v>949</v>
      </c>
      <c r="F1361" s="23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22.5" customHeight="1">
      <c r="A1362" s="23" t="s">
        <v>2259</v>
      </c>
      <c r="B1362" s="23" t="s">
        <v>842</v>
      </c>
      <c r="C1362" s="23" t="s">
        <v>2247</v>
      </c>
      <c r="D1362" s="23" t="s">
        <v>948</v>
      </c>
      <c r="E1362" s="23" t="s">
        <v>949</v>
      </c>
      <c r="F1362" s="23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22.5" customHeight="1">
      <c r="A1363" s="23" t="s">
        <v>2260</v>
      </c>
      <c r="B1363" s="23" t="s">
        <v>844</v>
      </c>
      <c r="C1363" s="23" t="s">
        <v>2247</v>
      </c>
      <c r="D1363" s="23" t="s">
        <v>948</v>
      </c>
      <c r="E1363" s="23" t="s">
        <v>949</v>
      </c>
      <c r="F1363" s="23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22.5" customHeight="1">
      <c r="A1364" s="23" t="s">
        <v>2261</v>
      </c>
      <c r="B1364" s="23" t="s">
        <v>846</v>
      </c>
      <c r="C1364" s="23" t="s">
        <v>2247</v>
      </c>
      <c r="D1364" s="23" t="s">
        <v>948</v>
      </c>
      <c r="E1364" s="23" t="s">
        <v>949</v>
      </c>
      <c r="F1364" s="23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22.5" customHeight="1">
      <c r="A1365" s="23" t="s">
        <v>2262</v>
      </c>
      <c r="B1365" s="23" t="s">
        <v>848</v>
      </c>
      <c r="C1365" s="23" t="s">
        <v>2247</v>
      </c>
      <c r="D1365" s="23" t="s">
        <v>948</v>
      </c>
      <c r="E1365" s="23" t="s">
        <v>949</v>
      </c>
      <c r="F1365" s="23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22.5" customHeight="1">
      <c r="A1366" s="23" t="s">
        <v>2263</v>
      </c>
      <c r="B1366" s="23" t="s">
        <v>850</v>
      </c>
      <c r="C1366" s="23" t="s">
        <v>2247</v>
      </c>
      <c r="D1366" s="23" t="s">
        <v>948</v>
      </c>
      <c r="E1366" s="23" t="s">
        <v>949</v>
      </c>
      <c r="F1366" s="23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22.5" customHeight="1">
      <c r="A1367" s="23" t="s">
        <v>2264</v>
      </c>
      <c r="B1367" s="23" t="s">
        <v>853</v>
      </c>
      <c r="C1367" s="23" t="s">
        <v>2247</v>
      </c>
      <c r="D1367" s="23" t="s">
        <v>948</v>
      </c>
      <c r="E1367" s="23" t="s">
        <v>949</v>
      </c>
      <c r="F1367" s="23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22.5" customHeight="1">
      <c r="A1368" s="23" t="s">
        <v>2265</v>
      </c>
      <c r="B1368" s="23" t="s">
        <v>855</v>
      </c>
      <c r="C1368" s="23" t="s">
        <v>2247</v>
      </c>
      <c r="D1368" s="23" t="s">
        <v>948</v>
      </c>
      <c r="E1368" s="23" t="s">
        <v>949</v>
      </c>
      <c r="F1368" s="23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22.5" customHeight="1">
      <c r="A1369" s="23" t="s">
        <v>2266</v>
      </c>
      <c r="B1369" s="23" t="s">
        <v>857</v>
      </c>
      <c r="C1369" s="23" t="s">
        <v>2247</v>
      </c>
      <c r="D1369" s="23" t="s">
        <v>948</v>
      </c>
      <c r="E1369" s="23" t="s">
        <v>949</v>
      </c>
      <c r="F1369" s="23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22.5" customHeight="1">
      <c r="A1370" s="23" t="s">
        <v>2267</v>
      </c>
      <c r="B1370" s="23" t="s">
        <v>860</v>
      </c>
      <c r="C1370" s="23" t="s">
        <v>2247</v>
      </c>
      <c r="D1370" s="23" t="s">
        <v>948</v>
      </c>
      <c r="E1370" s="23" t="s">
        <v>949</v>
      </c>
      <c r="F1370" s="23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22.5" customHeight="1">
      <c r="A1371" s="23" t="s">
        <v>2268</v>
      </c>
      <c r="B1371" s="23" t="s">
        <v>862</v>
      </c>
      <c r="C1371" s="23" t="s">
        <v>2247</v>
      </c>
      <c r="D1371" s="23" t="s">
        <v>948</v>
      </c>
      <c r="E1371" s="23" t="s">
        <v>949</v>
      </c>
      <c r="F1371" s="23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22.5" customHeight="1">
      <c r="A1372" s="23" t="s">
        <v>2269</v>
      </c>
      <c r="B1372" s="23" t="s">
        <v>865</v>
      </c>
      <c r="C1372" s="23" t="s">
        <v>2247</v>
      </c>
      <c r="D1372" s="23" t="s">
        <v>948</v>
      </c>
      <c r="E1372" s="23" t="s">
        <v>949</v>
      </c>
      <c r="F1372" s="23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22.5" customHeight="1">
      <c r="A1373" s="23" t="s">
        <v>2270</v>
      </c>
      <c r="B1373" s="23" t="s">
        <v>867</v>
      </c>
      <c r="C1373" s="23" t="s">
        <v>2247</v>
      </c>
      <c r="D1373" s="23" t="s">
        <v>948</v>
      </c>
      <c r="E1373" s="23" t="s">
        <v>949</v>
      </c>
      <c r="F1373" s="23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22.5" customHeight="1">
      <c r="A1374" s="23" t="s">
        <v>2271</v>
      </c>
      <c r="B1374" s="23" t="s">
        <v>869</v>
      </c>
      <c r="C1374" s="23" t="s">
        <v>2247</v>
      </c>
      <c r="D1374" s="23" t="s">
        <v>948</v>
      </c>
      <c r="E1374" s="23" t="s">
        <v>949</v>
      </c>
      <c r="F1374" s="23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22.5" customHeight="1">
      <c r="A1375" s="23" t="s">
        <v>2272</v>
      </c>
      <c r="B1375" s="23" t="s">
        <v>871</v>
      </c>
      <c r="C1375" s="23" t="s">
        <v>2247</v>
      </c>
      <c r="D1375" s="23" t="s">
        <v>948</v>
      </c>
      <c r="E1375" s="23" t="s">
        <v>949</v>
      </c>
      <c r="F1375" s="23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22.5" customHeight="1">
      <c r="A1376" s="23" t="s">
        <v>2273</v>
      </c>
      <c r="B1376" s="23" t="s">
        <v>876</v>
      </c>
      <c r="C1376" s="23" t="s">
        <v>2247</v>
      </c>
      <c r="D1376" s="23" t="s">
        <v>948</v>
      </c>
      <c r="E1376" s="23" t="s">
        <v>949</v>
      </c>
      <c r="F1376" s="23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22.5" customHeight="1">
      <c r="A1377" s="23" t="s">
        <v>2274</v>
      </c>
      <c r="B1377" s="23" t="s">
        <v>879</v>
      </c>
      <c r="C1377" s="23" t="s">
        <v>2247</v>
      </c>
      <c r="D1377" s="23" t="s">
        <v>948</v>
      </c>
      <c r="E1377" s="23" t="s">
        <v>949</v>
      </c>
      <c r="F1377" s="23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22.5" customHeight="1">
      <c r="A1378" s="23" t="s">
        <v>2275</v>
      </c>
      <c r="B1378" s="23" t="s">
        <v>881</v>
      </c>
      <c r="C1378" s="23" t="s">
        <v>2247</v>
      </c>
      <c r="D1378" s="23" t="s">
        <v>948</v>
      </c>
      <c r="E1378" s="23" t="s">
        <v>949</v>
      </c>
      <c r="F1378" s="23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22.5" customHeight="1">
      <c r="A1379" s="23" t="s">
        <v>2276</v>
      </c>
      <c r="B1379" s="23" t="s">
        <v>883</v>
      </c>
      <c r="C1379" s="23" t="s">
        <v>2247</v>
      </c>
      <c r="D1379" s="23" t="s">
        <v>948</v>
      </c>
      <c r="E1379" s="23" t="s">
        <v>949</v>
      </c>
      <c r="F1379" s="23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22.5" customHeight="1">
      <c r="A1380" s="23" t="s">
        <v>2277</v>
      </c>
      <c r="B1380" s="23" t="s">
        <v>885</v>
      </c>
      <c r="C1380" s="23" t="s">
        <v>2247</v>
      </c>
      <c r="D1380" s="23" t="s">
        <v>948</v>
      </c>
      <c r="E1380" s="23" t="s">
        <v>949</v>
      </c>
      <c r="F1380" s="23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22.5" customHeight="1">
      <c r="A1381" s="23" t="s">
        <v>2278</v>
      </c>
      <c r="B1381" s="23" t="s">
        <v>887</v>
      </c>
      <c r="C1381" s="23" t="s">
        <v>2247</v>
      </c>
      <c r="D1381" s="23" t="s">
        <v>948</v>
      </c>
      <c r="E1381" s="23" t="s">
        <v>949</v>
      </c>
      <c r="F1381" s="23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22.5" customHeight="1">
      <c r="A1382" s="23" t="s">
        <v>2279</v>
      </c>
      <c r="B1382" s="23" t="s">
        <v>892</v>
      </c>
      <c r="C1382" s="23" t="s">
        <v>2247</v>
      </c>
      <c r="D1382" s="23" t="s">
        <v>948</v>
      </c>
      <c r="E1382" s="23" t="s">
        <v>949</v>
      </c>
      <c r="F1382" s="23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22.5" customHeight="1">
      <c r="A1383" s="23" t="s">
        <v>2280</v>
      </c>
      <c r="B1383" s="23" t="s">
        <v>935</v>
      </c>
      <c r="C1383" s="23" t="s">
        <v>2247</v>
      </c>
      <c r="D1383" s="23" t="s">
        <v>948</v>
      </c>
      <c r="E1383" s="23" t="s">
        <v>949</v>
      </c>
      <c r="F1383" s="23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22.5" customHeight="1">
      <c r="A1384" s="23" t="s">
        <v>2281</v>
      </c>
      <c r="B1384" s="23" t="s">
        <v>895</v>
      </c>
      <c r="C1384" s="23" t="s">
        <v>2247</v>
      </c>
      <c r="D1384" s="23" t="s">
        <v>948</v>
      </c>
      <c r="E1384" s="23" t="s">
        <v>949</v>
      </c>
      <c r="F1384" s="23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22.5" customHeight="1">
      <c r="A1385" s="23" t="s">
        <v>2282</v>
      </c>
      <c r="B1385" s="23" t="s">
        <v>897</v>
      </c>
      <c r="C1385" s="23" t="s">
        <v>2247</v>
      </c>
      <c r="D1385" s="23" t="s">
        <v>948</v>
      </c>
      <c r="E1385" s="23" t="s">
        <v>949</v>
      </c>
      <c r="F1385" s="23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22.5" customHeight="1">
      <c r="A1386" s="23" t="s">
        <v>2283</v>
      </c>
      <c r="B1386" s="23" t="s">
        <v>889</v>
      </c>
      <c r="C1386" s="23" t="s">
        <v>2247</v>
      </c>
      <c r="D1386" s="23" t="s">
        <v>948</v>
      </c>
      <c r="E1386" s="23" t="s">
        <v>949</v>
      </c>
      <c r="F1386" s="23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22.5" customHeight="1">
      <c r="A1387" s="23" t="s">
        <v>2284</v>
      </c>
      <c r="B1387" s="23" t="s">
        <v>899</v>
      </c>
      <c r="C1387" s="23" t="s">
        <v>2247</v>
      </c>
      <c r="D1387" s="23" t="s">
        <v>948</v>
      </c>
      <c r="E1387" s="23" t="s">
        <v>949</v>
      </c>
      <c r="F1387" s="23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22.5" customHeight="1">
      <c r="A1388" s="23" t="s">
        <v>2285</v>
      </c>
      <c r="B1388" s="23" t="s">
        <v>901</v>
      </c>
      <c r="C1388" s="23" t="s">
        <v>2247</v>
      </c>
      <c r="D1388" s="23" t="s">
        <v>948</v>
      </c>
      <c r="E1388" s="23" t="s">
        <v>949</v>
      </c>
      <c r="F1388" s="23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22.5" customHeight="1">
      <c r="A1389" s="23" t="s">
        <v>2286</v>
      </c>
      <c r="B1389" s="23" t="s">
        <v>904</v>
      </c>
      <c r="C1389" s="23" t="s">
        <v>2247</v>
      </c>
      <c r="D1389" s="23" t="s">
        <v>948</v>
      </c>
      <c r="E1389" s="23" t="s">
        <v>949</v>
      </c>
      <c r="F1389" s="23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22.5" customHeight="1">
      <c r="A1390" s="23" t="s">
        <v>2287</v>
      </c>
      <c r="B1390" s="23" t="s">
        <v>906</v>
      </c>
      <c r="C1390" s="23" t="s">
        <v>2247</v>
      </c>
      <c r="D1390" s="23" t="s">
        <v>948</v>
      </c>
      <c r="E1390" s="23" t="s">
        <v>949</v>
      </c>
      <c r="F1390" s="23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22.5" customHeight="1">
      <c r="A1391" s="23" t="s">
        <v>2288</v>
      </c>
      <c r="B1391" s="23" t="s">
        <v>908</v>
      </c>
      <c r="C1391" s="23" t="s">
        <v>2247</v>
      </c>
      <c r="D1391" s="23" t="s">
        <v>948</v>
      </c>
      <c r="E1391" s="23" t="s">
        <v>949</v>
      </c>
      <c r="F1391" s="23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22.5" customHeight="1">
      <c r="A1392" s="23" t="s">
        <v>2289</v>
      </c>
      <c r="B1392" s="23" t="s">
        <v>936</v>
      </c>
      <c r="C1392" s="23" t="s">
        <v>2247</v>
      </c>
      <c r="D1392" s="23" t="s">
        <v>948</v>
      </c>
      <c r="E1392" s="23" t="s">
        <v>949</v>
      </c>
      <c r="F1392" s="23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22.5" customHeight="1">
      <c r="A1393" s="23" t="s">
        <v>2290</v>
      </c>
      <c r="B1393" s="23" t="s">
        <v>910</v>
      </c>
      <c r="C1393" s="23" t="s">
        <v>2247</v>
      </c>
      <c r="D1393" s="23" t="s">
        <v>948</v>
      </c>
      <c r="E1393" s="23" t="s">
        <v>949</v>
      </c>
      <c r="F1393" s="23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22.5" customHeight="1">
      <c r="A1394" s="23" t="s">
        <v>2291</v>
      </c>
      <c r="B1394" s="23" t="s">
        <v>937</v>
      </c>
      <c r="C1394" s="23" t="s">
        <v>2247</v>
      </c>
      <c r="D1394" s="23" t="s">
        <v>948</v>
      </c>
      <c r="E1394" s="23" t="s">
        <v>949</v>
      </c>
      <c r="F1394" s="23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22.5" customHeight="1">
      <c r="A1395" s="23" t="s">
        <v>2292</v>
      </c>
      <c r="B1395" s="23" t="s">
        <v>912</v>
      </c>
      <c r="C1395" s="23" t="s">
        <v>2247</v>
      </c>
      <c r="D1395" s="23" t="s">
        <v>948</v>
      </c>
      <c r="E1395" s="23" t="s">
        <v>949</v>
      </c>
      <c r="F1395" s="23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22.5" customHeight="1">
      <c r="A1396" s="23" t="s">
        <v>2293</v>
      </c>
      <c r="B1396" s="23" t="s">
        <v>938</v>
      </c>
      <c r="C1396" s="23" t="s">
        <v>2247</v>
      </c>
      <c r="D1396" s="23" t="s">
        <v>948</v>
      </c>
      <c r="E1396" s="23" t="s">
        <v>949</v>
      </c>
      <c r="F1396" s="23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22.5" customHeight="1">
      <c r="A1397" s="23" t="s">
        <v>2294</v>
      </c>
      <c r="B1397" s="23" t="s">
        <v>914</v>
      </c>
      <c r="C1397" s="23" t="s">
        <v>2247</v>
      </c>
      <c r="D1397" s="23" t="s">
        <v>948</v>
      </c>
      <c r="E1397" s="23" t="s">
        <v>949</v>
      </c>
      <c r="F1397" s="23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22.5" customHeight="1">
      <c r="A1398" s="23" t="s">
        <v>2295</v>
      </c>
      <c r="B1398" s="23" t="s">
        <v>939</v>
      </c>
      <c r="C1398" s="23" t="s">
        <v>2247</v>
      </c>
      <c r="D1398" s="23" t="s">
        <v>948</v>
      </c>
      <c r="E1398" s="23" t="s">
        <v>949</v>
      </c>
      <c r="F1398" s="23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22.5" customHeight="1">
      <c r="A1399" s="23" t="s">
        <v>2296</v>
      </c>
      <c r="B1399" s="23" t="s">
        <v>917</v>
      </c>
      <c r="C1399" s="23" t="s">
        <v>2247</v>
      </c>
      <c r="D1399" s="23" t="s">
        <v>948</v>
      </c>
      <c r="E1399" s="23" t="s">
        <v>949</v>
      </c>
      <c r="F1399" s="23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22.5" customHeight="1">
      <c r="A1400" s="23" t="s">
        <v>2297</v>
      </c>
      <c r="B1400" s="23" t="s">
        <v>873</v>
      </c>
      <c r="C1400" s="23" t="s">
        <v>2247</v>
      </c>
      <c r="D1400" s="23" t="s">
        <v>948</v>
      </c>
      <c r="E1400" s="23" t="s">
        <v>971</v>
      </c>
      <c r="F1400" s="23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22.5" customHeight="1">
      <c r="A1401" s="23" t="s">
        <v>2298</v>
      </c>
      <c r="B1401" s="23" t="s">
        <v>920</v>
      </c>
      <c r="C1401" s="23" t="s">
        <v>2247</v>
      </c>
      <c r="D1401" s="23" t="s">
        <v>948</v>
      </c>
      <c r="E1401" s="23" t="s">
        <v>949</v>
      </c>
      <c r="F1401" s="23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22.5" customHeight="1">
      <c r="A1402" s="23" t="s">
        <v>2299</v>
      </c>
      <c r="B1402" s="23" t="s">
        <v>923</v>
      </c>
      <c r="C1402" s="23" t="s">
        <v>2247</v>
      </c>
      <c r="D1402" s="23" t="s">
        <v>948</v>
      </c>
      <c r="E1402" s="23" t="s">
        <v>971</v>
      </c>
      <c r="F1402" s="23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22.5" customHeight="1">
      <c r="A1403" s="23" t="s">
        <v>2300</v>
      </c>
      <c r="B1403" s="23" t="s">
        <v>926</v>
      </c>
      <c r="C1403" s="23" t="s">
        <v>2247</v>
      </c>
      <c r="D1403" s="23" t="s">
        <v>948</v>
      </c>
      <c r="E1403" s="23" t="s">
        <v>971</v>
      </c>
      <c r="F1403" s="23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22.5" customHeight="1">
      <c r="A1404" s="23" t="s">
        <v>2301</v>
      </c>
      <c r="B1404" s="23" t="s">
        <v>929</v>
      </c>
      <c r="C1404" s="23" t="s">
        <v>2247</v>
      </c>
      <c r="D1404" s="23" t="s">
        <v>948</v>
      </c>
      <c r="E1404" s="23" t="s">
        <v>949</v>
      </c>
      <c r="F1404" s="23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22.5" customHeight="1">
      <c r="A1405" s="23" t="s">
        <v>2302</v>
      </c>
      <c r="B1405" s="23" t="s">
        <v>932</v>
      </c>
      <c r="C1405" s="23" t="s">
        <v>2247</v>
      </c>
      <c r="D1405" s="23" t="s">
        <v>948</v>
      </c>
      <c r="E1405" s="23" t="s">
        <v>949</v>
      </c>
      <c r="F1405" s="23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22.5" customHeight="1">
      <c r="A1406" s="23" t="s">
        <v>2303</v>
      </c>
      <c r="B1406" s="23" t="s">
        <v>934</v>
      </c>
      <c r="C1406" s="23" t="s">
        <v>2247</v>
      </c>
      <c r="D1406" s="23" t="s">
        <v>948</v>
      </c>
      <c r="E1406" s="23" t="s">
        <v>971</v>
      </c>
      <c r="F1406" s="23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22.5" customHeight="1">
      <c r="A1407" s="23" t="s">
        <v>2304</v>
      </c>
      <c r="B1407" s="23" t="s">
        <v>942</v>
      </c>
      <c r="C1407" s="23" t="s">
        <v>2247</v>
      </c>
      <c r="D1407" s="23" t="s">
        <v>948</v>
      </c>
      <c r="E1407" s="23" t="s">
        <v>949</v>
      </c>
      <c r="F1407" s="23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22.5" customHeight="1">
      <c r="A1408" s="23" t="s">
        <v>2305</v>
      </c>
      <c r="B1408" s="23" t="s">
        <v>116</v>
      </c>
      <c r="C1408" s="23" t="s">
        <v>2306</v>
      </c>
      <c r="D1408" s="23" t="s">
        <v>948</v>
      </c>
      <c r="E1408" s="23" t="s">
        <v>949</v>
      </c>
      <c r="F1408" s="23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22.5" customHeight="1">
      <c r="A1409" s="23" t="s">
        <v>2307</v>
      </c>
      <c r="B1409" s="23" t="s">
        <v>123</v>
      </c>
      <c r="C1409" s="23" t="s">
        <v>2306</v>
      </c>
      <c r="D1409" s="23" t="s">
        <v>948</v>
      </c>
      <c r="E1409" s="23" t="s">
        <v>949</v>
      </c>
      <c r="F1409" s="23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22.5" customHeight="1">
      <c r="A1410" s="23" t="s">
        <v>2308</v>
      </c>
      <c r="B1410" s="23" t="s">
        <v>131</v>
      </c>
      <c r="C1410" s="23" t="s">
        <v>2306</v>
      </c>
      <c r="D1410" s="23" t="s">
        <v>948</v>
      </c>
      <c r="E1410" s="23" t="s">
        <v>949</v>
      </c>
      <c r="F1410" s="23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22.5" customHeight="1">
      <c r="A1411" s="23" t="s">
        <v>2309</v>
      </c>
      <c r="B1411" s="23" t="s">
        <v>137</v>
      </c>
      <c r="C1411" s="23" t="s">
        <v>2306</v>
      </c>
      <c r="D1411" s="23" t="s">
        <v>948</v>
      </c>
      <c r="E1411" s="23" t="s">
        <v>949</v>
      </c>
      <c r="F1411" s="23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22.5" customHeight="1">
      <c r="A1412" s="23" t="s">
        <v>2310</v>
      </c>
      <c r="B1412" s="23" t="s">
        <v>144</v>
      </c>
      <c r="C1412" s="23" t="s">
        <v>2306</v>
      </c>
      <c r="D1412" s="23" t="s">
        <v>948</v>
      </c>
      <c r="E1412" s="23" t="s">
        <v>949</v>
      </c>
      <c r="F1412" s="23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22.5" customHeight="1">
      <c r="A1413" s="23" t="s">
        <v>2311</v>
      </c>
      <c r="B1413" s="23" t="s">
        <v>151</v>
      </c>
      <c r="C1413" s="23" t="s">
        <v>2306</v>
      </c>
      <c r="D1413" s="23" t="s">
        <v>948</v>
      </c>
      <c r="E1413" s="23" t="s">
        <v>949</v>
      </c>
      <c r="F1413" s="23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22.5" customHeight="1">
      <c r="A1414" s="23" t="s">
        <v>2312</v>
      </c>
      <c r="B1414" s="23" t="s">
        <v>734</v>
      </c>
      <c r="C1414" s="23" t="s">
        <v>2306</v>
      </c>
      <c r="D1414" s="23" t="s">
        <v>948</v>
      </c>
      <c r="E1414" s="23" t="s">
        <v>949</v>
      </c>
      <c r="F1414" s="23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22.5" customHeight="1">
      <c r="A1415" s="23" t="s">
        <v>2313</v>
      </c>
      <c r="B1415" s="23" t="s">
        <v>831</v>
      </c>
      <c r="C1415" s="23" t="s">
        <v>2306</v>
      </c>
      <c r="D1415" s="23" t="s">
        <v>948</v>
      </c>
      <c r="E1415" s="23" t="s">
        <v>949</v>
      </c>
      <c r="F1415" s="23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22.5" customHeight="1">
      <c r="A1416" s="23" t="s">
        <v>2314</v>
      </c>
      <c r="B1416" s="23" t="s">
        <v>833</v>
      </c>
      <c r="C1416" s="23" t="s">
        <v>2306</v>
      </c>
      <c r="D1416" s="23" t="s">
        <v>948</v>
      </c>
      <c r="E1416" s="23" t="s">
        <v>949</v>
      </c>
      <c r="F1416" s="23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22.5" customHeight="1">
      <c r="A1417" s="23" t="s">
        <v>2315</v>
      </c>
      <c r="B1417" s="23" t="s">
        <v>811</v>
      </c>
      <c r="C1417" s="23" t="s">
        <v>2306</v>
      </c>
      <c r="D1417" s="23" t="s">
        <v>948</v>
      </c>
      <c r="E1417" s="23" t="s">
        <v>949</v>
      </c>
      <c r="F1417" s="23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22.5" customHeight="1">
      <c r="A1418" s="23" t="s">
        <v>2316</v>
      </c>
      <c r="B1418" s="23" t="s">
        <v>838</v>
      </c>
      <c r="C1418" s="23" t="s">
        <v>2306</v>
      </c>
      <c r="D1418" s="23" t="s">
        <v>948</v>
      </c>
      <c r="E1418" s="23" t="s">
        <v>971</v>
      </c>
      <c r="F1418" s="23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22.5" customHeight="1">
      <c r="A1419" s="23" t="s">
        <v>2317</v>
      </c>
      <c r="B1419" s="23" t="s">
        <v>840</v>
      </c>
      <c r="C1419" s="23" t="s">
        <v>2306</v>
      </c>
      <c r="D1419" s="23" t="s">
        <v>948</v>
      </c>
      <c r="E1419" s="23" t="s">
        <v>949</v>
      </c>
      <c r="F1419" s="23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22.5" customHeight="1">
      <c r="A1420" s="23" t="s">
        <v>2318</v>
      </c>
      <c r="B1420" s="23" t="s">
        <v>842</v>
      </c>
      <c r="C1420" s="23" t="s">
        <v>2306</v>
      </c>
      <c r="D1420" s="23" t="s">
        <v>948</v>
      </c>
      <c r="E1420" s="23" t="s">
        <v>949</v>
      </c>
      <c r="F1420" s="23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22.5" customHeight="1">
      <c r="A1421" s="23" t="s">
        <v>2319</v>
      </c>
      <c r="B1421" s="23" t="s">
        <v>844</v>
      </c>
      <c r="C1421" s="23" t="s">
        <v>2306</v>
      </c>
      <c r="D1421" s="23" t="s">
        <v>948</v>
      </c>
      <c r="E1421" s="23" t="s">
        <v>949</v>
      </c>
      <c r="F1421" s="23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22.5" customHeight="1">
      <c r="A1422" s="23" t="s">
        <v>2320</v>
      </c>
      <c r="B1422" s="23" t="s">
        <v>846</v>
      </c>
      <c r="C1422" s="23" t="s">
        <v>2306</v>
      </c>
      <c r="D1422" s="23" t="s">
        <v>948</v>
      </c>
      <c r="E1422" s="23" t="s">
        <v>949</v>
      </c>
      <c r="F1422" s="23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22.5" customHeight="1">
      <c r="A1423" s="23" t="s">
        <v>2321</v>
      </c>
      <c r="B1423" s="23" t="s">
        <v>848</v>
      </c>
      <c r="C1423" s="23" t="s">
        <v>2306</v>
      </c>
      <c r="D1423" s="23" t="s">
        <v>948</v>
      </c>
      <c r="E1423" s="23" t="s">
        <v>949</v>
      </c>
      <c r="F1423" s="23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22.5" customHeight="1">
      <c r="A1424" s="23" t="s">
        <v>2322</v>
      </c>
      <c r="B1424" s="23" t="s">
        <v>850</v>
      </c>
      <c r="C1424" s="23" t="s">
        <v>2306</v>
      </c>
      <c r="D1424" s="23" t="s">
        <v>948</v>
      </c>
      <c r="E1424" s="23" t="s">
        <v>949</v>
      </c>
      <c r="F1424" s="23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22.5" customHeight="1">
      <c r="A1425" s="23" t="s">
        <v>2323</v>
      </c>
      <c r="B1425" s="23" t="s">
        <v>853</v>
      </c>
      <c r="C1425" s="23" t="s">
        <v>2306</v>
      </c>
      <c r="D1425" s="23" t="s">
        <v>948</v>
      </c>
      <c r="E1425" s="23" t="s">
        <v>949</v>
      </c>
      <c r="F1425" s="23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22.5" customHeight="1">
      <c r="A1426" s="23" t="s">
        <v>2324</v>
      </c>
      <c r="B1426" s="23" t="s">
        <v>855</v>
      </c>
      <c r="C1426" s="23" t="s">
        <v>2306</v>
      </c>
      <c r="D1426" s="23" t="s">
        <v>948</v>
      </c>
      <c r="E1426" s="23" t="s">
        <v>949</v>
      </c>
      <c r="F1426" s="23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22.5" customHeight="1">
      <c r="A1427" s="23" t="s">
        <v>2325</v>
      </c>
      <c r="B1427" s="23" t="s">
        <v>857</v>
      </c>
      <c r="C1427" s="23" t="s">
        <v>2306</v>
      </c>
      <c r="D1427" s="23" t="s">
        <v>948</v>
      </c>
      <c r="E1427" s="23" t="s">
        <v>949</v>
      </c>
      <c r="F1427" s="23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22.5" customHeight="1">
      <c r="A1428" s="23" t="s">
        <v>2326</v>
      </c>
      <c r="B1428" s="23" t="s">
        <v>860</v>
      </c>
      <c r="C1428" s="23" t="s">
        <v>2306</v>
      </c>
      <c r="D1428" s="23" t="s">
        <v>948</v>
      </c>
      <c r="E1428" s="23" t="s">
        <v>949</v>
      </c>
      <c r="F1428" s="23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22.5" customHeight="1">
      <c r="A1429" s="23" t="s">
        <v>2327</v>
      </c>
      <c r="B1429" s="23" t="s">
        <v>862</v>
      </c>
      <c r="C1429" s="23" t="s">
        <v>2306</v>
      </c>
      <c r="D1429" s="23" t="s">
        <v>948</v>
      </c>
      <c r="E1429" s="23" t="s">
        <v>949</v>
      </c>
      <c r="F1429" s="23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22.5" customHeight="1">
      <c r="A1430" s="23" t="s">
        <v>2328</v>
      </c>
      <c r="B1430" s="23" t="s">
        <v>865</v>
      </c>
      <c r="C1430" s="23" t="s">
        <v>2306</v>
      </c>
      <c r="D1430" s="23" t="s">
        <v>948</v>
      </c>
      <c r="E1430" s="23" t="s">
        <v>949</v>
      </c>
      <c r="F1430" s="23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22.5" customHeight="1">
      <c r="A1431" s="23" t="s">
        <v>2329</v>
      </c>
      <c r="B1431" s="23" t="s">
        <v>867</v>
      </c>
      <c r="C1431" s="23" t="s">
        <v>2306</v>
      </c>
      <c r="D1431" s="23" t="s">
        <v>948</v>
      </c>
      <c r="E1431" s="23" t="s">
        <v>949</v>
      </c>
      <c r="F1431" s="23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22.5" customHeight="1">
      <c r="A1432" s="23" t="s">
        <v>2330</v>
      </c>
      <c r="B1432" s="23" t="s">
        <v>869</v>
      </c>
      <c r="C1432" s="23" t="s">
        <v>2306</v>
      </c>
      <c r="D1432" s="23" t="s">
        <v>948</v>
      </c>
      <c r="E1432" s="23" t="s">
        <v>949</v>
      </c>
      <c r="F1432" s="23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22.5" customHeight="1">
      <c r="A1433" s="23" t="s">
        <v>2331</v>
      </c>
      <c r="B1433" s="23" t="s">
        <v>871</v>
      </c>
      <c r="C1433" s="23" t="s">
        <v>2306</v>
      </c>
      <c r="D1433" s="23" t="s">
        <v>948</v>
      </c>
      <c r="E1433" s="23" t="s">
        <v>949</v>
      </c>
      <c r="F1433" s="23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22.5" customHeight="1">
      <c r="A1434" s="23" t="s">
        <v>2332</v>
      </c>
      <c r="B1434" s="23" t="s">
        <v>876</v>
      </c>
      <c r="C1434" s="23" t="s">
        <v>2306</v>
      </c>
      <c r="D1434" s="23" t="s">
        <v>948</v>
      </c>
      <c r="E1434" s="23" t="s">
        <v>949</v>
      </c>
      <c r="F1434" s="23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22.5" customHeight="1">
      <c r="A1435" s="23" t="s">
        <v>2333</v>
      </c>
      <c r="B1435" s="23" t="s">
        <v>879</v>
      </c>
      <c r="C1435" s="23" t="s">
        <v>2306</v>
      </c>
      <c r="D1435" s="23" t="s">
        <v>948</v>
      </c>
      <c r="E1435" s="23" t="s">
        <v>949</v>
      </c>
      <c r="F1435" s="23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22.5" customHeight="1">
      <c r="A1436" s="23" t="s">
        <v>2334</v>
      </c>
      <c r="B1436" s="23" t="s">
        <v>881</v>
      </c>
      <c r="C1436" s="23" t="s">
        <v>2306</v>
      </c>
      <c r="D1436" s="23" t="s">
        <v>948</v>
      </c>
      <c r="E1436" s="23" t="s">
        <v>949</v>
      </c>
      <c r="F1436" s="23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22.5" customHeight="1">
      <c r="A1437" s="23" t="s">
        <v>2335</v>
      </c>
      <c r="B1437" s="23" t="s">
        <v>883</v>
      </c>
      <c r="C1437" s="23" t="s">
        <v>2306</v>
      </c>
      <c r="D1437" s="23" t="s">
        <v>948</v>
      </c>
      <c r="E1437" s="23" t="s">
        <v>949</v>
      </c>
      <c r="F1437" s="23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22.5" customHeight="1">
      <c r="A1438" s="23" t="s">
        <v>2336</v>
      </c>
      <c r="B1438" s="23" t="s">
        <v>885</v>
      </c>
      <c r="C1438" s="23" t="s">
        <v>2306</v>
      </c>
      <c r="D1438" s="23" t="s">
        <v>948</v>
      </c>
      <c r="E1438" s="23" t="s">
        <v>949</v>
      </c>
      <c r="F1438" s="23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22.5" customHeight="1">
      <c r="A1439" s="23" t="s">
        <v>2337</v>
      </c>
      <c r="B1439" s="23" t="s">
        <v>887</v>
      </c>
      <c r="C1439" s="23" t="s">
        <v>2306</v>
      </c>
      <c r="D1439" s="23" t="s">
        <v>948</v>
      </c>
      <c r="E1439" s="23" t="s">
        <v>949</v>
      </c>
      <c r="F1439" s="23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22.5" customHeight="1">
      <c r="A1440" s="23" t="s">
        <v>2338</v>
      </c>
      <c r="B1440" s="23" t="s">
        <v>892</v>
      </c>
      <c r="C1440" s="23" t="s">
        <v>2306</v>
      </c>
      <c r="D1440" s="23" t="s">
        <v>948</v>
      </c>
      <c r="E1440" s="23" t="s">
        <v>949</v>
      </c>
      <c r="F1440" s="23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22.5" customHeight="1">
      <c r="A1441" s="23" t="s">
        <v>2339</v>
      </c>
      <c r="B1441" s="23" t="s">
        <v>935</v>
      </c>
      <c r="C1441" s="23" t="s">
        <v>2306</v>
      </c>
      <c r="D1441" s="23" t="s">
        <v>948</v>
      </c>
      <c r="E1441" s="23" t="s">
        <v>949</v>
      </c>
      <c r="F1441" s="23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22.5" customHeight="1">
      <c r="A1442" s="23" t="s">
        <v>2340</v>
      </c>
      <c r="B1442" s="23" t="s">
        <v>895</v>
      </c>
      <c r="C1442" s="23" t="s">
        <v>2306</v>
      </c>
      <c r="D1442" s="23" t="s">
        <v>948</v>
      </c>
      <c r="E1442" s="23" t="s">
        <v>949</v>
      </c>
      <c r="F1442" s="23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22.5" customHeight="1">
      <c r="A1443" s="23" t="s">
        <v>2341</v>
      </c>
      <c r="B1443" s="23" t="s">
        <v>897</v>
      </c>
      <c r="C1443" s="23" t="s">
        <v>2306</v>
      </c>
      <c r="D1443" s="23" t="s">
        <v>948</v>
      </c>
      <c r="E1443" s="23" t="s">
        <v>949</v>
      </c>
      <c r="F1443" s="23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22.5" customHeight="1">
      <c r="A1444" s="23" t="s">
        <v>2342</v>
      </c>
      <c r="B1444" s="23" t="s">
        <v>889</v>
      </c>
      <c r="C1444" s="23" t="s">
        <v>2306</v>
      </c>
      <c r="D1444" s="23" t="s">
        <v>948</v>
      </c>
      <c r="E1444" s="23" t="s">
        <v>949</v>
      </c>
      <c r="F1444" s="23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22.5" customHeight="1">
      <c r="A1445" s="23" t="s">
        <v>2343</v>
      </c>
      <c r="B1445" s="23" t="s">
        <v>899</v>
      </c>
      <c r="C1445" s="23" t="s">
        <v>2306</v>
      </c>
      <c r="D1445" s="23" t="s">
        <v>948</v>
      </c>
      <c r="E1445" s="23" t="s">
        <v>949</v>
      </c>
      <c r="F1445" s="23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22.5" customHeight="1">
      <c r="A1446" s="23" t="s">
        <v>2344</v>
      </c>
      <c r="B1446" s="23" t="s">
        <v>901</v>
      </c>
      <c r="C1446" s="23" t="s">
        <v>2306</v>
      </c>
      <c r="D1446" s="23" t="s">
        <v>948</v>
      </c>
      <c r="E1446" s="23" t="s">
        <v>949</v>
      </c>
      <c r="F1446" s="23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22.5" customHeight="1">
      <c r="A1447" s="23" t="s">
        <v>2345</v>
      </c>
      <c r="B1447" s="23" t="s">
        <v>904</v>
      </c>
      <c r="C1447" s="23" t="s">
        <v>2306</v>
      </c>
      <c r="D1447" s="23" t="s">
        <v>948</v>
      </c>
      <c r="E1447" s="23" t="s">
        <v>949</v>
      </c>
      <c r="F1447" s="23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22.5" customHeight="1">
      <c r="A1448" s="23" t="s">
        <v>2346</v>
      </c>
      <c r="B1448" s="23" t="s">
        <v>906</v>
      </c>
      <c r="C1448" s="23" t="s">
        <v>2306</v>
      </c>
      <c r="D1448" s="23" t="s">
        <v>948</v>
      </c>
      <c r="E1448" s="23" t="s">
        <v>949</v>
      </c>
      <c r="F1448" s="23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22.5" customHeight="1">
      <c r="A1449" s="23" t="s">
        <v>2347</v>
      </c>
      <c r="B1449" s="23" t="s">
        <v>908</v>
      </c>
      <c r="C1449" s="23" t="s">
        <v>2306</v>
      </c>
      <c r="D1449" s="23" t="s">
        <v>948</v>
      </c>
      <c r="E1449" s="23" t="s">
        <v>949</v>
      </c>
      <c r="F1449" s="23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22.5" customHeight="1">
      <c r="A1450" s="23" t="s">
        <v>2348</v>
      </c>
      <c r="B1450" s="23" t="s">
        <v>936</v>
      </c>
      <c r="C1450" s="23" t="s">
        <v>2306</v>
      </c>
      <c r="D1450" s="23" t="s">
        <v>948</v>
      </c>
      <c r="E1450" s="23" t="s">
        <v>949</v>
      </c>
      <c r="F1450" s="23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22.5" customHeight="1">
      <c r="A1451" s="23" t="s">
        <v>2349</v>
      </c>
      <c r="B1451" s="23" t="s">
        <v>910</v>
      </c>
      <c r="C1451" s="23" t="s">
        <v>2306</v>
      </c>
      <c r="D1451" s="23" t="s">
        <v>948</v>
      </c>
      <c r="E1451" s="23" t="s">
        <v>949</v>
      </c>
      <c r="F1451" s="23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22.5" customHeight="1">
      <c r="A1452" s="23" t="s">
        <v>2350</v>
      </c>
      <c r="B1452" s="23" t="s">
        <v>937</v>
      </c>
      <c r="C1452" s="23" t="s">
        <v>2306</v>
      </c>
      <c r="D1452" s="23" t="s">
        <v>948</v>
      </c>
      <c r="E1452" s="23" t="s">
        <v>949</v>
      </c>
      <c r="F1452" s="23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22.5" customHeight="1">
      <c r="A1453" s="23" t="s">
        <v>2351</v>
      </c>
      <c r="B1453" s="23" t="s">
        <v>912</v>
      </c>
      <c r="C1453" s="23" t="s">
        <v>2306</v>
      </c>
      <c r="D1453" s="23" t="s">
        <v>948</v>
      </c>
      <c r="E1453" s="23" t="s">
        <v>971</v>
      </c>
      <c r="F1453" s="23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22.5" customHeight="1">
      <c r="A1454" s="23" t="s">
        <v>2352</v>
      </c>
      <c r="B1454" s="23" t="s">
        <v>938</v>
      </c>
      <c r="C1454" s="23" t="s">
        <v>2306</v>
      </c>
      <c r="D1454" s="23" t="s">
        <v>948</v>
      </c>
      <c r="E1454" s="23" t="s">
        <v>949</v>
      </c>
      <c r="F1454" s="23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22.5" customHeight="1">
      <c r="A1455" s="23" t="s">
        <v>2353</v>
      </c>
      <c r="B1455" s="23" t="s">
        <v>914</v>
      </c>
      <c r="C1455" s="23" t="s">
        <v>2306</v>
      </c>
      <c r="D1455" s="23" t="s">
        <v>948</v>
      </c>
      <c r="E1455" s="23" t="s">
        <v>949</v>
      </c>
      <c r="F1455" s="23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22.5" customHeight="1">
      <c r="A1456" s="23" t="s">
        <v>2354</v>
      </c>
      <c r="B1456" s="23" t="s">
        <v>939</v>
      </c>
      <c r="C1456" s="23" t="s">
        <v>2306</v>
      </c>
      <c r="D1456" s="23" t="s">
        <v>948</v>
      </c>
      <c r="E1456" s="23" t="s">
        <v>949</v>
      </c>
      <c r="F1456" s="23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22.5" customHeight="1">
      <c r="A1457" s="23" t="s">
        <v>2355</v>
      </c>
      <c r="B1457" s="23" t="s">
        <v>917</v>
      </c>
      <c r="C1457" s="23" t="s">
        <v>2306</v>
      </c>
      <c r="D1457" s="23" t="s">
        <v>948</v>
      </c>
      <c r="E1457" s="23" t="s">
        <v>949</v>
      </c>
      <c r="F1457" s="23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22.5" customHeight="1">
      <c r="A1458" s="23" t="s">
        <v>2356</v>
      </c>
      <c r="B1458" s="23" t="s">
        <v>873</v>
      </c>
      <c r="C1458" s="23" t="s">
        <v>2306</v>
      </c>
      <c r="D1458" s="23" t="s">
        <v>948</v>
      </c>
      <c r="E1458" s="23" t="s">
        <v>949</v>
      </c>
      <c r="F1458" s="23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22.5" customHeight="1">
      <c r="A1459" s="23" t="s">
        <v>2357</v>
      </c>
      <c r="B1459" s="23" t="s">
        <v>920</v>
      </c>
      <c r="C1459" s="23" t="s">
        <v>2306</v>
      </c>
      <c r="D1459" s="23" t="s">
        <v>948</v>
      </c>
      <c r="E1459" s="23" t="s">
        <v>949</v>
      </c>
      <c r="F1459" s="23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22.5" customHeight="1">
      <c r="A1460" s="23" t="s">
        <v>2358</v>
      </c>
      <c r="B1460" s="23" t="s">
        <v>923</v>
      </c>
      <c r="C1460" s="23" t="s">
        <v>2306</v>
      </c>
      <c r="D1460" s="23" t="s">
        <v>948</v>
      </c>
      <c r="E1460" s="23" t="s">
        <v>949</v>
      </c>
      <c r="F1460" s="23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22.5" customHeight="1">
      <c r="A1461" s="23" t="s">
        <v>2359</v>
      </c>
      <c r="B1461" s="23" t="s">
        <v>926</v>
      </c>
      <c r="C1461" s="23" t="s">
        <v>2306</v>
      </c>
      <c r="D1461" s="23" t="s">
        <v>948</v>
      </c>
      <c r="E1461" s="23" t="s">
        <v>949</v>
      </c>
      <c r="F1461" s="23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22.5" customHeight="1">
      <c r="A1462" s="23" t="s">
        <v>2360</v>
      </c>
      <c r="B1462" s="23" t="s">
        <v>929</v>
      </c>
      <c r="C1462" s="23" t="s">
        <v>2306</v>
      </c>
      <c r="D1462" s="23" t="s">
        <v>948</v>
      </c>
      <c r="E1462" s="23" t="s">
        <v>949</v>
      </c>
      <c r="F1462" s="23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22.5" customHeight="1">
      <c r="A1463" s="23" t="s">
        <v>2361</v>
      </c>
      <c r="B1463" s="23" t="s">
        <v>932</v>
      </c>
      <c r="C1463" s="23" t="s">
        <v>2306</v>
      </c>
      <c r="D1463" s="23" t="s">
        <v>948</v>
      </c>
      <c r="E1463" s="23" t="s">
        <v>949</v>
      </c>
      <c r="F1463" s="23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22.5" customHeight="1">
      <c r="A1464" s="23" t="s">
        <v>2362</v>
      </c>
      <c r="B1464" s="23" t="s">
        <v>934</v>
      </c>
      <c r="C1464" s="23" t="s">
        <v>2306</v>
      </c>
      <c r="D1464" s="23" t="s">
        <v>948</v>
      </c>
      <c r="E1464" s="23" t="s">
        <v>971</v>
      </c>
      <c r="F1464" s="23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22.5" customHeight="1">
      <c r="A1465" s="23" t="s">
        <v>2363</v>
      </c>
      <c r="B1465" s="23" t="s">
        <v>942</v>
      </c>
      <c r="C1465" s="23" t="s">
        <v>2306</v>
      </c>
      <c r="D1465" s="23" t="s">
        <v>948</v>
      </c>
      <c r="E1465" s="23" t="s">
        <v>949</v>
      </c>
      <c r="F1465" s="23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22.5" customHeight="1">
      <c r="A1466" s="23" t="s">
        <v>2364</v>
      </c>
      <c r="B1466" s="23" t="s">
        <v>116</v>
      </c>
      <c r="C1466" s="23" t="s">
        <v>2365</v>
      </c>
      <c r="D1466" s="23" t="s">
        <v>948</v>
      </c>
      <c r="E1466" s="23" t="s">
        <v>949</v>
      </c>
      <c r="F1466" s="23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22.5" customHeight="1">
      <c r="A1467" s="23" t="s">
        <v>2366</v>
      </c>
      <c r="B1467" s="23" t="s">
        <v>123</v>
      </c>
      <c r="C1467" s="23" t="s">
        <v>2365</v>
      </c>
      <c r="D1467" s="23" t="s">
        <v>948</v>
      </c>
      <c r="E1467" s="23" t="s">
        <v>949</v>
      </c>
      <c r="F1467" s="23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22.5" customHeight="1">
      <c r="A1468" s="23" t="s">
        <v>2367</v>
      </c>
      <c r="B1468" s="23" t="s">
        <v>131</v>
      </c>
      <c r="C1468" s="23" t="s">
        <v>2365</v>
      </c>
      <c r="D1468" s="23" t="s">
        <v>948</v>
      </c>
      <c r="E1468" s="23" t="s">
        <v>949</v>
      </c>
      <c r="F1468" s="23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22.5" customHeight="1">
      <c r="A1469" s="23" t="s">
        <v>2368</v>
      </c>
      <c r="B1469" s="23" t="s">
        <v>137</v>
      </c>
      <c r="C1469" s="23" t="s">
        <v>2365</v>
      </c>
      <c r="D1469" s="23" t="s">
        <v>948</v>
      </c>
      <c r="E1469" s="23" t="s">
        <v>949</v>
      </c>
      <c r="F1469" s="23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22.5" customHeight="1">
      <c r="A1470" s="23" t="s">
        <v>2369</v>
      </c>
      <c r="B1470" s="23" t="s">
        <v>144</v>
      </c>
      <c r="C1470" s="23" t="s">
        <v>2365</v>
      </c>
      <c r="D1470" s="23" t="s">
        <v>948</v>
      </c>
      <c r="E1470" s="23" t="s">
        <v>949</v>
      </c>
      <c r="F1470" s="23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22.5" customHeight="1">
      <c r="A1471" s="23" t="s">
        <v>2370</v>
      </c>
      <c r="B1471" s="23" t="s">
        <v>151</v>
      </c>
      <c r="C1471" s="23" t="s">
        <v>2365</v>
      </c>
      <c r="D1471" s="23" t="s">
        <v>948</v>
      </c>
      <c r="E1471" s="23" t="s">
        <v>949</v>
      </c>
      <c r="F1471" s="23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22.5" customHeight="1">
      <c r="A1472" s="23" t="s">
        <v>2371</v>
      </c>
      <c r="B1472" s="23" t="s">
        <v>734</v>
      </c>
      <c r="C1472" s="23" t="s">
        <v>2365</v>
      </c>
      <c r="D1472" s="23" t="s">
        <v>948</v>
      </c>
      <c r="E1472" s="23" t="s">
        <v>949</v>
      </c>
      <c r="F1472" s="23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22.5" customHeight="1">
      <c r="A1473" s="23" t="s">
        <v>2372</v>
      </c>
      <c r="B1473" s="23" t="s">
        <v>831</v>
      </c>
      <c r="C1473" s="23" t="s">
        <v>2365</v>
      </c>
      <c r="D1473" s="23" t="s">
        <v>948</v>
      </c>
      <c r="E1473" s="23" t="s">
        <v>949</v>
      </c>
      <c r="F1473" s="23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22.5" customHeight="1">
      <c r="A1474" s="23" t="s">
        <v>2373</v>
      </c>
      <c r="B1474" s="23" t="s">
        <v>833</v>
      </c>
      <c r="C1474" s="23" t="s">
        <v>2365</v>
      </c>
      <c r="D1474" s="23" t="s">
        <v>948</v>
      </c>
      <c r="E1474" s="23" t="s">
        <v>949</v>
      </c>
      <c r="F1474" s="23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22.5" customHeight="1">
      <c r="A1475" s="23" t="s">
        <v>2374</v>
      </c>
      <c r="B1475" s="23" t="s">
        <v>811</v>
      </c>
      <c r="C1475" s="23" t="s">
        <v>2365</v>
      </c>
      <c r="D1475" s="23" t="s">
        <v>948</v>
      </c>
      <c r="E1475" s="23" t="s">
        <v>949</v>
      </c>
      <c r="F1475" s="23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22.5" customHeight="1">
      <c r="A1476" s="23" t="s">
        <v>2375</v>
      </c>
      <c r="B1476" s="23" t="s">
        <v>838</v>
      </c>
      <c r="C1476" s="23" t="s">
        <v>2365</v>
      </c>
      <c r="D1476" s="23" t="s">
        <v>948</v>
      </c>
      <c r="E1476" s="23" t="s">
        <v>949</v>
      </c>
      <c r="F1476" s="23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22.5" customHeight="1">
      <c r="A1477" s="23" t="s">
        <v>2376</v>
      </c>
      <c r="B1477" s="23" t="s">
        <v>840</v>
      </c>
      <c r="C1477" s="23" t="s">
        <v>2365</v>
      </c>
      <c r="D1477" s="23" t="s">
        <v>948</v>
      </c>
      <c r="E1477" s="23" t="s">
        <v>949</v>
      </c>
      <c r="F1477" s="23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22.5" customHeight="1">
      <c r="A1478" s="23" t="s">
        <v>2377</v>
      </c>
      <c r="B1478" s="23" t="s">
        <v>842</v>
      </c>
      <c r="C1478" s="23" t="s">
        <v>2365</v>
      </c>
      <c r="D1478" s="23" t="s">
        <v>948</v>
      </c>
      <c r="E1478" s="23" t="s">
        <v>949</v>
      </c>
      <c r="F1478" s="23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22.5" customHeight="1">
      <c r="A1479" s="23" t="s">
        <v>2378</v>
      </c>
      <c r="B1479" s="23" t="s">
        <v>844</v>
      </c>
      <c r="C1479" s="23" t="s">
        <v>2365</v>
      </c>
      <c r="D1479" s="23" t="s">
        <v>948</v>
      </c>
      <c r="E1479" s="23" t="s">
        <v>949</v>
      </c>
      <c r="F1479" s="23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22.5" customHeight="1">
      <c r="A1480" s="23" t="s">
        <v>2379</v>
      </c>
      <c r="B1480" s="23" t="s">
        <v>846</v>
      </c>
      <c r="C1480" s="23" t="s">
        <v>2365</v>
      </c>
      <c r="D1480" s="23" t="s">
        <v>948</v>
      </c>
      <c r="E1480" s="23" t="s">
        <v>971</v>
      </c>
      <c r="F1480" s="23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22.5" customHeight="1">
      <c r="A1481" s="23" t="s">
        <v>2380</v>
      </c>
      <c r="B1481" s="23" t="s">
        <v>848</v>
      </c>
      <c r="C1481" s="23" t="s">
        <v>2365</v>
      </c>
      <c r="D1481" s="23" t="s">
        <v>948</v>
      </c>
      <c r="E1481" s="23" t="s">
        <v>949</v>
      </c>
      <c r="F1481" s="23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22.5" customHeight="1">
      <c r="A1482" s="23" t="s">
        <v>2381</v>
      </c>
      <c r="B1482" s="23" t="s">
        <v>850</v>
      </c>
      <c r="C1482" s="23" t="s">
        <v>2365</v>
      </c>
      <c r="D1482" s="23" t="s">
        <v>948</v>
      </c>
      <c r="E1482" s="23" t="s">
        <v>949</v>
      </c>
      <c r="F1482" s="23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22.5" customHeight="1">
      <c r="A1483" s="23" t="s">
        <v>2382</v>
      </c>
      <c r="B1483" s="23" t="s">
        <v>853</v>
      </c>
      <c r="C1483" s="23" t="s">
        <v>2365</v>
      </c>
      <c r="D1483" s="23" t="s">
        <v>948</v>
      </c>
      <c r="E1483" s="23" t="s">
        <v>949</v>
      </c>
      <c r="F1483" s="23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22.5" customHeight="1">
      <c r="A1484" s="23" t="s">
        <v>2383</v>
      </c>
      <c r="B1484" s="23" t="s">
        <v>855</v>
      </c>
      <c r="C1484" s="23" t="s">
        <v>2365</v>
      </c>
      <c r="D1484" s="23" t="s">
        <v>948</v>
      </c>
      <c r="E1484" s="23" t="s">
        <v>949</v>
      </c>
      <c r="F1484" s="23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22.5" customHeight="1">
      <c r="A1485" s="23" t="s">
        <v>2384</v>
      </c>
      <c r="B1485" s="23" t="s">
        <v>857</v>
      </c>
      <c r="C1485" s="23" t="s">
        <v>2365</v>
      </c>
      <c r="D1485" s="23" t="s">
        <v>948</v>
      </c>
      <c r="E1485" s="23" t="s">
        <v>949</v>
      </c>
      <c r="F1485" s="23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22.5" customHeight="1">
      <c r="A1486" s="23" t="s">
        <v>2385</v>
      </c>
      <c r="B1486" s="23" t="s">
        <v>860</v>
      </c>
      <c r="C1486" s="23" t="s">
        <v>2365</v>
      </c>
      <c r="D1486" s="23" t="s">
        <v>948</v>
      </c>
      <c r="E1486" s="23" t="s">
        <v>949</v>
      </c>
      <c r="F1486" s="23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22.5" customHeight="1">
      <c r="A1487" s="23" t="s">
        <v>2386</v>
      </c>
      <c r="B1487" s="23" t="s">
        <v>862</v>
      </c>
      <c r="C1487" s="23" t="s">
        <v>2365</v>
      </c>
      <c r="D1487" s="23" t="s">
        <v>948</v>
      </c>
      <c r="E1487" s="23" t="s">
        <v>949</v>
      </c>
      <c r="F1487" s="23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22.5" customHeight="1">
      <c r="A1488" s="23" t="s">
        <v>2387</v>
      </c>
      <c r="B1488" s="23" t="s">
        <v>865</v>
      </c>
      <c r="C1488" s="23" t="s">
        <v>2365</v>
      </c>
      <c r="D1488" s="23" t="s">
        <v>948</v>
      </c>
      <c r="E1488" s="23" t="s">
        <v>949</v>
      </c>
      <c r="F1488" s="23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22.5" customHeight="1">
      <c r="A1489" s="23" t="s">
        <v>2388</v>
      </c>
      <c r="B1489" s="23" t="s">
        <v>867</v>
      </c>
      <c r="C1489" s="23" t="s">
        <v>2365</v>
      </c>
      <c r="D1489" s="23" t="s">
        <v>948</v>
      </c>
      <c r="E1489" s="23" t="s">
        <v>949</v>
      </c>
      <c r="F1489" s="23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22.5" customHeight="1">
      <c r="A1490" s="23" t="s">
        <v>2389</v>
      </c>
      <c r="B1490" s="23" t="s">
        <v>869</v>
      </c>
      <c r="C1490" s="23" t="s">
        <v>2365</v>
      </c>
      <c r="D1490" s="23" t="s">
        <v>948</v>
      </c>
      <c r="E1490" s="23" t="s">
        <v>949</v>
      </c>
      <c r="F1490" s="23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22.5" customHeight="1">
      <c r="A1491" s="23" t="s">
        <v>2390</v>
      </c>
      <c r="B1491" s="23" t="s">
        <v>871</v>
      </c>
      <c r="C1491" s="23" t="s">
        <v>2365</v>
      </c>
      <c r="D1491" s="23" t="s">
        <v>948</v>
      </c>
      <c r="E1491" s="23" t="s">
        <v>949</v>
      </c>
      <c r="F1491" s="23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22.5" customHeight="1">
      <c r="A1492" s="23" t="s">
        <v>2391</v>
      </c>
      <c r="B1492" s="23" t="s">
        <v>876</v>
      </c>
      <c r="C1492" s="23" t="s">
        <v>2365</v>
      </c>
      <c r="D1492" s="23" t="s">
        <v>948</v>
      </c>
      <c r="E1492" s="23" t="s">
        <v>949</v>
      </c>
      <c r="F1492" s="23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22.5" customHeight="1">
      <c r="A1493" s="23" t="s">
        <v>2392</v>
      </c>
      <c r="B1493" s="23" t="s">
        <v>879</v>
      </c>
      <c r="C1493" s="23" t="s">
        <v>2365</v>
      </c>
      <c r="D1493" s="23" t="s">
        <v>948</v>
      </c>
      <c r="E1493" s="23" t="s">
        <v>949</v>
      </c>
      <c r="F1493" s="23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22.5" customHeight="1">
      <c r="A1494" s="23" t="s">
        <v>2393</v>
      </c>
      <c r="B1494" s="23" t="s">
        <v>881</v>
      </c>
      <c r="C1494" s="23" t="s">
        <v>2365</v>
      </c>
      <c r="D1494" s="23" t="s">
        <v>948</v>
      </c>
      <c r="E1494" s="23" t="s">
        <v>949</v>
      </c>
      <c r="F1494" s="23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22.5" customHeight="1">
      <c r="A1495" s="23" t="s">
        <v>2394</v>
      </c>
      <c r="B1495" s="23" t="s">
        <v>883</v>
      </c>
      <c r="C1495" s="23" t="s">
        <v>2365</v>
      </c>
      <c r="D1495" s="23" t="s">
        <v>948</v>
      </c>
      <c r="E1495" s="23" t="s">
        <v>949</v>
      </c>
      <c r="F1495" s="23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22.5" customHeight="1">
      <c r="A1496" s="23" t="s">
        <v>2395</v>
      </c>
      <c r="B1496" s="23" t="s">
        <v>885</v>
      </c>
      <c r="C1496" s="23" t="s">
        <v>2365</v>
      </c>
      <c r="D1496" s="23" t="s">
        <v>948</v>
      </c>
      <c r="E1496" s="23" t="s">
        <v>949</v>
      </c>
      <c r="F1496" s="23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22.5" customHeight="1">
      <c r="A1497" s="23" t="s">
        <v>2396</v>
      </c>
      <c r="B1497" s="23" t="s">
        <v>887</v>
      </c>
      <c r="C1497" s="23" t="s">
        <v>2365</v>
      </c>
      <c r="D1497" s="23" t="s">
        <v>948</v>
      </c>
      <c r="E1497" s="23" t="s">
        <v>949</v>
      </c>
      <c r="F1497" s="23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22.5" customHeight="1">
      <c r="A1498" s="23" t="s">
        <v>2397</v>
      </c>
      <c r="B1498" s="23" t="s">
        <v>892</v>
      </c>
      <c r="C1498" s="23" t="s">
        <v>2365</v>
      </c>
      <c r="D1498" s="23" t="s">
        <v>948</v>
      </c>
      <c r="E1498" s="23" t="s">
        <v>971</v>
      </c>
      <c r="F1498" s="23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22.5" customHeight="1">
      <c r="A1499" s="23" t="s">
        <v>2398</v>
      </c>
      <c r="B1499" s="23" t="s">
        <v>935</v>
      </c>
      <c r="C1499" s="23" t="s">
        <v>2365</v>
      </c>
      <c r="D1499" s="23" t="s">
        <v>948</v>
      </c>
      <c r="E1499" s="23" t="s">
        <v>949</v>
      </c>
      <c r="F1499" s="23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22.5" customHeight="1">
      <c r="A1500" s="23" t="s">
        <v>2399</v>
      </c>
      <c r="B1500" s="23" t="s">
        <v>895</v>
      </c>
      <c r="C1500" s="23" t="s">
        <v>2365</v>
      </c>
      <c r="D1500" s="23" t="s">
        <v>948</v>
      </c>
      <c r="E1500" s="23" t="s">
        <v>949</v>
      </c>
      <c r="F1500" s="23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22.5" customHeight="1">
      <c r="A1501" s="23" t="s">
        <v>2400</v>
      </c>
      <c r="B1501" s="23" t="s">
        <v>897</v>
      </c>
      <c r="C1501" s="23" t="s">
        <v>2365</v>
      </c>
      <c r="D1501" s="23" t="s">
        <v>948</v>
      </c>
      <c r="E1501" s="23" t="s">
        <v>949</v>
      </c>
      <c r="F1501" s="23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22.5" customHeight="1">
      <c r="A1502" s="23" t="s">
        <v>2401</v>
      </c>
      <c r="B1502" s="23" t="s">
        <v>889</v>
      </c>
      <c r="C1502" s="23" t="s">
        <v>2365</v>
      </c>
      <c r="D1502" s="23" t="s">
        <v>948</v>
      </c>
      <c r="E1502" s="23" t="s">
        <v>949</v>
      </c>
      <c r="F1502" s="23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22.5" customHeight="1">
      <c r="A1503" s="23" t="s">
        <v>2402</v>
      </c>
      <c r="B1503" s="23" t="s">
        <v>899</v>
      </c>
      <c r="C1503" s="23" t="s">
        <v>2365</v>
      </c>
      <c r="D1503" s="23" t="s">
        <v>948</v>
      </c>
      <c r="E1503" s="23" t="s">
        <v>949</v>
      </c>
      <c r="F1503" s="23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22.5" customHeight="1">
      <c r="A1504" s="23" t="s">
        <v>2403</v>
      </c>
      <c r="B1504" s="23" t="s">
        <v>901</v>
      </c>
      <c r="C1504" s="23" t="s">
        <v>2365</v>
      </c>
      <c r="D1504" s="23" t="s">
        <v>948</v>
      </c>
      <c r="E1504" s="23" t="s">
        <v>949</v>
      </c>
      <c r="F1504" s="23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22.5" customHeight="1">
      <c r="A1505" s="23" t="s">
        <v>2404</v>
      </c>
      <c r="B1505" s="23" t="s">
        <v>904</v>
      </c>
      <c r="C1505" s="23" t="s">
        <v>2365</v>
      </c>
      <c r="D1505" s="23" t="s">
        <v>948</v>
      </c>
      <c r="E1505" s="23" t="s">
        <v>949</v>
      </c>
      <c r="F1505" s="23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22.5" customHeight="1">
      <c r="A1506" s="23" t="s">
        <v>2405</v>
      </c>
      <c r="B1506" s="23" t="s">
        <v>906</v>
      </c>
      <c r="C1506" s="23" t="s">
        <v>2365</v>
      </c>
      <c r="D1506" s="23" t="s">
        <v>948</v>
      </c>
      <c r="E1506" s="23" t="s">
        <v>949</v>
      </c>
      <c r="F1506" s="23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22.5" customHeight="1">
      <c r="A1507" s="23" t="s">
        <v>2406</v>
      </c>
      <c r="B1507" s="23" t="s">
        <v>908</v>
      </c>
      <c r="C1507" s="23" t="s">
        <v>2365</v>
      </c>
      <c r="D1507" s="23" t="s">
        <v>948</v>
      </c>
      <c r="E1507" s="23" t="s">
        <v>949</v>
      </c>
      <c r="F1507" s="23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22.5" customHeight="1">
      <c r="A1508" s="23" t="s">
        <v>2407</v>
      </c>
      <c r="B1508" s="23" t="s">
        <v>936</v>
      </c>
      <c r="C1508" s="23" t="s">
        <v>2365</v>
      </c>
      <c r="D1508" s="23" t="s">
        <v>948</v>
      </c>
      <c r="E1508" s="23" t="s">
        <v>949</v>
      </c>
      <c r="F1508" s="23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22.5" customHeight="1">
      <c r="A1509" s="23" t="s">
        <v>2408</v>
      </c>
      <c r="B1509" s="23" t="s">
        <v>910</v>
      </c>
      <c r="C1509" s="23" t="s">
        <v>2365</v>
      </c>
      <c r="D1509" s="23" t="s">
        <v>948</v>
      </c>
      <c r="E1509" s="23" t="s">
        <v>949</v>
      </c>
      <c r="F1509" s="23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22.5" customHeight="1">
      <c r="A1510" s="23" t="s">
        <v>2409</v>
      </c>
      <c r="B1510" s="23" t="s">
        <v>937</v>
      </c>
      <c r="C1510" s="23" t="s">
        <v>2365</v>
      </c>
      <c r="D1510" s="23" t="s">
        <v>948</v>
      </c>
      <c r="E1510" s="23" t="s">
        <v>949</v>
      </c>
      <c r="F1510" s="23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22.5" customHeight="1">
      <c r="A1511" s="23" t="s">
        <v>2410</v>
      </c>
      <c r="B1511" s="23" t="s">
        <v>912</v>
      </c>
      <c r="C1511" s="23" t="s">
        <v>2365</v>
      </c>
      <c r="D1511" s="23" t="s">
        <v>948</v>
      </c>
      <c r="E1511" s="23" t="s">
        <v>949</v>
      </c>
      <c r="F1511" s="23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22.5" customHeight="1">
      <c r="A1512" s="23" t="s">
        <v>2411</v>
      </c>
      <c r="B1512" s="23" t="s">
        <v>938</v>
      </c>
      <c r="C1512" s="23" t="s">
        <v>2365</v>
      </c>
      <c r="D1512" s="23" t="s">
        <v>948</v>
      </c>
      <c r="E1512" s="23" t="s">
        <v>949</v>
      </c>
      <c r="F1512" s="23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22.5" customHeight="1">
      <c r="A1513" s="23" t="s">
        <v>2412</v>
      </c>
      <c r="B1513" s="23" t="s">
        <v>914</v>
      </c>
      <c r="C1513" s="23" t="s">
        <v>2365</v>
      </c>
      <c r="D1513" s="23" t="s">
        <v>948</v>
      </c>
      <c r="E1513" s="23" t="s">
        <v>949</v>
      </c>
      <c r="F1513" s="23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22.5" customHeight="1">
      <c r="A1514" s="23" t="s">
        <v>2413</v>
      </c>
      <c r="B1514" s="23" t="s">
        <v>939</v>
      </c>
      <c r="C1514" s="23" t="s">
        <v>2365</v>
      </c>
      <c r="D1514" s="23" t="s">
        <v>948</v>
      </c>
      <c r="E1514" s="23" t="s">
        <v>949</v>
      </c>
      <c r="F1514" s="23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22.5" customHeight="1">
      <c r="A1515" s="23" t="s">
        <v>2414</v>
      </c>
      <c r="B1515" s="23" t="s">
        <v>917</v>
      </c>
      <c r="C1515" s="23" t="s">
        <v>2365</v>
      </c>
      <c r="D1515" s="23" t="s">
        <v>948</v>
      </c>
      <c r="E1515" s="23" t="s">
        <v>949</v>
      </c>
      <c r="F1515" s="23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22.5" customHeight="1">
      <c r="A1516" s="23" t="s">
        <v>2415</v>
      </c>
      <c r="B1516" s="23" t="s">
        <v>873</v>
      </c>
      <c r="C1516" s="23" t="s">
        <v>2365</v>
      </c>
      <c r="D1516" s="23" t="s">
        <v>948</v>
      </c>
      <c r="E1516" s="23" t="s">
        <v>949</v>
      </c>
      <c r="F1516" s="23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22.5" customHeight="1">
      <c r="A1517" s="23" t="s">
        <v>2416</v>
      </c>
      <c r="B1517" s="23" t="s">
        <v>920</v>
      </c>
      <c r="C1517" s="23" t="s">
        <v>2365</v>
      </c>
      <c r="D1517" s="23" t="s">
        <v>948</v>
      </c>
      <c r="E1517" s="23" t="s">
        <v>949</v>
      </c>
      <c r="F1517" s="23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22.5" customHeight="1">
      <c r="A1518" s="23" t="s">
        <v>2417</v>
      </c>
      <c r="B1518" s="23" t="s">
        <v>923</v>
      </c>
      <c r="C1518" s="23" t="s">
        <v>2365</v>
      </c>
      <c r="D1518" s="23" t="s">
        <v>948</v>
      </c>
      <c r="E1518" s="23" t="s">
        <v>949</v>
      </c>
      <c r="F1518" s="23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22.5" customHeight="1">
      <c r="A1519" s="23" t="s">
        <v>2418</v>
      </c>
      <c r="B1519" s="23" t="s">
        <v>926</v>
      </c>
      <c r="C1519" s="23" t="s">
        <v>2365</v>
      </c>
      <c r="D1519" s="23" t="s">
        <v>948</v>
      </c>
      <c r="E1519" s="23" t="s">
        <v>949</v>
      </c>
      <c r="F1519" s="23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22.5" customHeight="1">
      <c r="A1520" s="23" t="s">
        <v>2419</v>
      </c>
      <c r="B1520" s="23" t="s">
        <v>929</v>
      </c>
      <c r="C1520" s="23" t="s">
        <v>2365</v>
      </c>
      <c r="D1520" s="23" t="s">
        <v>948</v>
      </c>
      <c r="E1520" s="23" t="s">
        <v>949</v>
      </c>
      <c r="F1520" s="23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22.5" customHeight="1">
      <c r="A1521" s="23" t="s">
        <v>2420</v>
      </c>
      <c r="B1521" s="23" t="s">
        <v>932</v>
      </c>
      <c r="C1521" s="23" t="s">
        <v>2365</v>
      </c>
      <c r="D1521" s="23" t="s">
        <v>948</v>
      </c>
      <c r="E1521" s="23" t="s">
        <v>949</v>
      </c>
      <c r="F1521" s="23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22.5" customHeight="1">
      <c r="A1522" s="23" t="s">
        <v>2421</v>
      </c>
      <c r="B1522" s="23" t="s">
        <v>934</v>
      </c>
      <c r="C1522" s="23" t="s">
        <v>2365</v>
      </c>
      <c r="D1522" s="23" t="s">
        <v>948</v>
      </c>
      <c r="E1522" s="23" t="s">
        <v>971</v>
      </c>
      <c r="F1522" s="23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22.5" customHeight="1">
      <c r="A1523" s="23" t="s">
        <v>2422</v>
      </c>
      <c r="B1523" s="23" t="s">
        <v>116</v>
      </c>
      <c r="C1523" s="23" t="s">
        <v>2423</v>
      </c>
      <c r="D1523" s="23" t="s">
        <v>948</v>
      </c>
      <c r="E1523" s="23" t="s">
        <v>949</v>
      </c>
      <c r="F1523" s="23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22.5" customHeight="1">
      <c r="A1524" s="23" t="s">
        <v>2424</v>
      </c>
      <c r="B1524" s="23" t="s">
        <v>123</v>
      </c>
      <c r="C1524" s="23" t="s">
        <v>2423</v>
      </c>
      <c r="D1524" s="23" t="s">
        <v>948</v>
      </c>
      <c r="E1524" s="23" t="s">
        <v>949</v>
      </c>
      <c r="F1524" s="23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22.5" customHeight="1">
      <c r="A1525" s="23" t="s">
        <v>2425</v>
      </c>
      <c r="B1525" s="23" t="s">
        <v>131</v>
      </c>
      <c r="C1525" s="23" t="s">
        <v>2423</v>
      </c>
      <c r="D1525" s="23" t="s">
        <v>948</v>
      </c>
      <c r="E1525" s="23" t="s">
        <v>949</v>
      </c>
      <c r="F1525" s="23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22.5" customHeight="1">
      <c r="A1526" s="23" t="s">
        <v>2426</v>
      </c>
      <c r="B1526" s="23" t="s">
        <v>137</v>
      </c>
      <c r="C1526" s="23" t="s">
        <v>2423</v>
      </c>
      <c r="D1526" s="23" t="s">
        <v>948</v>
      </c>
      <c r="E1526" s="23" t="s">
        <v>949</v>
      </c>
      <c r="F1526" s="23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22.5" customHeight="1">
      <c r="A1527" s="23" t="s">
        <v>2427</v>
      </c>
      <c r="B1527" s="23" t="s">
        <v>144</v>
      </c>
      <c r="C1527" s="23" t="s">
        <v>2423</v>
      </c>
      <c r="D1527" s="23" t="s">
        <v>948</v>
      </c>
      <c r="E1527" s="23" t="s">
        <v>949</v>
      </c>
      <c r="F1527" s="23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22.5" customHeight="1">
      <c r="A1528" s="23" t="s">
        <v>2428</v>
      </c>
      <c r="B1528" s="23" t="s">
        <v>151</v>
      </c>
      <c r="C1528" s="23" t="s">
        <v>2423</v>
      </c>
      <c r="D1528" s="23" t="s">
        <v>948</v>
      </c>
      <c r="E1528" s="23" t="s">
        <v>949</v>
      </c>
      <c r="F1528" s="23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22.5" customHeight="1">
      <c r="A1529" s="23" t="s">
        <v>2429</v>
      </c>
      <c r="B1529" s="23" t="s">
        <v>734</v>
      </c>
      <c r="C1529" s="23" t="s">
        <v>2423</v>
      </c>
      <c r="D1529" s="23" t="s">
        <v>948</v>
      </c>
      <c r="E1529" s="23" t="s">
        <v>949</v>
      </c>
      <c r="F1529" s="23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22.5" customHeight="1">
      <c r="A1530" s="23" t="s">
        <v>2430</v>
      </c>
      <c r="B1530" s="23" t="s">
        <v>831</v>
      </c>
      <c r="C1530" s="23" t="s">
        <v>2423</v>
      </c>
      <c r="D1530" s="23" t="s">
        <v>948</v>
      </c>
      <c r="E1530" s="23" t="s">
        <v>971</v>
      </c>
      <c r="F1530" s="23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22.5" customHeight="1">
      <c r="A1531" s="23" t="s">
        <v>2431</v>
      </c>
      <c r="B1531" s="23" t="s">
        <v>833</v>
      </c>
      <c r="C1531" s="23" t="s">
        <v>2423</v>
      </c>
      <c r="D1531" s="23" t="s">
        <v>948</v>
      </c>
      <c r="E1531" s="23" t="s">
        <v>971</v>
      </c>
      <c r="F1531" s="23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22.5" customHeight="1">
      <c r="A1532" s="23" t="s">
        <v>2432</v>
      </c>
      <c r="B1532" s="23" t="s">
        <v>811</v>
      </c>
      <c r="C1532" s="23" t="s">
        <v>2423</v>
      </c>
      <c r="D1532" s="23" t="s">
        <v>948</v>
      </c>
      <c r="E1532" s="23" t="s">
        <v>949</v>
      </c>
      <c r="F1532" s="23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22.5" customHeight="1">
      <c r="A1533" s="23" t="s">
        <v>2433</v>
      </c>
      <c r="B1533" s="23" t="s">
        <v>838</v>
      </c>
      <c r="C1533" s="23" t="s">
        <v>2423</v>
      </c>
      <c r="D1533" s="23" t="s">
        <v>948</v>
      </c>
      <c r="E1533" s="23" t="s">
        <v>949</v>
      </c>
      <c r="F1533" s="23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22.5" customHeight="1">
      <c r="A1534" s="23" t="s">
        <v>2434</v>
      </c>
      <c r="B1534" s="23" t="s">
        <v>840</v>
      </c>
      <c r="C1534" s="23" t="s">
        <v>2423</v>
      </c>
      <c r="D1534" s="23" t="s">
        <v>948</v>
      </c>
      <c r="E1534" s="23" t="s">
        <v>971</v>
      </c>
      <c r="F1534" s="23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22.5" customHeight="1">
      <c r="A1535" s="23" t="s">
        <v>2435</v>
      </c>
      <c r="B1535" s="23" t="s">
        <v>842</v>
      </c>
      <c r="C1535" s="23" t="s">
        <v>2423</v>
      </c>
      <c r="D1535" s="23" t="s">
        <v>948</v>
      </c>
      <c r="E1535" s="23" t="s">
        <v>949</v>
      </c>
      <c r="F1535" s="23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22.5" customHeight="1">
      <c r="A1536" s="23" t="s">
        <v>2436</v>
      </c>
      <c r="B1536" s="23" t="s">
        <v>844</v>
      </c>
      <c r="C1536" s="23" t="s">
        <v>2423</v>
      </c>
      <c r="D1536" s="23" t="s">
        <v>948</v>
      </c>
      <c r="E1536" s="23" t="s">
        <v>949</v>
      </c>
      <c r="F1536" s="23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22.5" customHeight="1">
      <c r="A1537" s="23" t="s">
        <v>2437</v>
      </c>
      <c r="B1537" s="23" t="s">
        <v>846</v>
      </c>
      <c r="C1537" s="23" t="s">
        <v>2423</v>
      </c>
      <c r="D1537" s="23" t="s">
        <v>948</v>
      </c>
      <c r="E1537" s="23" t="s">
        <v>949</v>
      </c>
      <c r="F1537" s="23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22.5" customHeight="1">
      <c r="A1538" s="23" t="s">
        <v>2438</v>
      </c>
      <c r="B1538" s="23" t="s">
        <v>848</v>
      </c>
      <c r="C1538" s="23" t="s">
        <v>2423</v>
      </c>
      <c r="D1538" s="23" t="s">
        <v>948</v>
      </c>
      <c r="E1538" s="23" t="s">
        <v>949</v>
      </c>
      <c r="F1538" s="23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22.5" customHeight="1">
      <c r="A1539" s="23" t="s">
        <v>2439</v>
      </c>
      <c r="B1539" s="23" t="s">
        <v>850</v>
      </c>
      <c r="C1539" s="23" t="s">
        <v>2423</v>
      </c>
      <c r="D1539" s="23" t="s">
        <v>948</v>
      </c>
      <c r="E1539" s="23" t="s">
        <v>971</v>
      </c>
      <c r="F1539" s="23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22.5" customHeight="1">
      <c r="A1540" s="23" t="s">
        <v>2440</v>
      </c>
      <c r="B1540" s="23" t="s">
        <v>853</v>
      </c>
      <c r="C1540" s="23" t="s">
        <v>2423</v>
      </c>
      <c r="D1540" s="23" t="s">
        <v>948</v>
      </c>
      <c r="E1540" s="23" t="s">
        <v>971</v>
      </c>
      <c r="F1540" s="23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22.5" customHeight="1">
      <c r="A1541" s="23" t="s">
        <v>2441</v>
      </c>
      <c r="B1541" s="23" t="s">
        <v>855</v>
      </c>
      <c r="C1541" s="23" t="s">
        <v>2423</v>
      </c>
      <c r="D1541" s="23" t="s">
        <v>948</v>
      </c>
      <c r="E1541" s="23" t="s">
        <v>971</v>
      </c>
      <c r="F1541" s="23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22.5" customHeight="1">
      <c r="A1542" s="23" t="s">
        <v>2442</v>
      </c>
      <c r="B1542" s="23" t="s">
        <v>857</v>
      </c>
      <c r="C1542" s="23" t="s">
        <v>2423</v>
      </c>
      <c r="D1542" s="23" t="s">
        <v>948</v>
      </c>
      <c r="E1542" s="23" t="s">
        <v>971</v>
      </c>
      <c r="F1542" s="23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22.5" customHeight="1">
      <c r="A1543" s="23" t="s">
        <v>2443</v>
      </c>
      <c r="B1543" s="23" t="s">
        <v>860</v>
      </c>
      <c r="C1543" s="23" t="s">
        <v>2423</v>
      </c>
      <c r="D1543" s="23" t="s">
        <v>948</v>
      </c>
      <c r="E1543" s="23" t="s">
        <v>971</v>
      </c>
      <c r="F1543" s="23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22.5" customHeight="1">
      <c r="A1544" s="23" t="s">
        <v>2444</v>
      </c>
      <c r="B1544" s="23" t="s">
        <v>862</v>
      </c>
      <c r="C1544" s="23" t="s">
        <v>2423</v>
      </c>
      <c r="D1544" s="23" t="s">
        <v>948</v>
      </c>
      <c r="E1544" s="23" t="s">
        <v>971</v>
      </c>
      <c r="F1544" s="23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22.5" customHeight="1">
      <c r="A1545" s="23" t="s">
        <v>2445</v>
      </c>
      <c r="B1545" s="23" t="s">
        <v>865</v>
      </c>
      <c r="C1545" s="23" t="s">
        <v>2423</v>
      </c>
      <c r="D1545" s="23" t="s">
        <v>948</v>
      </c>
      <c r="E1545" s="23" t="s">
        <v>971</v>
      </c>
      <c r="F1545" s="23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22.5" customHeight="1">
      <c r="A1546" s="23" t="s">
        <v>2446</v>
      </c>
      <c r="B1546" s="23" t="s">
        <v>867</v>
      </c>
      <c r="C1546" s="23" t="s">
        <v>2423</v>
      </c>
      <c r="D1546" s="23" t="s">
        <v>948</v>
      </c>
      <c r="E1546" s="23" t="s">
        <v>971</v>
      </c>
      <c r="F1546" s="23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22.5" customHeight="1">
      <c r="A1547" s="23" t="s">
        <v>2447</v>
      </c>
      <c r="B1547" s="23" t="s">
        <v>869</v>
      </c>
      <c r="C1547" s="23" t="s">
        <v>2423</v>
      </c>
      <c r="D1547" s="23" t="s">
        <v>948</v>
      </c>
      <c r="E1547" s="23" t="s">
        <v>971</v>
      </c>
      <c r="F1547" s="23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22.5" customHeight="1">
      <c r="A1548" s="23" t="s">
        <v>2448</v>
      </c>
      <c r="B1548" s="23" t="s">
        <v>871</v>
      </c>
      <c r="C1548" s="23" t="s">
        <v>2423</v>
      </c>
      <c r="D1548" s="23" t="s">
        <v>948</v>
      </c>
      <c r="E1548" s="23" t="s">
        <v>971</v>
      </c>
      <c r="F1548" s="23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22.5" customHeight="1">
      <c r="A1549" s="23" t="s">
        <v>2449</v>
      </c>
      <c r="B1549" s="23" t="s">
        <v>876</v>
      </c>
      <c r="C1549" s="23" t="s">
        <v>2423</v>
      </c>
      <c r="D1549" s="23" t="s">
        <v>948</v>
      </c>
      <c r="E1549" s="23" t="s">
        <v>971</v>
      </c>
      <c r="F1549" s="23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22.5" customHeight="1">
      <c r="A1550" s="23" t="s">
        <v>2450</v>
      </c>
      <c r="B1550" s="23" t="s">
        <v>879</v>
      </c>
      <c r="C1550" s="23" t="s">
        <v>2423</v>
      </c>
      <c r="D1550" s="23" t="s">
        <v>948</v>
      </c>
      <c r="E1550" s="23" t="s">
        <v>971</v>
      </c>
      <c r="F1550" s="23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22.5" customHeight="1">
      <c r="A1551" s="23" t="s">
        <v>2451</v>
      </c>
      <c r="B1551" s="23" t="s">
        <v>881</v>
      </c>
      <c r="C1551" s="23" t="s">
        <v>2423</v>
      </c>
      <c r="D1551" s="23" t="s">
        <v>948</v>
      </c>
      <c r="E1551" s="23" t="s">
        <v>971</v>
      </c>
      <c r="F1551" s="23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22.5" customHeight="1">
      <c r="A1552" s="23" t="s">
        <v>2452</v>
      </c>
      <c r="B1552" s="23" t="s">
        <v>883</v>
      </c>
      <c r="C1552" s="23" t="s">
        <v>2423</v>
      </c>
      <c r="D1552" s="23" t="s">
        <v>948</v>
      </c>
      <c r="E1552" s="23" t="s">
        <v>971</v>
      </c>
      <c r="F1552" s="23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22.5" customHeight="1">
      <c r="A1553" s="23" t="s">
        <v>2453</v>
      </c>
      <c r="B1553" s="23" t="s">
        <v>885</v>
      </c>
      <c r="C1553" s="23" t="s">
        <v>2423</v>
      </c>
      <c r="D1553" s="23" t="s">
        <v>948</v>
      </c>
      <c r="E1553" s="23" t="s">
        <v>971</v>
      </c>
      <c r="F1553" s="23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22.5" customHeight="1">
      <c r="A1554" s="23" t="s">
        <v>2454</v>
      </c>
      <c r="B1554" s="23" t="s">
        <v>887</v>
      </c>
      <c r="C1554" s="23" t="s">
        <v>2423</v>
      </c>
      <c r="D1554" s="23" t="s">
        <v>948</v>
      </c>
      <c r="E1554" s="23" t="s">
        <v>971</v>
      </c>
      <c r="F1554" s="23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22.5" customHeight="1">
      <c r="A1555" s="23" t="s">
        <v>2455</v>
      </c>
      <c r="B1555" s="23" t="s">
        <v>892</v>
      </c>
      <c r="C1555" s="23" t="s">
        <v>2423</v>
      </c>
      <c r="D1555" s="23" t="s">
        <v>948</v>
      </c>
      <c r="E1555" s="23" t="s">
        <v>949</v>
      </c>
      <c r="F1555" s="23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22.5" customHeight="1">
      <c r="A1556" s="23" t="s">
        <v>2456</v>
      </c>
      <c r="B1556" s="23" t="s">
        <v>935</v>
      </c>
      <c r="C1556" s="23" t="s">
        <v>2423</v>
      </c>
      <c r="D1556" s="23" t="s">
        <v>948</v>
      </c>
      <c r="E1556" s="23" t="s">
        <v>949</v>
      </c>
      <c r="F1556" s="23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22.5" customHeight="1">
      <c r="A1557" s="23" t="s">
        <v>2457</v>
      </c>
      <c r="B1557" s="23" t="s">
        <v>895</v>
      </c>
      <c r="C1557" s="23" t="s">
        <v>2423</v>
      </c>
      <c r="D1557" s="23" t="s">
        <v>948</v>
      </c>
      <c r="E1557" s="23" t="s">
        <v>949</v>
      </c>
      <c r="F1557" s="23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22.5" customHeight="1">
      <c r="A1558" s="23" t="s">
        <v>2458</v>
      </c>
      <c r="B1558" s="23" t="s">
        <v>897</v>
      </c>
      <c r="C1558" s="23" t="s">
        <v>2423</v>
      </c>
      <c r="D1558" s="23" t="s">
        <v>948</v>
      </c>
      <c r="E1558" s="23" t="s">
        <v>949</v>
      </c>
      <c r="F1558" s="23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22.5" customHeight="1">
      <c r="A1559" s="23" t="s">
        <v>2459</v>
      </c>
      <c r="B1559" s="23" t="s">
        <v>889</v>
      </c>
      <c r="C1559" s="23" t="s">
        <v>2423</v>
      </c>
      <c r="D1559" s="23" t="s">
        <v>948</v>
      </c>
      <c r="E1559" s="23" t="s">
        <v>949</v>
      </c>
      <c r="F1559" s="23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22.5" customHeight="1">
      <c r="A1560" s="23" t="s">
        <v>2460</v>
      </c>
      <c r="B1560" s="23" t="s">
        <v>899</v>
      </c>
      <c r="C1560" s="23" t="s">
        <v>2423</v>
      </c>
      <c r="D1560" s="23" t="s">
        <v>948</v>
      </c>
      <c r="E1560" s="23" t="s">
        <v>949</v>
      </c>
      <c r="F1560" s="23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22.5" customHeight="1">
      <c r="A1561" s="23" t="s">
        <v>2461</v>
      </c>
      <c r="B1561" s="23" t="s">
        <v>901</v>
      </c>
      <c r="C1561" s="23" t="s">
        <v>2423</v>
      </c>
      <c r="D1561" s="23" t="s">
        <v>948</v>
      </c>
      <c r="E1561" s="23" t="s">
        <v>971</v>
      </c>
      <c r="F1561" s="23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22.5" customHeight="1">
      <c r="A1562" s="23" t="s">
        <v>2462</v>
      </c>
      <c r="B1562" s="23" t="s">
        <v>904</v>
      </c>
      <c r="C1562" s="23" t="s">
        <v>2423</v>
      </c>
      <c r="D1562" s="23" t="s">
        <v>948</v>
      </c>
      <c r="E1562" s="23" t="s">
        <v>949</v>
      </c>
      <c r="F1562" s="23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22.5" customHeight="1">
      <c r="A1563" s="23" t="s">
        <v>2463</v>
      </c>
      <c r="B1563" s="23" t="s">
        <v>906</v>
      </c>
      <c r="C1563" s="23" t="s">
        <v>2423</v>
      </c>
      <c r="D1563" s="23" t="s">
        <v>948</v>
      </c>
      <c r="E1563" s="23" t="s">
        <v>949</v>
      </c>
      <c r="F1563" s="23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22.5" customHeight="1">
      <c r="A1564" s="23" t="s">
        <v>2464</v>
      </c>
      <c r="B1564" s="23" t="s">
        <v>908</v>
      </c>
      <c r="C1564" s="23" t="s">
        <v>2423</v>
      </c>
      <c r="D1564" s="23" t="s">
        <v>948</v>
      </c>
      <c r="E1564" s="23" t="s">
        <v>971</v>
      </c>
      <c r="F1564" s="23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22.5" customHeight="1">
      <c r="A1565" s="23" t="s">
        <v>2465</v>
      </c>
      <c r="B1565" s="23" t="s">
        <v>936</v>
      </c>
      <c r="C1565" s="23" t="s">
        <v>2423</v>
      </c>
      <c r="D1565" s="23" t="s">
        <v>948</v>
      </c>
      <c r="E1565" s="23" t="s">
        <v>949</v>
      </c>
      <c r="F1565" s="23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22.5" customHeight="1">
      <c r="A1566" s="23" t="s">
        <v>2466</v>
      </c>
      <c r="B1566" s="23" t="s">
        <v>910</v>
      </c>
      <c r="C1566" s="23" t="s">
        <v>2423</v>
      </c>
      <c r="D1566" s="23" t="s">
        <v>948</v>
      </c>
      <c r="E1566" s="23" t="s">
        <v>971</v>
      </c>
      <c r="F1566" s="23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22.5" customHeight="1">
      <c r="A1567" s="23" t="s">
        <v>2467</v>
      </c>
      <c r="B1567" s="23" t="s">
        <v>937</v>
      </c>
      <c r="C1567" s="23" t="s">
        <v>2423</v>
      </c>
      <c r="D1567" s="23" t="s">
        <v>948</v>
      </c>
      <c r="E1567" s="23" t="s">
        <v>971</v>
      </c>
      <c r="F1567" s="23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22.5" customHeight="1">
      <c r="A1568" s="23" t="s">
        <v>2468</v>
      </c>
      <c r="B1568" s="23" t="s">
        <v>912</v>
      </c>
      <c r="C1568" s="23" t="s">
        <v>2423</v>
      </c>
      <c r="D1568" s="23" t="s">
        <v>948</v>
      </c>
      <c r="E1568" s="23" t="s">
        <v>971</v>
      </c>
      <c r="F1568" s="23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22.5" customHeight="1">
      <c r="A1569" s="23" t="s">
        <v>2469</v>
      </c>
      <c r="B1569" s="23" t="s">
        <v>938</v>
      </c>
      <c r="C1569" s="23" t="s">
        <v>2423</v>
      </c>
      <c r="D1569" s="23" t="s">
        <v>948</v>
      </c>
      <c r="E1569" s="23" t="s">
        <v>949</v>
      </c>
      <c r="F1569" s="23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22.5" customHeight="1">
      <c r="A1570" s="23" t="s">
        <v>2470</v>
      </c>
      <c r="B1570" s="23" t="s">
        <v>914</v>
      </c>
      <c r="C1570" s="23" t="s">
        <v>2423</v>
      </c>
      <c r="D1570" s="23" t="s">
        <v>948</v>
      </c>
      <c r="E1570" s="23" t="s">
        <v>949</v>
      </c>
      <c r="F1570" s="23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22.5" customHeight="1">
      <c r="A1571" s="23" t="s">
        <v>2471</v>
      </c>
      <c r="B1571" s="23" t="s">
        <v>939</v>
      </c>
      <c r="C1571" s="23" t="s">
        <v>2423</v>
      </c>
      <c r="D1571" s="23" t="s">
        <v>948</v>
      </c>
      <c r="E1571" s="23" t="s">
        <v>949</v>
      </c>
      <c r="F1571" s="23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22.5" customHeight="1">
      <c r="A1572" s="23" t="s">
        <v>2472</v>
      </c>
      <c r="B1572" s="23" t="s">
        <v>917</v>
      </c>
      <c r="C1572" s="23" t="s">
        <v>2423</v>
      </c>
      <c r="D1572" s="23" t="s">
        <v>948</v>
      </c>
      <c r="E1572" s="23" t="s">
        <v>971</v>
      </c>
      <c r="F1572" s="23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22.5" customHeight="1">
      <c r="A1573" s="23" t="s">
        <v>2473</v>
      </c>
      <c r="B1573" s="23" t="s">
        <v>873</v>
      </c>
      <c r="C1573" s="23" t="s">
        <v>2423</v>
      </c>
      <c r="D1573" s="23" t="s">
        <v>948</v>
      </c>
      <c r="E1573" s="23" t="s">
        <v>971</v>
      </c>
      <c r="F1573" s="23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22.5" customHeight="1">
      <c r="A1574" s="23" t="s">
        <v>2474</v>
      </c>
      <c r="B1574" s="23" t="s">
        <v>920</v>
      </c>
      <c r="C1574" s="23" t="s">
        <v>2423</v>
      </c>
      <c r="D1574" s="23" t="s">
        <v>948</v>
      </c>
      <c r="E1574" s="23" t="s">
        <v>971</v>
      </c>
      <c r="F1574" s="23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22.5" customHeight="1">
      <c r="A1575" s="23" t="s">
        <v>2475</v>
      </c>
      <c r="B1575" s="23" t="s">
        <v>923</v>
      </c>
      <c r="C1575" s="23" t="s">
        <v>2423</v>
      </c>
      <c r="D1575" s="23" t="s">
        <v>948</v>
      </c>
      <c r="E1575" s="23" t="s">
        <v>949</v>
      </c>
      <c r="F1575" s="23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22.5" customHeight="1">
      <c r="A1576" s="23" t="s">
        <v>2476</v>
      </c>
      <c r="B1576" s="23" t="s">
        <v>926</v>
      </c>
      <c r="C1576" s="23" t="s">
        <v>2423</v>
      </c>
      <c r="D1576" s="23" t="s">
        <v>948</v>
      </c>
      <c r="E1576" s="23" t="s">
        <v>971</v>
      </c>
      <c r="F1576" s="23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22.5" customHeight="1">
      <c r="A1577" s="23" t="s">
        <v>2477</v>
      </c>
      <c r="B1577" s="23" t="s">
        <v>929</v>
      </c>
      <c r="C1577" s="23" t="s">
        <v>2423</v>
      </c>
      <c r="D1577" s="23" t="s">
        <v>948</v>
      </c>
      <c r="E1577" s="23" t="s">
        <v>971</v>
      </c>
      <c r="F1577" s="23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22.5" customHeight="1">
      <c r="A1578" s="23" t="s">
        <v>2478</v>
      </c>
      <c r="B1578" s="23" t="s">
        <v>932</v>
      </c>
      <c r="C1578" s="23" t="s">
        <v>2423</v>
      </c>
      <c r="D1578" s="23" t="s">
        <v>948</v>
      </c>
      <c r="E1578" s="23" t="s">
        <v>949</v>
      </c>
      <c r="F1578" s="23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22.5" customHeight="1">
      <c r="A1579" s="23" t="s">
        <v>2479</v>
      </c>
      <c r="B1579" s="23" t="s">
        <v>934</v>
      </c>
      <c r="C1579" s="23" t="s">
        <v>2423</v>
      </c>
      <c r="D1579" s="23" t="s">
        <v>948</v>
      </c>
      <c r="E1579" s="23" t="s">
        <v>971</v>
      </c>
      <c r="F1579" s="23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22.5" customHeight="1">
      <c r="A1580" s="23" t="s">
        <v>2480</v>
      </c>
      <c r="B1580" s="23" t="s">
        <v>942</v>
      </c>
      <c r="C1580" s="23" t="s">
        <v>2423</v>
      </c>
      <c r="D1580" s="23" t="s">
        <v>948</v>
      </c>
      <c r="E1580" s="23" t="s">
        <v>971</v>
      </c>
      <c r="F1580" s="23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22.5" customHeight="1">
      <c r="A1581" s="23" t="s">
        <v>2481</v>
      </c>
      <c r="B1581" s="23" t="s">
        <v>793</v>
      </c>
      <c r="C1581" s="23" t="s">
        <v>2423</v>
      </c>
      <c r="D1581" s="23" t="s">
        <v>948</v>
      </c>
      <c r="E1581" s="23" t="s">
        <v>971</v>
      </c>
      <c r="F1581" s="23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22.5" customHeight="1">
      <c r="A1582" s="23" t="s">
        <v>2482</v>
      </c>
      <c r="B1582" s="23" t="s">
        <v>752</v>
      </c>
      <c r="C1582" s="23" t="s">
        <v>2423</v>
      </c>
      <c r="D1582" s="23" t="s">
        <v>948</v>
      </c>
      <c r="E1582" s="23" t="s">
        <v>971</v>
      </c>
      <c r="F1582" s="23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22.5" customHeight="1">
      <c r="A1583" s="23" t="s">
        <v>2483</v>
      </c>
      <c r="B1583" s="23" t="s">
        <v>764</v>
      </c>
      <c r="C1583" s="23" t="s">
        <v>2423</v>
      </c>
      <c r="D1583" s="23" t="s">
        <v>948</v>
      </c>
      <c r="E1583" s="23" t="s">
        <v>971</v>
      </c>
      <c r="F1583" s="23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22.5" customHeight="1">
      <c r="A1584" s="23" t="s">
        <v>2484</v>
      </c>
      <c r="B1584" s="23" t="s">
        <v>796</v>
      </c>
      <c r="C1584" s="23" t="s">
        <v>2423</v>
      </c>
      <c r="D1584" s="23" t="s">
        <v>948</v>
      </c>
      <c r="E1584" s="23" t="s">
        <v>971</v>
      </c>
      <c r="F1584" s="23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22.5" customHeight="1">
      <c r="A1585" s="23" t="s">
        <v>2485</v>
      </c>
      <c r="B1585" s="23" t="s">
        <v>766</v>
      </c>
      <c r="C1585" s="23" t="s">
        <v>2423</v>
      </c>
      <c r="D1585" s="23" t="s">
        <v>948</v>
      </c>
      <c r="E1585" s="23" t="s">
        <v>971</v>
      </c>
      <c r="F1585" s="23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22.5" customHeight="1">
      <c r="A1586" s="23" t="s">
        <v>2486</v>
      </c>
      <c r="B1586" s="23" t="s">
        <v>756</v>
      </c>
      <c r="C1586" s="23" t="s">
        <v>2423</v>
      </c>
      <c r="D1586" s="23" t="s">
        <v>948</v>
      </c>
      <c r="E1586" s="23" t="s">
        <v>971</v>
      </c>
      <c r="F1586" s="23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22.5" customHeight="1">
      <c r="A1587" s="23" t="s">
        <v>2487</v>
      </c>
      <c r="B1587" s="23" t="s">
        <v>769</v>
      </c>
      <c r="C1587" s="23" t="s">
        <v>2423</v>
      </c>
      <c r="D1587" s="23" t="s">
        <v>948</v>
      </c>
      <c r="E1587" s="23" t="s">
        <v>971</v>
      </c>
      <c r="F1587" s="23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22.5" customHeight="1">
      <c r="A1588" s="23" t="s">
        <v>2488</v>
      </c>
      <c r="B1588" s="23" t="s">
        <v>810</v>
      </c>
      <c r="C1588" s="23" t="s">
        <v>2423</v>
      </c>
      <c r="D1588" s="23" t="s">
        <v>948</v>
      </c>
      <c r="E1588" s="23" t="s">
        <v>971</v>
      </c>
      <c r="F1588" s="23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22.5" customHeight="1">
      <c r="A1589" s="23" t="s">
        <v>2489</v>
      </c>
      <c r="B1589" s="23" t="s">
        <v>771</v>
      </c>
      <c r="C1589" s="23" t="s">
        <v>2423</v>
      </c>
      <c r="D1589" s="23" t="s">
        <v>948</v>
      </c>
      <c r="E1589" s="23" t="s">
        <v>971</v>
      </c>
      <c r="F1589" s="23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22.5" customHeight="1">
      <c r="A1590" s="23" t="s">
        <v>2490</v>
      </c>
      <c r="B1590" s="23" t="s">
        <v>773</v>
      </c>
      <c r="C1590" s="23" t="s">
        <v>2423</v>
      </c>
      <c r="D1590" s="23" t="s">
        <v>948</v>
      </c>
      <c r="E1590" s="23" t="s">
        <v>971</v>
      </c>
      <c r="F1590" s="23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22.5" customHeight="1">
      <c r="A1591" s="23" t="s">
        <v>2491</v>
      </c>
      <c r="B1591" s="23" t="s">
        <v>719</v>
      </c>
      <c r="C1591" s="23" t="s">
        <v>2423</v>
      </c>
      <c r="D1591" s="23" t="s">
        <v>948</v>
      </c>
      <c r="E1591" s="23" t="s">
        <v>949</v>
      </c>
      <c r="F1591" s="23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22.5" customHeight="1">
      <c r="A1592" s="23" t="s">
        <v>2492</v>
      </c>
      <c r="B1592" s="23" t="s">
        <v>725</v>
      </c>
      <c r="C1592" s="23" t="s">
        <v>2423</v>
      </c>
      <c r="D1592" s="23" t="s">
        <v>948</v>
      </c>
      <c r="E1592" s="23" t="s">
        <v>949</v>
      </c>
      <c r="F1592" s="23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22.5" customHeight="1">
      <c r="A1593" s="23" t="s">
        <v>2493</v>
      </c>
      <c r="B1593" s="23" t="s">
        <v>708</v>
      </c>
      <c r="C1593" s="23" t="s">
        <v>2423</v>
      </c>
      <c r="D1593" s="23" t="s">
        <v>948</v>
      </c>
      <c r="E1593" s="23" t="s">
        <v>949</v>
      </c>
      <c r="F1593" s="23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22.5" customHeight="1">
      <c r="A1594" s="23" t="s">
        <v>2494</v>
      </c>
      <c r="B1594" s="23" t="s">
        <v>798</v>
      </c>
      <c r="C1594" s="23" t="s">
        <v>2423</v>
      </c>
      <c r="D1594" s="23" t="s">
        <v>948</v>
      </c>
      <c r="E1594" s="23" t="s">
        <v>971</v>
      </c>
      <c r="F1594" s="23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22.5" customHeight="1">
      <c r="A1595" s="23" t="s">
        <v>2495</v>
      </c>
      <c r="B1595" s="23" t="s">
        <v>781</v>
      </c>
      <c r="C1595" s="23" t="s">
        <v>2423</v>
      </c>
      <c r="D1595" s="23" t="s">
        <v>948</v>
      </c>
      <c r="E1595" s="23" t="s">
        <v>971</v>
      </c>
      <c r="F1595" s="23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22.5" customHeight="1">
      <c r="A1596" s="23" t="s">
        <v>2496</v>
      </c>
      <c r="B1596" s="23" t="s">
        <v>784</v>
      </c>
      <c r="C1596" s="23" t="s">
        <v>2423</v>
      </c>
      <c r="D1596" s="23" t="s">
        <v>948</v>
      </c>
      <c r="E1596" s="23" t="s">
        <v>971</v>
      </c>
      <c r="F1596" s="23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22.5" customHeight="1">
      <c r="A1597" s="23" t="s">
        <v>2497</v>
      </c>
      <c r="B1597" s="23" t="s">
        <v>737</v>
      </c>
      <c r="C1597" s="23" t="s">
        <v>2423</v>
      </c>
      <c r="D1597" s="23" t="s">
        <v>948</v>
      </c>
      <c r="E1597" s="23" t="s">
        <v>971</v>
      </c>
      <c r="F1597" s="23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22.5" customHeight="1">
      <c r="A1598" s="23" t="s">
        <v>2498</v>
      </c>
      <c r="B1598" s="23" t="s">
        <v>746</v>
      </c>
      <c r="C1598" s="23" t="s">
        <v>2423</v>
      </c>
      <c r="D1598" s="23" t="s">
        <v>948</v>
      </c>
      <c r="E1598" s="23" t="s">
        <v>949</v>
      </c>
      <c r="F1598" s="23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22.5" customHeight="1">
      <c r="A1599" s="23" t="s">
        <v>2499</v>
      </c>
      <c r="B1599" s="23" t="s">
        <v>722</v>
      </c>
      <c r="C1599" s="23" t="s">
        <v>2423</v>
      </c>
      <c r="D1599" s="23" t="s">
        <v>948</v>
      </c>
      <c r="E1599" s="23" t="s">
        <v>949</v>
      </c>
      <c r="F1599" s="23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22.5" customHeight="1">
      <c r="A1600" s="23" t="s">
        <v>2500</v>
      </c>
      <c r="B1600" s="23" t="s">
        <v>704</v>
      </c>
      <c r="C1600" s="23" t="s">
        <v>2423</v>
      </c>
      <c r="D1600" s="23" t="s">
        <v>948</v>
      </c>
      <c r="E1600" s="23" t="s">
        <v>949</v>
      </c>
      <c r="F1600" s="23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22.5" customHeight="1">
      <c r="A1601" s="23" t="s">
        <v>2501</v>
      </c>
      <c r="B1601" s="23" t="s">
        <v>740</v>
      </c>
      <c r="C1601" s="23" t="s">
        <v>2423</v>
      </c>
      <c r="D1601" s="23" t="s">
        <v>948</v>
      </c>
      <c r="E1601" s="23" t="s">
        <v>971</v>
      </c>
      <c r="F1601" s="23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22.5" customHeight="1">
      <c r="A1602" s="23" t="s">
        <v>2502</v>
      </c>
      <c r="B1602" s="23" t="s">
        <v>729</v>
      </c>
      <c r="C1602" s="23" t="s">
        <v>2423</v>
      </c>
      <c r="D1602" s="23" t="s">
        <v>948</v>
      </c>
      <c r="E1602" s="23" t="s">
        <v>971</v>
      </c>
      <c r="F1602" s="23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22.5" customHeight="1">
      <c r="A1603" s="23" t="s">
        <v>2503</v>
      </c>
      <c r="B1603" s="23" t="s">
        <v>696</v>
      </c>
      <c r="C1603" s="23" t="s">
        <v>2423</v>
      </c>
      <c r="D1603" s="23" t="s">
        <v>948</v>
      </c>
      <c r="E1603" s="23" t="s">
        <v>971</v>
      </c>
      <c r="F1603" s="23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22.5" customHeight="1">
      <c r="A1604" s="23" t="s">
        <v>2504</v>
      </c>
      <c r="B1604" s="23" t="s">
        <v>749</v>
      </c>
      <c r="C1604" s="23" t="s">
        <v>2423</v>
      </c>
      <c r="D1604" s="23" t="s">
        <v>948</v>
      </c>
      <c r="E1604" s="23" t="s">
        <v>949</v>
      </c>
      <c r="F1604" s="23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22.5" customHeight="1">
      <c r="A1605" s="23" t="s">
        <v>2505</v>
      </c>
      <c r="B1605" s="23" t="s">
        <v>775</v>
      </c>
      <c r="C1605" s="23" t="s">
        <v>2423</v>
      </c>
      <c r="D1605" s="23" t="s">
        <v>948</v>
      </c>
      <c r="E1605" s="23" t="s">
        <v>971</v>
      </c>
      <c r="F1605" s="23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22.5" customHeight="1">
      <c r="A1606" s="23" t="s">
        <v>2506</v>
      </c>
      <c r="B1606" s="23" t="s">
        <v>778</v>
      </c>
      <c r="C1606" s="23" t="s">
        <v>2423</v>
      </c>
      <c r="D1606" s="23" t="s">
        <v>948</v>
      </c>
      <c r="E1606" s="23" t="s">
        <v>971</v>
      </c>
      <c r="F1606" s="23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22.5" customHeight="1">
      <c r="A1607" s="23" t="s">
        <v>2507</v>
      </c>
      <c r="B1607" s="23" t="s">
        <v>969</v>
      </c>
      <c r="C1607" s="23" t="s">
        <v>2423</v>
      </c>
      <c r="D1607" s="23" t="s">
        <v>948</v>
      </c>
      <c r="E1607" s="23" t="s">
        <v>971</v>
      </c>
      <c r="F1607" s="23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22.5" customHeight="1">
      <c r="A1608" s="23" t="s">
        <v>2508</v>
      </c>
      <c r="B1608" s="23" t="s">
        <v>715</v>
      </c>
      <c r="C1608" s="23" t="s">
        <v>2423</v>
      </c>
      <c r="D1608" s="23" t="s">
        <v>948</v>
      </c>
      <c r="E1608" s="23" t="s">
        <v>949</v>
      </c>
      <c r="F1608" s="23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22.5" customHeight="1">
      <c r="A1609" s="23" t="s">
        <v>2509</v>
      </c>
      <c r="B1609" s="23" t="s">
        <v>743</v>
      </c>
      <c r="C1609" s="23" t="s">
        <v>2423</v>
      </c>
      <c r="D1609" s="23" t="s">
        <v>948</v>
      </c>
      <c r="E1609" s="23" t="s">
        <v>971</v>
      </c>
      <c r="F1609" s="23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22.5" customHeight="1">
      <c r="A1610" s="23" t="s">
        <v>2510</v>
      </c>
      <c r="B1610" s="23" t="s">
        <v>974</v>
      </c>
      <c r="C1610" s="23" t="s">
        <v>2423</v>
      </c>
      <c r="D1610" s="23" t="s">
        <v>948</v>
      </c>
      <c r="E1610" s="23" t="s">
        <v>971</v>
      </c>
      <c r="F1610" s="23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22.5" customHeight="1">
      <c r="A1611" s="23" t="s">
        <v>2511</v>
      </c>
      <c r="B1611" s="23" t="s">
        <v>975</v>
      </c>
      <c r="C1611" s="23" t="s">
        <v>2423</v>
      </c>
      <c r="D1611" s="23" t="s">
        <v>948</v>
      </c>
      <c r="E1611" s="23" t="s">
        <v>971</v>
      </c>
      <c r="F1611" s="23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22.5" customHeight="1">
      <c r="A1612" s="23" t="s">
        <v>2512</v>
      </c>
      <c r="B1612" s="23" t="s">
        <v>801</v>
      </c>
      <c r="C1612" s="23" t="s">
        <v>2423</v>
      </c>
      <c r="D1612" s="23" t="s">
        <v>948</v>
      </c>
      <c r="E1612" s="23" t="s">
        <v>971</v>
      </c>
      <c r="F1612" s="23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22.5" customHeight="1">
      <c r="A1613" s="23" t="s">
        <v>2513</v>
      </c>
      <c r="B1613" s="23" t="s">
        <v>732</v>
      </c>
      <c r="C1613" s="23" t="s">
        <v>2423</v>
      </c>
      <c r="D1613" s="23" t="s">
        <v>948</v>
      </c>
      <c r="E1613" s="23" t="s">
        <v>971</v>
      </c>
      <c r="F1613" s="23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22.5" customHeight="1">
      <c r="A1614" s="23" t="s">
        <v>2514</v>
      </c>
      <c r="B1614" s="23" t="s">
        <v>758</v>
      </c>
      <c r="C1614" s="23" t="s">
        <v>2423</v>
      </c>
      <c r="D1614" s="23" t="s">
        <v>948</v>
      </c>
      <c r="E1614" s="23" t="s">
        <v>971</v>
      </c>
      <c r="F1614" s="23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22.5" customHeight="1">
      <c r="A1615" s="23" t="s">
        <v>2515</v>
      </c>
      <c r="B1615" s="23" t="s">
        <v>700</v>
      </c>
      <c r="C1615" s="23" t="s">
        <v>2423</v>
      </c>
      <c r="D1615" s="23" t="s">
        <v>948</v>
      </c>
      <c r="E1615" s="23" t="s">
        <v>949</v>
      </c>
      <c r="F1615" s="23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22.5" customHeight="1">
      <c r="A1616" s="23" t="s">
        <v>2516</v>
      </c>
      <c r="B1616" s="23" t="s">
        <v>712</v>
      </c>
      <c r="C1616" s="23" t="s">
        <v>2423</v>
      </c>
      <c r="D1616" s="23" t="s">
        <v>948</v>
      </c>
      <c r="E1616" s="23" t="s">
        <v>949</v>
      </c>
      <c r="F1616" s="23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22.5" customHeight="1">
      <c r="A1617" s="23" t="s">
        <v>2517</v>
      </c>
      <c r="B1617" s="23" t="s">
        <v>693</v>
      </c>
      <c r="C1617" s="23" t="s">
        <v>2423</v>
      </c>
      <c r="D1617" s="23" t="s">
        <v>948</v>
      </c>
      <c r="E1617" s="23" t="s">
        <v>971</v>
      </c>
      <c r="F1617" s="23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22.5" customHeight="1">
      <c r="A1618" s="23" t="s">
        <v>2518</v>
      </c>
      <c r="B1618" s="23" t="s">
        <v>787</v>
      </c>
      <c r="C1618" s="23" t="s">
        <v>2423</v>
      </c>
      <c r="D1618" s="23" t="s">
        <v>948</v>
      </c>
      <c r="E1618" s="23" t="s">
        <v>971</v>
      </c>
      <c r="F1618" s="23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22.5" customHeight="1">
      <c r="A1619" s="23" t="s">
        <v>2519</v>
      </c>
      <c r="B1619" s="23" t="s">
        <v>790</v>
      </c>
      <c r="C1619" s="23" t="s">
        <v>2423</v>
      </c>
      <c r="D1619" s="23" t="s">
        <v>948</v>
      </c>
      <c r="E1619" s="23" t="s">
        <v>971</v>
      </c>
      <c r="F1619" s="23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22.5" customHeight="1">
      <c r="A1620" s="23" t="s">
        <v>2520</v>
      </c>
      <c r="B1620" s="23" t="s">
        <v>761</v>
      </c>
      <c r="C1620" s="23" t="s">
        <v>2423</v>
      </c>
      <c r="D1620" s="23" t="s">
        <v>948</v>
      </c>
      <c r="E1620" s="23" t="s">
        <v>971</v>
      </c>
      <c r="F1620" s="23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22.5" customHeight="1">
      <c r="A1621" s="23" t="s">
        <v>2521</v>
      </c>
      <c r="B1621" s="23" t="s">
        <v>804</v>
      </c>
      <c r="C1621" s="23" t="s">
        <v>2423</v>
      </c>
      <c r="D1621" s="23" t="s">
        <v>948</v>
      </c>
      <c r="E1621" s="23" t="s">
        <v>971</v>
      </c>
      <c r="F1621" s="23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22.5" customHeight="1">
      <c r="A1622" s="23" t="s">
        <v>2522</v>
      </c>
      <c r="B1622" s="23" t="s">
        <v>806</v>
      </c>
      <c r="C1622" s="23" t="s">
        <v>2423</v>
      </c>
      <c r="D1622" s="23" t="s">
        <v>948</v>
      </c>
      <c r="E1622" s="23" t="s">
        <v>971</v>
      </c>
      <c r="F1622" s="23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22.5" customHeight="1">
      <c r="A1623" s="23" t="s">
        <v>2523</v>
      </c>
      <c r="B1623" s="23" t="s">
        <v>809</v>
      </c>
      <c r="C1623" s="23" t="s">
        <v>2423</v>
      </c>
      <c r="D1623" s="23" t="s">
        <v>948</v>
      </c>
      <c r="E1623" s="23" t="s">
        <v>971</v>
      </c>
      <c r="F1623" s="23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22.5" customHeight="1">
      <c r="A1624" s="23" t="s">
        <v>2524</v>
      </c>
      <c r="B1624" s="23" t="s">
        <v>116</v>
      </c>
      <c r="C1624" s="23" t="s">
        <v>2525</v>
      </c>
      <c r="D1624" s="23" t="s">
        <v>948</v>
      </c>
      <c r="E1624" s="23" t="s">
        <v>949</v>
      </c>
      <c r="F1624" s="23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22.5" customHeight="1">
      <c r="A1625" s="23" t="s">
        <v>2526</v>
      </c>
      <c r="B1625" s="23" t="s">
        <v>123</v>
      </c>
      <c r="C1625" s="23" t="s">
        <v>2525</v>
      </c>
      <c r="D1625" s="23" t="s">
        <v>948</v>
      </c>
      <c r="E1625" s="23" t="s">
        <v>949</v>
      </c>
      <c r="F1625" s="23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22.5" customHeight="1">
      <c r="A1626" s="23" t="s">
        <v>2527</v>
      </c>
      <c r="B1626" s="23" t="s">
        <v>131</v>
      </c>
      <c r="C1626" s="23" t="s">
        <v>2525</v>
      </c>
      <c r="D1626" s="23" t="s">
        <v>948</v>
      </c>
      <c r="E1626" s="23" t="s">
        <v>949</v>
      </c>
      <c r="F1626" s="23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22.5" customHeight="1">
      <c r="A1627" s="23" t="s">
        <v>2528</v>
      </c>
      <c r="B1627" s="23" t="s">
        <v>137</v>
      </c>
      <c r="C1627" s="23" t="s">
        <v>2525</v>
      </c>
      <c r="D1627" s="23" t="s">
        <v>948</v>
      </c>
      <c r="E1627" s="23" t="s">
        <v>949</v>
      </c>
      <c r="F1627" s="23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22.5" customHeight="1">
      <c r="A1628" s="23" t="s">
        <v>2529</v>
      </c>
      <c r="B1628" s="23" t="s">
        <v>144</v>
      </c>
      <c r="C1628" s="23" t="s">
        <v>2525</v>
      </c>
      <c r="D1628" s="23" t="s">
        <v>948</v>
      </c>
      <c r="E1628" s="23" t="s">
        <v>949</v>
      </c>
      <c r="F1628" s="23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22.5" customHeight="1">
      <c r="A1629" s="23" t="s">
        <v>2530</v>
      </c>
      <c r="B1629" s="23" t="s">
        <v>151</v>
      </c>
      <c r="C1629" s="23" t="s">
        <v>2525</v>
      </c>
      <c r="D1629" s="23" t="s">
        <v>948</v>
      </c>
      <c r="E1629" s="23" t="s">
        <v>949</v>
      </c>
      <c r="F1629" s="23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22.5" customHeight="1">
      <c r="A1630" s="23" t="s">
        <v>2531</v>
      </c>
      <c r="B1630" s="23" t="s">
        <v>734</v>
      </c>
      <c r="C1630" s="23" t="s">
        <v>2525</v>
      </c>
      <c r="D1630" s="23" t="s">
        <v>948</v>
      </c>
      <c r="E1630" s="23" t="s">
        <v>949</v>
      </c>
      <c r="F1630" s="23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22.5" customHeight="1">
      <c r="A1631" s="23" t="s">
        <v>2532</v>
      </c>
      <c r="B1631" s="23" t="s">
        <v>831</v>
      </c>
      <c r="C1631" s="23" t="s">
        <v>2525</v>
      </c>
      <c r="D1631" s="23" t="s">
        <v>948</v>
      </c>
      <c r="E1631" s="23" t="s">
        <v>949</v>
      </c>
      <c r="F1631" s="23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22.5" customHeight="1">
      <c r="A1632" s="23" t="s">
        <v>2533</v>
      </c>
      <c r="B1632" s="23" t="s">
        <v>833</v>
      </c>
      <c r="C1632" s="23" t="s">
        <v>2525</v>
      </c>
      <c r="D1632" s="23" t="s">
        <v>948</v>
      </c>
      <c r="E1632" s="23" t="s">
        <v>949</v>
      </c>
      <c r="F1632" s="23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22.5" customHeight="1">
      <c r="A1633" s="23" t="s">
        <v>2534</v>
      </c>
      <c r="B1633" s="23" t="s">
        <v>811</v>
      </c>
      <c r="C1633" s="23" t="s">
        <v>2525</v>
      </c>
      <c r="D1633" s="23" t="s">
        <v>948</v>
      </c>
      <c r="E1633" s="23" t="s">
        <v>949</v>
      </c>
      <c r="F1633" s="23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22.5" customHeight="1">
      <c r="A1634" s="23" t="s">
        <v>2535</v>
      </c>
      <c r="B1634" s="23" t="s">
        <v>838</v>
      </c>
      <c r="C1634" s="23" t="s">
        <v>2525</v>
      </c>
      <c r="D1634" s="23" t="s">
        <v>948</v>
      </c>
      <c r="E1634" s="23" t="s">
        <v>949</v>
      </c>
      <c r="F1634" s="23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22.5" customHeight="1">
      <c r="A1635" s="23" t="s">
        <v>2536</v>
      </c>
      <c r="B1635" s="23" t="s">
        <v>840</v>
      </c>
      <c r="C1635" s="23" t="s">
        <v>2525</v>
      </c>
      <c r="D1635" s="23" t="s">
        <v>948</v>
      </c>
      <c r="E1635" s="23" t="s">
        <v>949</v>
      </c>
      <c r="F1635" s="23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22.5" customHeight="1">
      <c r="A1636" s="23" t="s">
        <v>2537</v>
      </c>
      <c r="B1636" s="23" t="s">
        <v>842</v>
      </c>
      <c r="C1636" s="23" t="s">
        <v>2525</v>
      </c>
      <c r="D1636" s="23" t="s">
        <v>948</v>
      </c>
      <c r="E1636" s="23" t="s">
        <v>949</v>
      </c>
      <c r="F1636" s="23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22.5" customHeight="1">
      <c r="A1637" s="23" t="s">
        <v>2538</v>
      </c>
      <c r="B1637" s="23" t="s">
        <v>844</v>
      </c>
      <c r="C1637" s="23" t="s">
        <v>2525</v>
      </c>
      <c r="D1637" s="23" t="s">
        <v>948</v>
      </c>
      <c r="E1637" s="23" t="s">
        <v>949</v>
      </c>
      <c r="F1637" s="23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22.5" customHeight="1">
      <c r="A1638" s="23" t="s">
        <v>2539</v>
      </c>
      <c r="B1638" s="23" t="s">
        <v>846</v>
      </c>
      <c r="C1638" s="23" t="s">
        <v>2525</v>
      </c>
      <c r="D1638" s="23" t="s">
        <v>948</v>
      </c>
      <c r="E1638" s="23" t="s">
        <v>949</v>
      </c>
      <c r="F1638" s="23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22.5" customHeight="1">
      <c r="A1639" s="23" t="s">
        <v>2540</v>
      </c>
      <c r="B1639" s="23" t="s">
        <v>848</v>
      </c>
      <c r="C1639" s="23" t="s">
        <v>2525</v>
      </c>
      <c r="D1639" s="23" t="s">
        <v>948</v>
      </c>
      <c r="E1639" s="23" t="s">
        <v>949</v>
      </c>
      <c r="F1639" s="23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22.5" customHeight="1">
      <c r="A1640" s="23" t="s">
        <v>2541</v>
      </c>
      <c r="B1640" s="23" t="s">
        <v>850</v>
      </c>
      <c r="C1640" s="23" t="s">
        <v>2525</v>
      </c>
      <c r="D1640" s="23" t="s">
        <v>948</v>
      </c>
      <c r="E1640" s="23" t="s">
        <v>949</v>
      </c>
      <c r="F1640" s="23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22.5" customHeight="1">
      <c r="A1641" s="23" t="s">
        <v>2542</v>
      </c>
      <c r="B1641" s="23" t="s">
        <v>853</v>
      </c>
      <c r="C1641" s="23" t="s">
        <v>2525</v>
      </c>
      <c r="D1641" s="23" t="s">
        <v>948</v>
      </c>
      <c r="E1641" s="23" t="s">
        <v>949</v>
      </c>
      <c r="F1641" s="23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22.5" customHeight="1">
      <c r="A1642" s="23" t="s">
        <v>2543</v>
      </c>
      <c r="B1642" s="23" t="s">
        <v>855</v>
      </c>
      <c r="C1642" s="23" t="s">
        <v>2525</v>
      </c>
      <c r="D1642" s="23" t="s">
        <v>948</v>
      </c>
      <c r="E1642" s="23" t="s">
        <v>949</v>
      </c>
      <c r="F1642" s="23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22.5" customHeight="1">
      <c r="A1643" s="23" t="s">
        <v>2544</v>
      </c>
      <c r="B1643" s="23" t="s">
        <v>857</v>
      </c>
      <c r="C1643" s="23" t="s">
        <v>2525</v>
      </c>
      <c r="D1643" s="23" t="s">
        <v>948</v>
      </c>
      <c r="E1643" s="23" t="s">
        <v>949</v>
      </c>
      <c r="F1643" s="23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22.5" customHeight="1">
      <c r="A1644" s="23" t="s">
        <v>2545</v>
      </c>
      <c r="B1644" s="23" t="s">
        <v>860</v>
      </c>
      <c r="C1644" s="23" t="s">
        <v>2525</v>
      </c>
      <c r="D1644" s="23" t="s">
        <v>948</v>
      </c>
      <c r="E1644" s="23" t="s">
        <v>949</v>
      </c>
      <c r="F1644" s="23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22.5" customHeight="1">
      <c r="A1645" s="23" t="s">
        <v>2546</v>
      </c>
      <c r="B1645" s="23" t="s">
        <v>862</v>
      </c>
      <c r="C1645" s="23" t="s">
        <v>2525</v>
      </c>
      <c r="D1645" s="23" t="s">
        <v>948</v>
      </c>
      <c r="E1645" s="23" t="s">
        <v>949</v>
      </c>
      <c r="F1645" s="23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22.5" customHeight="1">
      <c r="A1646" s="23" t="s">
        <v>2547</v>
      </c>
      <c r="B1646" s="23" t="s">
        <v>865</v>
      </c>
      <c r="C1646" s="23" t="s">
        <v>2525</v>
      </c>
      <c r="D1646" s="23" t="s">
        <v>948</v>
      </c>
      <c r="E1646" s="23" t="s">
        <v>949</v>
      </c>
      <c r="F1646" s="23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22.5" customHeight="1">
      <c r="A1647" s="23" t="s">
        <v>2548</v>
      </c>
      <c r="B1647" s="23" t="s">
        <v>867</v>
      </c>
      <c r="C1647" s="23" t="s">
        <v>2525</v>
      </c>
      <c r="D1647" s="23" t="s">
        <v>948</v>
      </c>
      <c r="E1647" s="23" t="s">
        <v>949</v>
      </c>
      <c r="F1647" s="23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22.5" customHeight="1">
      <c r="A1648" s="23" t="s">
        <v>2549</v>
      </c>
      <c r="B1648" s="23" t="s">
        <v>869</v>
      </c>
      <c r="C1648" s="23" t="s">
        <v>2525</v>
      </c>
      <c r="D1648" s="23" t="s">
        <v>948</v>
      </c>
      <c r="E1648" s="23" t="s">
        <v>949</v>
      </c>
      <c r="F1648" s="23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22.5" customHeight="1">
      <c r="A1649" s="23" t="s">
        <v>2550</v>
      </c>
      <c r="B1649" s="23" t="s">
        <v>871</v>
      </c>
      <c r="C1649" s="23" t="s">
        <v>2525</v>
      </c>
      <c r="D1649" s="23" t="s">
        <v>948</v>
      </c>
      <c r="E1649" s="23" t="s">
        <v>949</v>
      </c>
      <c r="F1649" s="23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22.5" customHeight="1">
      <c r="A1650" s="23" t="s">
        <v>2551</v>
      </c>
      <c r="B1650" s="23" t="s">
        <v>876</v>
      </c>
      <c r="C1650" s="23" t="s">
        <v>2525</v>
      </c>
      <c r="D1650" s="23" t="s">
        <v>948</v>
      </c>
      <c r="E1650" s="23" t="s">
        <v>949</v>
      </c>
      <c r="F1650" s="23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22.5" customHeight="1">
      <c r="A1651" s="23" t="s">
        <v>2552</v>
      </c>
      <c r="B1651" s="23" t="s">
        <v>879</v>
      </c>
      <c r="C1651" s="23" t="s">
        <v>2525</v>
      </c>
      <c r="D1651" s="23" t="s">
        <v>948</v>
      </c>
      <c r="E1651" s="23" t="s">
        <v>949</v>
      </c>
      <c r="F1651" s="23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22.5" customHeight="1">
      <c r="A1652" s="23" t="s">
        <v>2553</v>
      </c>
      <c r="B1652" s="23" t="s">
        <v>881</v>
      </c>
      <c r="C1652" s="23" t="s">
        <v>2525</v>
      </c>
      <c r="D1652" s="23" t="s">
        <v>948</v>
      </c>
      <c r="E1652" s="23" t="s">
        <v>949</v>
      </c>
      <c r="F1652" s="23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22.5" customHeight="1">
      <c r="A1653" s="23" t="s">
        <v>2554</v>
      </c>
      <c r="B1653" s="23" t="s">
        <v>883</v>
      </c>
      <c r="C1653" s="23" t="s">
        <v>2525</v>
      </c>
      <c r="D1653" s="23" t="s">
        <v>948</v>
      </c>
      <c r="E1653" s="23" t="s">
        <v>949</v>
      </c>
      <c r="F1653" s="23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22.5" customHeight="1">
      <c r="A1654" s="23" t="s">
        <v>2555</v>
      </c>
      <c r="B1654" s="23" t="s">
        <v>885</v>
      </c>
      <c r="C1654" s="23" t="s">
        <v>2525</v>
      </c>
      <c r="D1654" s="23" t="s">
        <v>948</v>
      </c>
      <c r="E1654" s="23" t="s">
        <v>949</v>
      </c>
      <c r="F1654" s="23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22.5" customHeight="1">
      <c r="A1655" s="23" t="s">
        <v>2556</v>
      </c>
      <c r="B1655" s="23" t="s">
        <v>887</v>
      </c>
      <c r="C1655" s="23" t="s">
        <v>2525</v>
      </c>
      <c r="D1655" s="23" t="s">
        <v>948</v>
      </c>
      <c r="E1655" s="23" t="s">
        <v>949</v>
      </c>
      <c r="F1655" s="23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22.5" customHeight="1">
      <c r="A1656" s="23" t="s">
        <v>2557</v>
      </c>
      <c r="B1656" s="23" t="s">
        <v>892</v>
      </c>
      <c r="C1656" s="23" t="s">
        <v>2525</v>
      </c>
      <c r="D1656" s="23" t="s">
        <v>948</v>
      </c>
      <c r="E1656" s="23" t="s">
        <v>949</v>
      </c>
      <c r="F1656" s="23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22.5" customHeight="1">
      <c r="A1657" s="23" t="s">
        <v>2558</v>
      </c>
      <c r="B1657" s="23" t="s">
        <v>935</v>
      </c>
      <c r="C1657" s="23" t="s">
        <v>2525</v>
      </c>
      <c r="D1657" s="23" t="s">
        <v>948</v>
      </c>
      <c r="E1657" s="23" t="s">
        <v>949</v>
      </c>
      <c r="F1657" s="23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22.5" customHeight="1">
      <c r="A1658" s="23" t="s">
        <v>2559</v>
      </c>
      <c r="B1658" s="23" t="s">
        <v>895</v>
      </c>
      <c r="C1658" s="23" t="s">
        <v>2525</v>
      </c>
      <c r="D1658" s="23" t="s">
        <v>948</v>
      </c>
      <c r="E1658" s="23" t="s">
        <v>949</v>
      </c>
      <c r="F1658" s="23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22.5" customHeight="1">
      <c r="A1659" s="23" t="s">
        <v>2560</v>
      </c>
      <c r="B1659" s="23" t="s">
        <v>897</v>
      </c>
      <c r="C1659" s="23" t="s">
        <v>2525</v>
      </c>
      <c r="D1659" s="23" t="s">
        <v>948</v>
      </c>
      <c r="E1659" s="23" t="s">
        <v>949</v>
      </c>
      <c r="F1659" s="23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22.5" customHeight="1">
      <c r="A1660" s="23" t="s">
        <v>2561</v>
      </c>
      <c r="B1660" s="23" t="s">
        <v>889</v>
      </c>
      <c r="C1660" s="23" t="s">
        <v>2525</v>
      </c>
      <c r="D1660" s="23" t="s">
        <v>948</v>
      </c>
      <c r="E1660" s="23" t="s">
        <v>949</v>
      </c>
      <c r="F1660" s="23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22.5" customHeight="1">
      <c r="A1661" s="23" t="s">
        <v>2562</v>
      </c>
      <c r="B1661" s="23" t="s">
        <v>899</v>
      </c>
      <c r="C1661" s="23" t="s">
        <v>2525</v>
      </c>
      <c r="D1661" s="23" t="s">
        <v>948</v>
      </c>
      <c r="E1661" s="23" t="s">
        <v>949</v>
      </c>
      <c r="F1661" s="23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22.5" customHeight="1">
      <c r="A1662" s="23" t="s">
        <v>2563</v>
      </c>
      <c r="B1662" s="23" t="s">
        <v>901</v>
      </c>
      <c r="C1662" s="23" t="s">
        <v>2525</v>
      </c>
      <c r="D1662" s="23" t="s">
        <v>948</v>
      </c>
      <c r="E1662" s="23" t="s">
        <v>949</v>
      </c>
      <c r="F1662" s="23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22.5" customHeight="1">
      <c r="A1663" s="23" t="s">
        <v>2564</v>
      </c>
      <c r="B1663" s="23" t="s">
        <v>904</v>
      </c>
      <c r="C1663" s="23" t="s">
        <v>2525</v>
      </c>
      <c r="D1663" s="23" t="s">
        <v>948</v>
      </c>
      <c r="E1663" s="23" t="s">
        <v>949</v>
      </c>
      <c r="F1663" s="23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22.5" customHeight="1">
      <c r="A1664" s="23" t="s">
        <v>2565</v>
      </c>
      <c r="B1664" s="23" t="s">
        <v>906</v>
      </c>
      <c r="C1664" s="23" t="s">
        <v>2525</v>
      </c>
      <c r="D1664" s="23" t="s">
        <v>948</v>
      </c>
      <c r="E1664" s="23" t="s">
        <v>949</v>
      </c>
      <c r="F1664" s="23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22.5" customHeight="1">
      <c r="A1665" s="23" t="s">
        <v>2566</v>
      </c>
      <c r="B1665" s="23" t="s">
        <v>908</v>
      </c>
      <c r="C1665" s="23" t="s">
        <v>2525</v>
      </c>
      <c r="D1665" s="23" t="s">
        <v>948</v>
      </c>
      <c r="E1665" s="23" t="s">
        <v>949</v>
      </c>
      <c r="F1665" s="23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22.5" customHeight="1">
      <c r="A1666" s="23" t="s">
        <v>2567</v>
      </c>
      <c r="B1666" s="23" t="s">
        <v>936</v>
      </c>
      <c r="C1666" s="23" t="s">
        <v>2525</v>
      </c>
      <c r="D1666" s="23" t="s">
        <v>948</v>
      </c>
      <c r="E1666" s="23" t="s">
        <v>949</v>
      </c>
      <c r="F1666" s="23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22.5" customHeight="1">
      <c r="A1667" s="23" t="s">
        <v>2568</v>
      </c>
      <c r="B1667" s="23" t="s">
        <v>910</v>
      </c>
      <c r="C1667" s="23" t="s">
        <v>2525</v>
      </c>
      <c r="D1667" s="23" t="s">
        <v>948</v>
      </c>
      <c r="E1667" s="23" t="s">
        <v>949</v>
      </c>
      <c r="F1667" s="23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22.5" customHeight="1">
      <c r="A1668" s="23" t="s">
        <v>2569</v>
      </c>
      <c r="B1668" s="23" t="s">
        <v>937</v>
      </c>
      <c r="C1668" s="23" t="s">
        <v>2525</v>
      </c>
      <c r="D1668" s="23" t="s">
        <v>948</v>
      </c>
      <c r="E1668" s="23" t="s">
        <v>949</v>
      </c>
      <c r="F1668" s="23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22.5" customHeight="1">
      <c r="A1669" s="23" t="s">
        <v>2570</v>
      </c>
      <c r="B1669" s="23" t="s">
        <v>912</v>
      </c>
      <c r="C1669" s="23" t="s">
        <v>2525</v>
      </c>
      <c r="D1669" s="23" t="s">
        <v>948</v>
      </c>
      <c r="E1669" s="23" t="s">
        <v>949</v>
      </c>
      <c r="F1669" s="23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22.5" customHeight="1">
      <c r="A1670" s="23" t="s">
        <v>2571</v>
      </c>
      <c r="B1670" s="23" t="s">
        <v>938</v>
      </c>
      <c r="C1670" s="23" t="s">
        <v>2525</v>
      </c>
      <c r="D1670" s="23" t="s">
        <v>948</v>
      </c>
      <c r="E1670" s="23" t="s">
        <v>949</v>
      </c>
      <c r="F1670" s="23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22.5" customHeight="1">
      <c r="A1671" s="23" t="s">
        <v>2572</v>
      </c>
      <c r="B1671" s="23" t="s">
        <v>914</v>
      </c>
      <c r="C1671" s="23" t="s">
        <v>2525</v>
      </c>
      <c r="D1671" s="23" t="s">
        <v>948</v>
      </c>
      <c r="E1671" s="23" t="s">
        <v>949</v>
      </c>
      <c r="F1671" s="23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22.5" customHeight="1">
      <c r="A1672" s="23" t="s">
        <v>2573</v>
      </c>
      <c r="B1672" s="23" t="s">
        <v>939</v>
      </c>
      <c r="C1672" s="23" t="s">
        <v>2525</v>
      </c>
      <c r="D1672" s="23" t="s">
        <v>948</v>
      </c>
      <c r="E1672" s="23" t="s">
        <v>949</v>
      </c>
      <c r="F1672" s="23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22.5" customHeight="1">
      <c r="A1673" s="23" t="s">
        <v>2574</v>
      </c>
      <c r="B1673" s="23" t="s">
        <v>917</v>
      </c>
      <c r="C1673" s="23" t="s">
        <v>2525</v>
      </c>
      <c r="D1673" s="23" t="s">
        <v>948</v>
      </c>
      <c r="E1673" s="23" t="s">
        <v>949</v>
      </c>
      <c r="F1673" s="23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22.5" customHeight="1">
      <c r="A1674" s="23" t="s">
        <v>2575</v>
      </c>
      <c r="B1674" s="23" t="s">
        <v>873</v>
      </c>
      <c r="C1674" s="23" t="s">
        <v>2525</v>
      </c>
      <c r="D1674" s="23" t="s">
        <v>948</v>
      </c>
      <c r="E1674" s="23" t="s">
        <v>949</v>
      </c>
      <c r="F1674" s="23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22.5" customHeight="1">
      <c r="A1675" s="23" t="s">
        <v>2576</v>
      </c>
      <c r="B1675" s="23" t="s">
        <v>920</v>
      </c>
      <c r="C1675" s="23" t="s">
        <v>2525</v>
      </c>
      <c r="D1675" s="23" t="s">
        <v>948</v>
      </c>
      <c r="E1675" s="23" t="s">
        <v>949</v>
      </c>
      <c r="F1675" s="23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22.5" customHeight="1">
      <c r="A1676" s="23" t="s">
        <v>2577</v>
      </c>
      <c r="B1676" s="23" t="s">
        <v>923</v>
      </c>
      <c r="C1676" s="23" t="s">
        <v>2525</v>
      </c>
      <c r="D1676" s="23" t="s">
        <v>948</v>
      </c>
      <c r="E1676" s="23" t="s">
        <v>949</v>
      </c>
      <c r="F1676" s="23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22.5" customHeight="1">
      <c r="A1677" s="23" t="s">
        <v>2578</v>
      </c>
      <c r="B1677" s="23" t="s">
        <v>926</v>
      </c>
      <c r="C1677" s="23" t="s">
        <v>2525</v>
      </c>
      <c r="D1677" s="23" t="s">
        <v>948</v>
      </c>
      <c r="E1677" s="23" t="s">
        <v>949</v>
      </c>
      <c r="F1677" s="23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22.5" customHeight="1">
      <c r="A1678" s="23" t="s">
        <v>2579</v>
      </c>
      <c r="B1678" s="23" t="s">
        <v>929</v>
      </c>
      <c r="C1678" s="23" t="s">
        <v>2525</v>
      </c>
      <c r="D1678" s="23" t="s">
        <v>948</v>
      </c>
      <c r="E1678" s="23" t="s">
        <v>949</v>
      </c>
      <c r="F1678" s="23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22.5" customHeight="1">
      <c r="A1679" s="23" t="s">
        <v>2580</v>
      </c>
      <c r="B1679" s="23" t="s">
        <v>932</v>
      </c>
      <c r="C1679" s="23" t="s">
        <v>2525</v>
      </c>
      <c r="D1679" s="23" t="s">
        <v>948</v>
      </c>
      <c r="E1679" s="23" t="s">
        <v>949</v>
      </c>
      <c r="F1679" s="23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22.5" customHeight="1">
      <c r="A1680" s="23" t="s">
        <v>2581</v>
      </c>
      <c r="B1680" s="23" t="s">
        <v>934</v>
      </c>
      <c r="C1680" s="23" t="s">
        <v>2525</v>
      </c>
      <c r="D1680" s="23" t="s">
        <v>948</v>
      </c>
      <c r="E1680" s="23" t="s">
        <v>949</v>
      </c>
      <c r="F1680" s="23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22.5" customHeight="1">
      <c r="A1681" s="23" t="s">
        <v>2582</v>
      </c>
      <c r="B1681" s="23" t="s">
        <v>942</v>
      </c>
      <c r="C1681" s="23" t="s">
        <v>2525</v>
      </c>
      <c r="D1681" s="23" t="s">
        <v>948</v>
      </c>
      <c r="E1681" s="23" t="s">
        <v>949</v>
      </c>
      <c r="F1681" s="23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22.5" customHeight="1">
      <c r="A1682" s="23" t="s">
        <v>2583</v>
      </c>
      <c r="B1682" s="23" t="s">
        <v>116</v>
      </c>
      <c r="C1682" s="23" t="s">
        <v>2584</v>
      </c>
      <c r="D1682" s="23" t="s">
        <v>948</v>
      </c>
      <c r="E1682" s="23" t="s">
        <v>949</v>
      </c>
      <c r="F1682" s="23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22.5" customHeight="1">
      <c r="A1683" s="23" t="s">
        <v>2585</v>
      </c>
      <c r="B1683" s="23" t="s">
        <v>123</v>
      </c>
      <c r="C1683" s="23" t="s">
        <v>2584</v>
      </c>
      <c r="D1683" s="23" t="s">
        <v>948</v>
      </c>
      <c r="E1683" s="23" t="s">
        <v>949</v>
      </c>
      <c r="F1683" s="23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22.5" customHeight="1">
      <c r="A1684" s="23" t="s">
        <v>2586</v>
      </c>
      <c r="B1684" s="23" t="s">
        <v>131</v>
      </c>
      <c r="C1684" s="23" t="s">
        <v>2584</v>
      </c>
      <c r="D1684" s="23" t="s">
        <v>948</v>
      </c>
      <c r="E1684" s="23" t="s">
        <v>949</v>
      </c>
      <c r="F1684" s="23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22.5" customHeight="1">
      <c r="A1685" s="23" t="s">
        <v>2587</v>
      </c>
      <c r="B1685" s="23" t="s">
        <v>137</v>
      </c>
      <c r="C1685" s="23" t="s">
        <v>2584</v>
      </c>
      <c r="D1685" s="23" t="s">
        <v>948</v>
      </c>
      <c r="E1685" s="23" t="s">
        <v>949</v>
      </c>
      <c r="F1685" s="23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22.5" customHeight="1">
      <c r="A1686" s="23" t="s">
        <v>2588</v>
      </c>
      <c r="B1686" s="23" t="s">
        <v>144</v>
      </c>
      <c r="C1686" s="23" t="s">
        <v>2584</v>
      </c>
      <c r="D1686" s="23" t="s">
        <v>948</v>
      </c>
      <c r="E1686" s="23" t="s">
        <v>949</v>
      </c>
      <c r="F1686" s="23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22.5" customHeight="1">
      <c r="A1687" s="23" t="s">
        <v>2589</v>
      </c>
      <c r="B1687" s="23" t="s">
        <v>151</v>
      </c>
      <c r="C1687" s="23" t="s">
        <v>2584</v>
      </c>
      <c r="D1687" s="23" t="s">
        <v>948</v>
      </c>
      <c r="E1687" s="23" t="s">
        <v>949</v>
      </c>
      <c r="F1687" s="23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22.5" customHeight="1">
      <c r="A1688" s="23" t="s">
        <v>2590</v>
      </c>
      <c r="B1688" s="23" t="s">
        <v>734</v>
      </c>
      <c r="C1688" s="23" t="s">
        <v>2584</v>
      </c>
      <c r="D1688" s="23" t="s">
        <v>948</v>
      </c>
      <c r="E1688" s="23" t="s">
        <v>949</v>
      </c>
      <c r="F1688" s="23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22.5" customHeight="1">
      <c r="A1689" s="23" t="s">
        <v>2591</v>
      </c>
      <c r="B1689" s="23" t="s">
        <v>831</v>
      </c>
      <c r="C1689" s="23" t="s">
        <v>2584</v>
      </c>
      <c r="D1689" s="23" t="s">
        <v>948</v>
      </c>
      <c r="E1689" s="23" t="s">
        <v>949</v>
      </c>
      <c r="F1689" s="23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22.5" customHeight="1">
      <c r="A1690" s="23" t="s">
        <v>2592</v>
      </c>
      <c r="B1690" s="23" t="s">
        <v>833</v>
      </c>
      <c r="C1690" s="23" t="s">
        <v>2584</v>
      </c>
      <c r="D1690" s="23" t="s">
        <v>948</v>
      </c>
      <c r="E1690" s="23" t="s">
        <v>949</v>
      </c>
      <c r="F1690" s="23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22.5" customHeight="1">
      <c r="A1691" s="23" t="s">
        <v>2593</v>
      </c>
      <c r="B1691" s="23" t="s">
        <v>811</v>
      </c>
      <c r="C1691" s="23" t="s">
        <v>2584</v>
      </c>
      <c r="D1691" s="23" t="s">
        <v>948</v>
      </c>
      <c r="E1691" s="23" t="s">
        <v>949</v>
      </c>
      <c r="F1691" s="23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22.5" customHeight="1">
      <c r="A1692" s="23" t="s">
        <v>2594</v>
      </c>
      <c r="B1692" s="23" t="s">
        <v>838</v>
      </c>
      <c r="C1692" s="23" t="s">
        <v>2584</v>
      </c>
      <c r="D1692" s="23" t="s">
        <v>948</v>
      </c>
      <c r="E1692" s="23" t="s">
        <v>949</v>
      </c>
      <c r="F1692" s="23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22.5" customHeight="1">
      <c r="A1693" s="23" t="s">
        <v>2595</v>
      </c>
      <c r="B1693" s="23" t="s">
        <v>840</v>
      </c>
      <c r="C1693" s="23" t="s">
        <v>2584</v>
      </c>
      <c r="D1693" s="23" t="s">
        <v>948</v>
      </c>
      <c r="E1693" s="23" t="s">
        <v>949</v>
      </c>
      <c r="F1693" s="23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22.5" customHeight="1">
      <c r="A1694" s="23" t="s">
        <v>2596</v>
      </c>
      <c r="B1694" s="23" t="s">
        <v>842</v>
      </c>
      <c r="C1694" s="23" t="s">
        <v>2584</v>
      </c>
      <c r="D1694" s="23" t="s">
        <v>948</v>
      </c>
      <c r="E1694" s="23" t="s">
        <v>949</v>
      </c>
      <c r="F1694" s="23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22.5" customHeight="1">
      <c r="A1695" s="23" t="s">
        <v>2597</v>
      </c>
      <c r="B1695" s="23" t="s">
        <v>844</v>
      </c>
      <c r="C1695" s="23" t="s">
        <v>2584</v>
      </c>
      <c r="D1695" s="23" t="s">
        <v>948</v>
      </c>
      <c r="E1695" s="23" t="s">
        <v>949</v>
      </c>
      <c r="F1695" s="23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22.5" customHeight="1">
      <c r="A1696" s="23" t="s">
        <v>2598</v>
      </c>
      <c r="B1696" s="23" t="s">
        <v>846</v>
      </c>
      <c r="C1696" s="23" t="s">
        <v>2584</v>
      </c>
      <c r="D1696" s="23" t="s">
        <v>948</v>
      </c>
      <c r="E1696" s="23" t="s">
        <v>949</v>
      </c>
      <c r="F1696" s="23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22.5" customHeight="1">
      <c r="A1697" s="23" t="s">
        <v>2599</v>
      </c>
      <c r="B1697" s="23" t="s">
        <v>848</v>
      </c>
      <c r="C1697" s="23" t="s">
        <v>2584</v>
      </c>
      <c r="D1697" s="23" t="s">
        <v>948</v>
      </c>
      <c r="E1697" s="23" t="s">
        <v>949</v>
      </c>
      <c r="F1697" s="23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22.5" customHeight="1">
      <c r="A1698" s="23" t="s">
        <v>2600</v>
      </c>
      <c r="B1698" s="23" t="s">
        <v>850</v>
      </c>
      <c r="C1698" s="23" t="s">
        <v>2584</v>
      </c>
      <c r="D1698" s="23" t="s">
        <v>948</v>
      </c>
      <c r="E1698" s="23" t="s">
        <v>949</v>
      </c>
      <c r="F1698" s="23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22.5" customHeight="1">
      <c r="A1699" s="23" t="s">
        <v>2601</v>
      </c>
      <c r="B1699" s="23" t="s">
        <v>853</v>
      </c>
      <c r="C1699" s="23" t="s">
        <v>2584</v>
      </c>
      <c r="D1699" s="23" t="s">
        <v>948</v>
      </c>
      <c r="E1699" s="23" t="s">
        <v>949</v>
      </c>
      <c r="F1699" s="23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22.5" customHeight="1">
      <c r="A1700" s="23" t="s">
        <v>2602</v>
      </c>
      <c r="B1700" s="23" t="s">
        <v>855</v>
      </c>
      <c r="C1700" s="23" t="s">
        <v>2584</v>
      </c>
      <c r="D1700" s="23" t="s">
        <v>948</v>
      </c>
      <c r="E1700" s="23" t="s">
        <v>949</v>
      </c>
      <c r="F1700" s="23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22.5" customHeight="1">
      <c r="A1701" s="23" t="s">
        <v>2603</v>
      </c>
      <c r="B1701" s="23" t="s">
        <v>857</v>
      </c>
      <c r="C1701" s="23" t="s">
        <v>2584</v>
      </c>
      <c r="D1701" s="23" t="s">
        <v>948</v>
      </c>
      <c r="E1701" s="23" t="s">
        <v>949</v>
      </c>
      <c r="F1701" s="23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22.5" customHeight="1">
      <c r="A1702" s="23" t="s">
        <v>2604</v>
      </c>
      <c r="B1702" s="23" t="s">
        <v>860</v>
      </c>
      <c r="C1702" s="23" t="s">
        <v>2584</v>
      </c>
      <c r="D1702" s="23" t="s">
        <v>948</v>
      </c>
      <c r="E1702" s="23" t="s">
        <v>949</v>
      </c>
      <c r="F1702" s="23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22.5" customHeight="1">
      <c r="A1703" s="23" t="s">
        <v>2605</v>
      </c>
      <c r="B1703" s="23" t="s">
        <v>862</v>
      </c>
      <c r="C1703" s="23" t="s">
        <v>2584</v>
      </c>
      <c r="D1703" s="23" t="s">
        <v>948</v>
      </c>
      <c r="E1703" s="23" t="s">
        <v>949</v>
      </c>
      <c r="F1703" s="23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22.5" customHeight="1">
      <c r="A1704" s="23" t="s">
        <v>2606</v>
      </c>
      <c r="B1704" s="23" t="s">
        <v>865</v>
      </c>
      <c r="C1704" s="23" t="s">
        <v>2584</v>
      </c>
      <c r="D1704" s="23" t="s">
        <v>948</v>
      </c>
      <c r="E1704" s="23" t="s">
        <v>949</v>
      </c>
      <c r="F1704" s="23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22.5" customHeight="1">
      <c r="A1705" s="23" t="s">
        <v>2607</v>
      </c>
      <c r="B1705" s="23" t="s">
        <v>867</v>
      </c>
      <c r="C1705" s="23" t="s">
        <v>2584</v>
      </c>
      <c r="D1705" s="23" t="s">
        <v>948</v>
      </c>
      <c r="E1705" s="23" t="s">
        <v>949</v>
      </c>
      <c r="F1705" s="23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22.5" customHeight="1">
      <c r="A1706" s="23" t="s">
        <v>2608</v>
      </c>
      <c r="B1706" s="23" t="s">
        <v>869</v>
      </c>
      <c r="C1706" s="23" t="s">
        <v>2584</v>
      </c>
      <c r="D1706" s="23" t="s">
        <v>948</v>
      </c>
      <c r="E1706" s="23" t="s">
        <v>949</v>
      </c>
      <c r="F1706" s="23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22.5" customHeight="1">
      <c r="A1707" s="23" t="s">
        <v>2609</v>
      </c>
      <c r="B1707" s="23" t="s">
        <v>871</v>
      </c>
      <c r="C1707" s="23" t="s">
        <v>2584</v>
      </c>
      <c r="D1707" s="23" t="s">
        <v>948</v>
      </c>
      <c r="E1707" s="23" t="s">
        <v>949</v>
      </c>
      <c r="F1707" s="23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22.5" customHeight="1">
      <c r="A1708" s="23" t="s">
        <v>2610</v>
      </c>
      <c r="B1708" s="23" t="s">
        <v>876</v>
      </c>
      <c r="C1708" s="23" t="s">
        <v>2584</v>
      </c>
      <c r="D1708" s="23" t="s">
        <v>948</v>
      </c>
      <c r="E1708" s="23" t="s">
        <v>949</v>
      </c>
      <c r="F1708" s="23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22.5" customHeight="1">
      <c r="A1709" s="23" t="s">
        <v>2611</v>
      </c>
      <c r="B1709" s="23" t="s">
        <v>879</v>
      </c>
      <c r="C1709" s="23" t="s">
        <v>2584</v>
      </c>
      <c r="D1709" s="23" t="s">
        <v>948</v>
      </c>
      <c r="E1709" s="23" t="s">
        <v>949</v>
      </c>
      <c r="F1709" s="23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22.5" customHeight="1">
      <c r="A1710" s="23" t="s">
        <v>2612</v>
      </c>
      <c r="B1710" s="23" t="s">
        <v>881</v>
      </c>
      <c r="C1710" s="23" t="s">
        <v>2584</v>
      </c>
      <c r="D1710" s="23" t="s">
        <v>948</v>
      </c>
      <c r="E1710" s="23" t="s">
        <v>949</v>
      </c>
      <c r="F1710" s="23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22.5" customHeight="1">
      <c r="A1711" s="23" t="s">
        <v>2613</v>
      </c>
      <c r="B1711" s="23" t="s">
        <v>883</v>
      </c>
      <c r="C1711" s="23" t="s">
        <v>2584</v>
      </c>
      <c r="D1711" s="23" t="s">
        <v>948</v>
      </c>
      <c r="E1711" s="23" t="s">
        <v>949</v>
      </c>
      <c r="F1711" s="23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22.5" customHeight="1">
      <c r="A1712" s="23" t="s">
        <v>2614</v>
      </c>
      <c r="B1712" s="23" t="s">
        <v>885</v>
      </c>
      <c r="C1712" s="23" t="s">
        <v>2584</v>
      </c>
      <c r="D1712" s="23" t="s">
        <v>948</v>
      </c>
      <c r="E1712" s="23" t="s">
        <v>949</v>
      </c>
      <c r="F1712" s="23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22.5" customHeight="1">
      <c r="A1713" s="23" t="s">
        <v>2615</v>
      </c>
      <c r="B1713" s="23" t="s">
        <v>887</v>
      </c>
      <c r="C1713" s="23" t="s">
        <v>2584</v>
      </c>
      <c r="D1713" s="23" t="s">
        <v>948</v>
      </c>
      <c r="E1713" s="23" t="s">
        <v>949</v>
      </c>
      <c r="F1713" s="23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22.5" customHeight="1">
      <c r="A1714" s="23" t="s">
        <v>2616</v>
      </c>
      <c r="B1714" s="23" t="s">
        <v>892</v>
      </c>
      <c r="C1714" s="23" t="s">
        <v>2584</v>
      </c>
      <c r="D1714" s="23" t="s">
        <v>948</v>
      </c>
      <c r="E1714" s="23" t="s">
        <v>971</v>
      </c>
      <c r="F1714" s="23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22.5" customHeight="1">
      <c r="A1715" s="23" t="s">
        <v>2617</v>
      </c>
      <c r="B1715" s="23" t="s">
        <v>935</v>
      </c>
      <c r="C1715" s="23" t="s">
        <v>2584</v>
      </c>
      <c r="D1715" s="23" t="s">
        <v>948</v>
      </c>
      <c r="E1715" s="23" t="s">
        <v>949</v>
      </c>
      <c r="F1715" s="23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22.5" customHeight="1">
      <c r="A1716" s="23" t="s">
        <v>2618</v>
      </c>
      <c r="B1716" s="23" t="s">
        <v>895</v>
      </c>
      <c r="C1716" s="23" t="s">
        <v>2584</v>
      </c>
      <c r="D1716" s="23" t="s">
        <v>948</v>
      </c>
      <c r="E1716" s="23" t="s">
        <v>949</v>
      </c>
      <c r="F1716" s="23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22.5" customHeight="1">
      <c r="A1717" s="23" t="s">
        <v>2619</v>
      </c>
      <c r="B1717" s="23" t="s">
        <v>897</v>
      </c>
      <c r="C1717" s="23" t="s">
        <v>2584</v>
      </c>
      <c r="D1717" s="23" t="s">
        <v>948</v>
      </c>
      <c r="E1717" s="23" t="s">
        <v>949</v>
      </c>
      <c r="F1717" s="23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22.5" customHeight="1">
      <c r="A1718" s="23" t="s">
        <v>2620</v>
      </c>
      <c r="B1718" s="23" t="s">
        <v>889</v>
      </c>
      <c r="C1718" s="23" t="s">
        <v>2584</v>
      </c>
      <c r="D1718" s="23" t="s">
        <v>948</v>
      </c>
      <c r="E1718" s="23" t="s">
        <v>949</v>
      </c>
      <c r="F1718" s="23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22.5" customHeight="1">
      <c r="A1719" s="23" t="s">
        <v>2621</v>
      </c>
      <c r="B1719" s="23" t="s">
        <v>899</v>
      </c>
      <c r="C1719" s="23" t="s">
        <v>2584</v>
      </c>
      <c r="D1719" s="23" t="s">
        <v>948</v>
      </c>
      <c r="E1719" s="23" t="s">
        <v>949</v>
      </c>
      <c r="F1719" s="23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22.5" customHeight="1">
      <c r="A1720" s="23" t="s">
        <v>2622</v>
      </c>
      <c r="B1720" s="23" t="s">
        <v>901</v>
      </c>
      <c r="C1720" s="23" t="s">
        <v>2584</v>
      </c>
      <c r="D1720" s="23" t="s">
        <v>948</v>
      </c>
      <c r="E1720" s="23" t="s">
        <v>949</v>
      </c>
      <c r="F1720" s="23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22.5" customHeight="1">
      <c r="A1721" s="23" t="s">
        <v>2623</v>
      </c>
      <c r="B1721" s="23" t="s">
        <v>904</v>
      </c>
      <c r="C1721" s="23" t="s">
        <v>2584</v>
      </c>
      <c r="D1721" s="23" t="s">
        <v>948</v>
      </c>
      <c r="E1721" s="23" t="s">
        <v>949</v>
      </c>
      <c r="F1721" s="23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22.5" customHeight="1">
      <c r="A1722" s="23" t="s">
        <v>2624</v>
      </c>
      <c r="B1722" s="23" t="s">
        <v>906</v>
      </c>
      <c r="C1722" s="23" t="s">
        <v>2584</v>
      </c>
      <c r="D1722" s="23" t="s">
        <v>948</v>
      </c>
      <c r="E1722" s="23" t="s">
        <v>949</v>
      </c>
      <c r="F1722" s="23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22.5" customHeight="1">
      <c r="A1723" s="23" t="s">
        <v>2625</v>
      </c>
      <c r="B1723" s="23" t="s">
        <v>908</v>
      </c>
      <c r="C1723" s="23" t="s">
        <v>2584</v>
      </c>
      <c r="D1723" s="23" t="s">
        <v>948</v>
      </c>
      <c r="E1723" s="23" t="s">
        <v>949</v>
      </c>
      <c r="F1723" s="23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22.5" customHeight="1">
      <c r="A1724" s="23" t="s">
        <v>2626</v>
      </c>
      <c r="B1724" s="23" t="s">
        <v>936</v>
      </c>
      <c r="C1724" s="23" t="s">
        <v>2584</v>
      </c>
      <c r="D1724" s="23" t="s">
        <v>948</v>
      </c>
      <c r="E1724" s="23" t="s">
        <v>949</v>
      </c>
      <c r="F1724" s="23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22.5" customHeight="1">
      <c r="A1725" s="23" t="s">
        <v>2627</v>
      </c>
      <c r="B1725" s="23" t="s">
        <v>910</v>
      </c>
      <c r="C1725" s="23" t="s">
        <v>2584</v>
      </c>
      <c r="D1725" s="23" t="s">
        <v>948</v>
      </c>
      <c r="E1725" s="23" t="s">
        <v>949</v>
      </c>
      <c r="F1725" s="23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22.5" customHeight="1">
      <c r="A1726" s="23" t="s">
        <v>2628</v>
      </c>
      <c r="B1726" s="23" t="s">
        <v>937</v>
      </c>
      <c r="C1726" s="23" t="s">
        <v>2584</v>
      </c>
      <c r="D1726" s="23" t="s">
        <v>948</v>
      </c>
      <c r="E1726" s="23" t="s">
        <v>949</v>
      </c>
      <c r="F1726" s="23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22.5" customHeight="1">
      <c r="A1727" s="23" t="s">
        <v>2629</v>
      </c>
      <c r="B1727" s="23" t="s">
        <v>912</v>
      </c>
      <c r="C1727" s="23" t="s">
        <v>2584</v>
      </c>
      <c r="D1727" s="23" t="s">
        <v>948</v>
      </c>
      <c r="E1727" s="23" t="s">
        <v>949</v>
      </c>
      <c r="F1727" s="23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22.5" customHeight="1">
      <c r="A1728" s="23" t="s">
        <v>2630</v>
      </c>
      <c r="B1728" s="23" t="s">
        <v>938</v>
      </c>
      <c r="C1728" s="23" t="s">
        <v>2584</v>
      </c>
      <c r="D1728" s="23" t="s">
        <v>948</v>
      </c>
      <c r="E1728" s="23" t="s">
        <v>949</v>
      </c>
      <c r="F1728" s="23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22.5" customHeight="1">
      <c r="A1729" s="23" t="s">
        <v>2631</v>
      </c>
      <c r="B1729" s="23" t="s">
        <v>914</v>
      </c>
      <c r="C1729" s="23" t="s">
        <v>2584</v>
      </c>
      <c r="D1729" s="23" t="s">
        <v>948</v>
      </c>
      <c r="E1729" s="23" t="s">
        <v>949</v>
      </c>
      <c r="F1729" s="23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22.5" customHeight="1">
      <c r="A1730" s="23" t="s">
        <v>2632</v>
      </c>
      <c r="B1730" s="23" t="s">
        <v>939</v>
      </c>
      <c r="C1730" s="23" t="s">
        <v>2584</v>
      </c>
      <c r="D1730" s="23" t="s">
        <v>948</v>
      </c>
      <c r="E1730" s="23" t="s">
        <v>949</v>
      </c>
      <c r="F1730" s="23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22.5" customHeight="1">
      <c r="A1731" s="23" t="s">
        <v>2633</v>
      </c>
      <c r="B1731" s="23" t="s">
        <v>917</v>
      </c>
      <c r="C1731" s="23" t="s">
        <v>2584</v>
      </c>
      <c r="D1731" s="23" t="s">
        <v>948</v>
      </c>
      <c r="E1731" s="23" t="s">
        <v>949</v>
      </c>
      <c r="F1731" s="23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22.5" customHeight="1">
      <c r="A1732" s="23" t="s">
        <v>2634</v>
      </c>
      <c r="B1732" s="23" t="s">
        <v>873</v>
      </c>
      <c r="C1732" s="23" t="s">
        <v>2584</v>
      </c>
      <c r="D1732" s="23" t="s">
        <v>948</v>
      </c>
      <c r="E1732" s="23" t="s">
        <v>949</v>
      </c>
      <c r="F1732" s="23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22.5" customHeight="1">
      <c r="A1733" s="23" t="s">
        <v>2635</v>
      </c>
      <c r="B1733" s="23" t="s">
        <v>920</v>
      </c>
      <c r="C1733" s="23" t="s">
        <v>2584</v>
      </c>
      <c r="D1733" s="23" t="s">
        <v>948</v>
      </c>
      <c r="E1733" s="23" t="s">
        <v>949</v>
      </c>
      <c r="F1733" s="23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22.5" customHeight="1">
      <c r="A1734" s="23" t="s">
        <v>2636</v>
      </c>
      <c r="B1734" s="23" t="s">
        <v>923</v>
      </c>
      <c r="C1734" s="23" t="s">
        <v>2584</v>
      </c>
      <c r="D1734" s="23" t="s">
        <v>948</v>
      </c>
      <c r="E1734" s="23" t="s">
        <v>949</v>
      </c>
      <c r="F1734" s="23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22.5" customHeight="1">
      <c r="A1735" s="23" t="s">
        <v>2637</v>
      </c>
      <c r="B1735" s="23" t="s">
        <v>926</v>
      </c>
      <c r="C1735" s="23" t="s">
        <v>2584</v>
      </c>
      <c r="D1735" s="23" t="s">
        <v>948</v>
      </c>
      <c r="E1735" s="23" t="s">
        <v>949</v>
      </c>
      <c r="F1735" s="23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22.5" customHeight="1">
      <c r="A1736" s="23" t="s">
        <v>2638</v>
      </c>
      <c r="B1736" s="23" t="s">
        <v>929</v>
      </c>
      <c r="C1736" s="23" t="s">
        <v>2584</v>
      </c>
      <c r="D1736" s="23" t="s">
        <v>948</v>
      </c>
      <c r="E1736" s="23" t="s">
        <v>949</v>
      </c>
      <c r="F1736" s="23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22.5" customHeight="1">
      <c r="A1737" s="23" t="s">
        <v>2639</v>
      </c>
      <c r="B1737" s="23" t="s">
        <v>932</v>
      </c>
      <c r="C1737" s="23" t="s">
        <v>2584</v>
      </c>
      <c r="D1737" s="23" t="s">
        <v>948</v>
      </c>
      <c r="E1737" s="23" t="s">
        <v>949</v>
      </c>
      <c r="F1737" s="23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22.5" customHeight="1">
      <c r="A1738" s="23" t="s">
        <v>2640</v>
      </c>
      <c r="B1738" s="23" t="s">
        <v>934</v>
      </c>
      <c r="C1738" s="23" t="s">
        <v>2584</v>
      </c>
      <c r="D1738" s="23" t="s">
        <v>948</v>
      </c>
      <c r="E1738" s="23" t="s">
        <v>949</v>
      </c>
      <c r="F1738" s="23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22.5" customHeight="1">
      <c r="A1739" s="23" t="s">
        <v>2641</v>
      </c>
      <c r="B1739" s="23" t="s">
        <v>942</v>
      </c>
      <c r="C1739" s="23" t="s">
        <v>2584</v>
      </c>
      <c r="D1739" s="23" t="s">
        <v>948</v>
      </c>
      <c r="E1739" s="23" t="s">
        <v>949</v>
      </c>
      <c r="F1739" s="23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22.5" customHeight="1">
      <c r="A1740" s="23" t="s">
        <v>2642</v>
      </c>
      <c r="B1740" s="23" t="s">
        <v>116</v>
      </c>
      <c r="C1740" s="23" t="s">
        <v>2643</v>
      </c>
      <c r="D1740" s="23" t="s">
        <v>948</v>
      </c>
      <c r="E1740" s="23" t="s">
        <v>949</v>
      </c>
      <c r="F1740" s="23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22.5" customHeight="1">
      <c r="A1741" s="23" t="s">
        <v>2644</v>
      </c>
      <c r="B1741" s="23" t="s">
        <v>123</v>
      </c>
      <c r="C1741" s="23" t="s">
        <v>2643</v>
      </c>
      <c r="D1741" s="23" t="s">
        <v>948</v>
      </c>
      <c r="E1741" s="23" t="s">
        <v>949</v>
      </c>
      <c r="F1741" s="23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22.5" customHeight="1">
      <c r="A1742" s="23" t="s">
        <v>2645</v>
      </c>
      <c r="B1742" s="23" t="s">
        <v>131</v>
      </c>
      <c r="C1742" s="23" t="s">
        <v>2643</v>
      </c>
      <c r="D1742" s="23" t="s">
        <v>948</v>
      </c>
      <c r="E1742" s="23" t="s">
        <v>949</v>
      </c>
      <c r="F1742" s="23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22.5" customHeight="1">
      <c r="A1743" s="23" t="s">
        <v>2646</v>
      </c>
      <c r="B1743" s="23" t="s">
        <v>137</v>
      </c>
      <c r="C1743" s="23" t="s">
        <v>2643</v>
      </c>
      <c r="D1743" s="23" t="s">
        <v>948</v>
      </c>
      <c r="E1743" s="23" t="s">
        <v>949</v>
      </c>
      <c r="F1743" s="23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22.5" customHeight="1">
      <c r="A1744" s="23" t="s">
        <v>2647</v>
      </c>
      <c r="B1744" s="23" t="s">
        <v>144</v>
      </c>
      <c r="C1744" s="23" t="s">
        <v>2643</v>
      </c>
      <c r="D1744" s="23" t="s">
        <v>948</v>
      </c>
      <c r="E1744" s="23" t="s">
        <v>949</v>
      </c>
      <c r="F1744" s="23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22.5" customHeight="1">
      <c r="A1745" s="23" t="s">
        <v>2648</v>
      </c>
      <c r="B1745" s="23" t="s">
        <v>151</v>
      </c>
      <c r="C1745" s="23" t="s">
        <v>2643</v>
      </c>
      <c r="D1745" s="23" t="s">
        <v>948</v>
      </c>
      <c r="E1745" s="23" t="s">
        <v>949</v>
      </c>
      <c r="F1745" s="23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22.5" customHeight="1">
      <c r="A1746" s="23" t="s">
        <v>2649</v>
      </c>
      <c r="B1746" s="23" t="s">
        <v>734</v>
      </c>
      <c r="C1746" s="23" t="s">
        <v>2643</v>
      </c>
      <c r="D1746" s="23" t="s">
        <v>948</v>
      </c>
      <c r="E1746" s="23" t="s">
        <v>949</v>
      </c>
      <c r="F1746" s="23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22.5" customHeight="1">
      <c r="A1747" s="23" t="s">
        <v>2650</v>
      </c>
      <c r="B1747" s="23" t="s">
        <v>831</v>
      </c>
      <c r="C1747" s="23" t="s">
        <v>2643</v>
      </c>
      <c r="D1747" s="23" t="s">
        <v>948</v>
      </c>
      <c r="E1747" s="23" t="s">
        <v>949</v>
      </c>
      <c r="F1747" s="23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22.5" customHeight="1">
      <c r="A1748" s="23" t="s">
        <v>2651</v>
      </c>
      <c r="B1748" s="23" t="s">
        <v>833</v>
      </c>
      <c r="C1748" s="23" t="s">
        <v>2643</v>
      </c>
      <c r="D1748" s="23" t="s">
        <v>948</v>
      </c>
      <c r="E1748" s="23" t="s">
        <v>949</v>
      </c>
      <c r="F1748" s="23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22.5" customHeight="1">
      <c r="A1749" s="23" t="s">
        <v>2652</v>
      </c>
      <c r="B1749" s="23" t="s">
        <v>811</v>
      </c>
      <c r="C1749" s="23" t="s">
        <v>2643</v>
      </c>
      <c r="D1749" s="23" t="s">
        <v>948</v>
      </c>
      <c r="E1749" s="23" t="s">
        <v>949</v>
      </c>
      <c r="F1749" s="23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22.5" customHeight="1">
      <c r="A1750" s="23" t="s">
        <v>2653</v>
      </c>
      <c r="B1750" s="23" t="s">
        <v>838</v>
      </c>
      <c r="C1750" s="23" t="s">
        <v>2643</v>
      </c>
      <c r="D1750" s="23" t="s">
        <v>948</v>
      </c>
      <c r="E1750" s="23" t="s">
        <v>949</v>
      </c>
      <c r="F1750" s="23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22.5" customHeight="1">
      <c r="A1751" s="23" t="s">
        <v>2654</v>
      </c>
      <c r="B1751" s="23" t="s">
        <v>840</v>
      </c>
      <c r="C1751" s="23" t="s">
        <v>2643</v>
      </c>
      <c r="D1751" s="23" t="s">
        <v>948</v>
      </c>
      <c r="E1751" s="23" t="s">
        <v>949</v>
      </c>
      <c r="F1751" s="23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22.5" customHeight="1">
      <c r="A1752" s="23" t="s">
        <v>2655</v>
      </c>
      <c r="B1752" s="23" t="s">
        <v>842</v>
      </c>
      <c r="C1752" s="23" t="s">
        <v>2643</v>
      </c>
      <c r="D1752" s="23" t="s">
        <v>948</v>
      </c>
      <c r="E1752" s="23" t="s">
        <v>949</v>
      </c>
      <c r="F1752" s="23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22.5" customHeight="1">
      <c r="A1753" s="23" t="s">
        <v>2656</v>
      </c>
      <c r="B1753" s="23" t="s">
        <v>844</v>
      </c>
      <c r="C1753" s="23" t="s">
        <v>2643</v>
      </c>
      <c r="D1753" s="23" t="s">
        <v>948</v>
      </c>
      <c r="E1753" s="23" t="s">
        <v>949</v>
      </c>
      <c r="F1753" s="23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22.5" customHeight="1">
      <c r="A1754" s="23" t="s">
        <v>2657</v>
      </c>
      <c r="B1754" s="23" t="s">
        <v>846</v>
      </c>
      <c r="C1754" s="23" t="s">
        <v>2643</v>
      </c>
      <c r="D1754" s="23" t="s">
        <v>948</v>
      </c>
      <c r="E1754" s="23" t="s">
        <v>949</v>
      </c>
      <c r="F1754" s="23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22.5" customHeight="1">
      <c r="A1755" s="23" t="s">
        <v>2658</v>
      </c>
      <c r="B1755" s="23" t="s">
        <v>848</v>
      </c>
      <c r="C1755" s="23" t="s">
        <v>2643</v>
      </c>
      <c r="D1755" s="23" t="s">
        <v>948</v>
      </c>
      <c r="E1755" s="23" t="s">
        <v>949</v>
      </c>
      <c r="F1755" s="23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22.5" customHeight="1">
      <c r="A1756" s="23" t="s">
        <v>2659</v>
      </c>
      <c r="B1756" s="23" t="s">
        <v>850</v>
      </c>
      <c r="C1756" s="23" t="s">
        <v>2643</v>
      </c>
      <c r="D1756" s="23" t="s">
        <v>948</v>
      </c>
      <c r="E1756" s="23" t="s">
        <v>949</v>
      </c>
      <c r="F1756" s="23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22.5" customHeight="1">
      <c r="A1757" s="23" t="s">
        <v>2660</v>
      </c>
      <c r="B1757" s="23" t="s">
        <v>853</v>
      </c>
      <c r="C1757" s="23" t="s">
        <v>2643</v>
      </c>
      <c r="D1757" s="23" t="s">
        <v>948</v>
      </c>
      <c r="E1757" s="23" t="s">
        <v>949</v>
      </c>
      <c r="F1757" s="23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22.5" customHeight="1">
      <c r="A1758" s="23" t="s">
        <v>2661</v>
      </c>
      <c r="B1758" s="23" t="s">
        <v>855</v>
      </c>
      <c r="C1758" s="23" t="s">
        <v>2643</v>
      </c>
      <c r="D1758" s="23" t="s">
        <v>948</v>
      </c>
      <c r="E1758" s="23" t="s">
        <v>949</v>
      </c>
      <c r="F1758" s="23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22.5" customHeight="1">
      <c r="A1759" s="23" t="s">
        <v>2662</v>
      </c>
      <c r="B1759" s="23" t="s">
        <v>857</v>
      </c>
      <c r="C1759" s="23" t="s">
        <v>2643</v>
      </c>
      <c r="D1759" s="23" t="s">
        <v>948</v>
      </c>
      <c r="E1759" s="23" t="s">
        <v>949</v>
      </c>
      <c r="F1759" s="23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22.5" customHeight="1">
      <c r="A1760" s="23" t="s">
        <v>2663</v>
      </c>
      <c r="B1760" s="23" t="s">
        <v>860</v>
      </c>
      <c r="C1760" s="23" t="s">
        <v>2643</v>
      </c>
      <c r="D1760" s="23" t="s">
        <v>948</v>
      </c>
      <c r="E1760" s="23" t="s">
        <v>949</v>
      </c>
      <c r="F1760" s="23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22.5" customHeight="1">
      <c r="A1761" s="23" t="s">
        <v>2664</v>
      </c>
      <c r="B1761" s="23" t="s">
        <v>862</v>
      </c>
      <c r="C1761" s="23" t="s">
        <v>2643</v>
      </c>
      <c r="D1761" s="23" t="s">
        <v>948</v>
      </c>
      <c r="E1761" s="23" t="s">
        <v>949</v>
      </c>
      <c r="F1761" s="23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22.5" customHeight="1">
      <c r="A1762" s="23" t="s">
        <v>2665</v>
      </c>
      <c r="B1762" s="23" t="s">
        <v>865</v>
      </c>
      <c r="C1762" s="23" t="s">
        <v>2643</v>
      </c>
      <c r="D1762" s="23" t="s">
        <v>948</v>
      </c>
      <c r="E1762" s="23" t="s">
        <v>949</v>
      </c>
      <c r="F1762" s="23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22.5" customHeight="1">
      <c r="A1763" s="23" t="s">
        <v>2666</v>
      </c>
      <c r="B1763" s="23" t="s">
        <v>867</v>
      </c>
      <c r="C1763" s="23" t="s">
        <v>2643</v>
      </c>
      <c r="D1763" s="23" t="s">
        <v>948</v>
      </c>
      <c r="E1763" s="23" t="s">
        <v>949</v>
      </c>
      <c r="F1763" s="23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22.5" customHeight="1">
      <c r="A1764" s="23" t="s">
        <v>2667</v>
      </c>
      <c r="B1764" s="23" t="s">
        <v>869</v>
      </c>
      <c r="C1764" s="23" t="s">
        <v>2643</v>
      </c>
      <c r="D1764" s="23" t="s">
        <v>948</v>
      </c>
      <c r="E1764" s="23" t="s">
        <v>949</v>
      </c>
      <c r="F1764" s="23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22.5" customHeight="1">
      <c r="A1765" s="23" t="s">
        <v>2668</v>
      </c>
      <c r="B1765" s="23" t="s">
        <v>871</v>
      </c>
      <c r="C1765" s="23" t="s">
        <v>2643</v>
      </c>
      <c r="D1765" s="23" t="s">
        <v>948</v>
      </c>
      <c r="E1765" s="23" t="s">
        <v>949</v>
      </c>
      <c r="F1765" s="23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22.5" customHeight="1">
      <c r="A1766" s="23" t="s">
        <v>2669</v>
      </c>
      <c r="B1766" s="23" t="s">
        <v>876</v>
      </c>
      <c r="C1766" s="23" t="s">
        <v>2643</v>
      </c>
      <c r="D1766" s="23" t="s">
        <v>948</v>
      </c>
      <c r="E1766" s="23" t="s">
        <v>949</v>
      </c>
      <c r="F1766" s="23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22.5" customHeight="1">
      <c r="A1767" s="23" t="s">
        <v>2670</v>
      </c>
      <c r="B1767" s="23" t="s">
        <v>879</v>
      </c>
      <c r="C1767" s="23" t="s">
        <v>2643</v>
      </c>
      <c r="D1767" s="23" t="s">
        <v>948</v>
      </c>
      <c r="E1767" s="23" t="s">
        <v>949</v>
      </c>
      <c r="F1767" s="23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22.5" customHeight="1">
      <c r="A1768" s="23" t="s">
        <v>2671</v>
      </c>
      <c r="B1768" s="23" t="s">
        <v>881</v>
      </c>
      <c r="C1768" s="23" t="s">
        <v>2643</v>
      </c>
      <c r="D1768" s="23" t="s">
        <v>948</v>
      </c>
      <c r="E1768" s="23" t="s">
        <v>949</v>
      </c>
      <c r="F1768" s="23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22.5" customHeight="1">
      <c r="A1769" s="23" t="s">
        <v>2672</v>
      </c>
      <c r="B1769" s="23" t="s">
        <v>883</v>
      </c>
      <c r="C1769" s="23" t="s">
        <v>2643</v>
      </c>
      <c r="D1769" s="23" t="s">
        <v>948</v>
      </c>
      <c r="E1769" s="23" t="s">
        <v>949</v>
      </c>
      <c r="F1769" s="23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22.5" customHeight="1">
      <c r="A1770" s="23" t="s">
        <v>2673</v>
      </c>
      <c r="B1770" s="23" t="s">
        <v>885</v>
      </c>
      <c r="C1770" s="23" t="s">
        <v>2643</v>
      </c>
      <c r="D1770" s="23" t="s">
        <v>948</v>
      </c>
      <c r="E1770" s="23" t="s">
        <v>949</v>
      </c>
      <c r="F1770" s="23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22.5" customHeight="1">
      <c r="A1771" s="23" t="s">
        <v>2674</v>
      </c>
      <c r="B1771" s="23" t="s">
        <v>887</v>
      </c>
      <c r="C1771" s="23" t="s">
        <v>2643</v>
      </c>
      <c r="D1771" s="23" t="s">
        <v>948</v>
      </c>
      <c r="E1771" s="23" t="s">
        <v>949</v>
      </c>
      <c r="F1771" s="23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22.5" customHeight="1">
      <c r="A1772" s="23" t="s">
        <v>2675</v>
      </c>
      <c r="B1772" s="23" t="s">
        <v>892</v>
      </c>
      <c r="C1772" s="23" t="s">
        <v>2643</v>
      </c>
      <c r="D1772" s="23" t="s">
        <v>948</v>
      </c>
      <c r="E1772" s="23" t="s">
        <v>971</v>
      </c>
      <c r="F1772" s="23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22.5" customHeight="1">
      <c r="A1773" s="23" t="s">
        <v>2676</v>
      </c>
      <c r="B1773" s="23" t="s">
        <v>935</v>
      </c>
      <c r="C1773" s="23" t="s">
        <v>2643</v>
      </c>
      <c r="D1773" s="23" t="s">
        <v>948</v>
      </c>
      <c r="E1773" s="23" t="s">
        <v>949</v>
      </c>
      <c r="F1773" s="23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22.5" customHeight="1">
      <c r="A1774" s="23" t="s">
        <v>2677</v>
      </c>
      <c r="B1774" s="23" t="s">
        <v>895</v>
      </c>
      <c r="C1774" s="23" t="s">
        <v>2643</v>
      </c>
      <c r="D1774" s="23" t="s">
        <v>948</v>
      </c>
      <c r="E1774" s="23" t="s">
        <v>949</v>
      </c>
      <c r="F1774" s="23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22.5" customHeight="1">
      <c r="A1775" s="23" t="s">
        <v>2678</v>
      </c>
      <c r="B1775" s="23" t="s">
        <v>897</v>
      </c>
      <c r="C1775" s="23" t="s">
        <v>2643</v>
      </c>
      <c r="D1775" s="23" t="s">
        <v>948</v>
      </c>
      <c r="E1775" s="23" t="s">
        <v>949</v>
      </c>
      <c r="F1775" s="23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22.5" customHeight="1">
      <c r="A1776" s="23" t="s">
        <v>2679</v>
      </c>
      <c r="B1776" s="23" t="s">
        <v>889</v>
      </c>
      <c r="C1776" s="23" t="s">
        <v>2643</v>
      </c>
      <c r="D1776" s="23" t="s">
        <v>948</v>
      </c>
      <c r="E1776" s="23" t="s">
        <v>949</v>
      </c>
      <c r="F1776" s="23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22.5" customHeight="1">
      <c r="A1777" s="23" t="s">
        <v>2680</v>
      </c>
      <c r="B1777" s="23" t="s">
        <v>899</v>
      </c>
      <c r="C1777" s="23" t="s">
        <v>2643</v>
      </c>
      <c r="D1777" s="23" t="s">
        <v>948</v>
      </c>
      <c r="E1777" s="23" t="s">
        <v>949</v>
      </c>
      <c r="F1777" s="23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22.5" customHeight="1">
      <c r="A1778" s="23" t="s">
        <v>2681</v>
      </c>
      <c r="B1778" s="23" t="s">
        <v>901</v>
      </c>
      <c r="C1778" s="23" t="s">
        <v>2643</v>
      </c>
      <c r="D1778" s="23" t="s">
        <v>948</v>
      </c>
      <c r="E1778" s="23" t="s">
        <v>949</v>
      </c>
      <c r="F1778" s="23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22.5" customHeight="1">
      <c r="A1779" s="23" t="s">
        <v>2682</v>
      </c>
      <c r="B1779" s="23" t="s">
        <v>904</v>
      </c>
      <c r="C1779" s="23" t="s">
        <v>2643</v>
      </c>
      <c r="D1779" s="23" t="s">
        <v>948</v>
      </c>
      <c r="E1779" s="23" t="s">
        <v>949</v>
      </c>
      <c r="F1779" s="23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22.5" customHeight="1">
      <c r="A1780" s="23" t="s">
        <v>2683</v>
      </c>
      <c r="B1780" s="23" t="s">
        <v>906</v>
      </c>
      <c r="C1780" s="23" t="s">
        <v>2643</v>
      </c>
      <c r="D1780" s="23" t="s">
        <v>948</v>
      </c>
      <c r="E1780" s="23" t="s">
        <v>949</v>
      </c>
      <c r="F1780" s="23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22.5" customHeight="1">
      <c r="A1781" s="23" t="s">
        <v>2684</v>
      </c>
      <c r="B1781" s="23" t="s">
        <v>908</v>
      </c>
      <c r="C1781" s="23" t="s">
        <v>2643</v>
      </c>
      <c r="D1781" s="23" t="s">
        <v>948</v>
      </c>
      <c r="E1781" s="23" t="s">
        <v>949</v>
      </c>
      <c r="F1781" s="23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22.5" customHeight="1">
      <c r="A1782" s="23" t="s">
        <v>2685</v>
      </c>
      <c r="B1782" s="23" t="s">
        <v>936</v>
      </c>
      <c r="C1782" s="23" t="s">
        <v>2643</v>
      </c>
      <c r="D1782" s="23" t="s">
        <v>948</v>
      </c>
      <c r="E1782" s="23" t="s">
        <v>949</v>
      </c>
      <c r="F1782" s="23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22.5" customHeight="1">
      <c r="A1783" s="23" t="s">
        <v>2686</v>
      </c>
      <c r="B1783" s="23" t="s">
        <v>910</v>
      </c>
      <c r="C1783" s="23" t="s">
        <v>2643</v>
      </c>
      <c r="D1783" s="23" t="s">
        <v>948</v>
      </c>
      <c r="E1783" s="23" t="s">
        <v>949</v>
      </c>
      <c r="F1783" s="23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22.5" customHeight="1">
      <c r="A1784" s="23" t="s">
        <v>2687</v>
      </c>
      <c r="B1784" s="23" t="s">
        <v>937</v>
      </c>
      <c r="C1784" s="23" t="s">
        <v>2643</v>
      </c>
      <c r="D1784" s="23" t="s">
        <v>948</v>
      </c>
      <c r="E1784" s="23" t="s">
        <v>949</v>
      </c>
      <c r="F1784" s="23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22.5" customHeight="1">
      <c r="A1785" s="23" t="s">
        <v>2688</v>
      </c>
      <c r="B1785" s="23" t="s">
        <v>912</v>
      </c>
      <c r="C1785" s="23" t="s">
        <v>2643</v>
      </c>
      <c r="D1785" s="23" t="s">
        <v>948</v>
      </c>
      <c r="E1785" s="23" t="s">
        <v>949</v>
      </c>
      <c r="F1785" s="23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22.5" customHeight="1">
      <c r="A1786" s="23" t="s">
        <v>2689</v>
      </c>
      <c r="B1786" s="23" t="s">
        <v>938</v>
      </c>
      <c r="C1786" s="23" t="s">
        <v>2643</v>
      </c>
      <c r="D1786" s="23" t="s">
        <v>948</v>
      </c>
      <c r="E1786" s="23" t="s">
        <v>949</v>
      </c>
      <c r="F1786" s="23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22.5" customHeight="1">
      <c r="A1787" s="23" t="s">
        <v>2690</v>
      </c>
      <c r="B1787" s="23" t="s">
        <v>914</v>
      </c>
      <c r="C1787" s="23" t="s">
        <v>2643</v>
      </c>
      <c r="D1787" s="23" t="s">
        <v>948</v>
      </c>
      <c r="E1787" s="23" t="s">
        <v>949</v>
      </c>
      <c r="F1787" s="23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22.5" customHeight="1">
      <c r="A1788" s="23" t="s">
        <v>2691</v>
      </c>
      <c r="B1788" s="23" t="s">
        <v>939</v>
      </c>
      <c r="C1788" s="23" t="s">
        <v>2643</v>
      </c>
      <c r="D1788" s="23" t="s">
        <v>948</v>
      </c>
      <c r="E1788" s="23" t="s">
        <v>949</v>
      </c>
      <c r="F1788" s="23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22.5" customHeight="1">
      <c r="A1789" s="23" t="s">
        <v>2692</v>
      </c>
      <c r="B1789" s="23" t="s">
        <v>917</v>
      </c>
      <c r="C1789" s="23" t="s">
        <v>2643</v>
      </c>
      <c r="D1789" s="23" t="s">
        <v>948</v>
      </c>
      <c r="E1789" s="23" t="s">
        <v>949</v>
      </c>
      <c r="F1789" s="23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22.5" customHeight="1">
      <c r="A1790" s="23" t="s">
        <v>2693</v>
      </c>
      <c r="B1790" s="23" t="s">
        <v>873</v>
      </c>
      <c r="C1790" s="23" t="s">
        <v>2643</v>
      </c>
      <c r="D1790" s="23" t="s">
        <v>948</v>
      </c>
      <c r="E1790" s="23" t="s">
        <v>949</v>
      </c>
      <c r="F1790" s="23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22.5" customHeight="1">
      <c r="A1791" s="23" t="s">
        <v>2694</v>
      </c>
      <c r="B1791" s="23" t="s">
        <v>920</v>
      </c>
      <c r="C1791" s="23" t="s">
        <v>2643</v>
      </c>
      <c r="D1791" s="23" t="s">
        <v>948</v>
      </c>
      <c r="E1791" s="23" t="s">
        <v>949</v>
      </c>
      <c r="F1791" s="23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22.5" customHeight="1">
      <c r="A1792" s="23" t="s">
        <v>2695</v>
      </c>
      <c r="B1792" s="23" t="s">
        <v>923</v>
      </c>
      <c r="C1792" s="23" t="s">
        <v>2643</v>
      </c>
      <c r="D1792" s="23" t="s">
        <v>948</v>
      </c>
      <c r="E1792" s="23" t="s">
        <v>949</v>
      </c>
      <c r="F1792" s="23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22.5" customHeight="1">
      <c r="A1793" s="23" t="s">
        <v>2696</v>
      </c>
      <c r="B1793" s="23" t="s">
        <v>926</v>
      </c>
      <c r="C1793" s="23" t="s">
        <v>2643</v>
      </c>
      <c r="D1793" s="23" t="s">
        <v>948</v>
      </c>
      <c r="E1793" s="23" t="s">
        <v>949</v>
      </c>
      <c r="F1793" s="23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22.5" customHeight="1">
      <c r="A1794" s="23" t="s">
        <v>2697</v>
      </c>
      <c r="B1794" s="23" t="s">
        <v>929</v>
      </c>
      <c r="C1794" s="23" t="s">
        <v>2643</v>
      </c>
      <c r="D1794" s="23" t="s">
        <v>948</v>
      </c>
      <c r="E1794" s="23" t="s">
        <v>949</v>
      </c>
      <c r="F1794" s="23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22.5" customHeight="1">
      <c r="A1795" s="23" t="s">
        <v>2698</v>
      </c>
      <c r="B1795" s="23" t="s">
        <v>932</v>
      </c>
      <c r="C1795" s="23" t="s">
        <v>2643</v>
      </c>
      <c r="D1795" s="23" t="s">
        <v>948</v>
      </c>
      <c r="E1795" s="23" t="s">
        <v>949</v>
      </c>
      <c r="F1795" s="23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22.5" customHeight="1">
      <c r="A1796" s="23" t="s">
        <v>2699</v>
      </c>
      <c r="B1796" s="23" t="s">
        <v>934</v>
      </c>
      <c r="C1796" s="23" t="s">
        <v>2643</v>
      </c>
      <c r="D1796" s="23" t="s">
        <v>948</v>
      </c>
      <c r="E1796" s="23" t="s">
        <v>949</v>
      </c>
      <c r="F1796" s="23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22.5" customHeight="1">
      <c r="A1797" s="23" t="s">
        <v>2700</v>
      </c>
      <c r="B1797" s="23" t="s">
        <v>942</v>
      </c>
      <c r="C1797" s="23" t="s">
        <v>2643</v>
      </c>
      <c r="D1797" s="23" t="s">
        <v>948</v>
      </c>
      <c r="E1797" s="23" t="s">
        <v>971</v>
      </c>
      <c r="F1797" s="23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22.5" customHeight="1">
      <c r="A1798" s="23" t="s">
        <v>2701</v>
      </c>
      <c r="B1798" s="23" t="s">
        <v>116</v>
      </c>
      <c r="C1798" s="23" t="s">
        <v>2702</v>
      </c>
      <c r="D1798" s="23" t="s">
        <v>948</v>
      </c>
      <c r="E1798" s="23" t="s">
        <v>949</v>
      </c>
      <c r="F1798" s="23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22.5" customHeight="1">
      <c r="A1799" s="23" t="s">
        <v>2703</v>
      </c>
      <c r="B1799" s="23" t="s">
        <v>123</v>
      </c>
      <c r="C1799" s="23" t="s">
        <v>2702</v>
      </c>
      <c r="D1799" s="23" t="s">
        <v>948</v>
      </c>
      <c r="E1799" s="23" t="s">
        <v>949</v>
      </c>
      <c r="F1799" s="23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22.5" customHeight="1">
      <c r="A1800" s="23" t="s">
        <v>2704</v>
      </c>
      <c r="B1800" s="23" t="s">
        <v>131</v>
      </c>
      <c r="C1800" s="23" t="s">
        <v>2702</v>
      </c>
      <c r="D1800" s="23" t="s">
        <v>948</v>
      </c>
      <c r="E1800" s="23" t="s">
        <v>949</v>
      </c>
      <c r="F1800" s="23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22.5" customHeight="1">
      <c r="A1801" s="23" t="s">
        <v>2705</v>
      </c>
      <c r="B1801" s="23" t="s">
        <v>137</v>
      </c>
      <c r="C1801" s="23" t="s">
        <v>2702</v>
      </c>
      <c r="D1801" s="23" t="s">
        <v>948</v>
      </c>
      <c r="E1801" s="23" t="s">
        <v>949</v>
      </c>
      <c r="F1801" s="23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22.5" customHeight="1">
      <c r="A1802" s="23" t="s">
        <v>2706</v>
      </c>
      <c r="B1802" s="23" t="s">
        <v>144</v>
      </c>
      <c r="C1802" s="23" t="s">
        <v>2702</v>
      </c>
      <c r="D1802" s="23" t="s">
        <v>948</v>
      </c>
      <c r="E1802" s="23" t="s">
        <v>949</v>
      </c>
      <c r="F1802" s="23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22.5" customHeight="1">
      <c r="A1803" s="23" t="s">
        <v>2707</v>
      </c>
      <c r="B1803" s="23" t="s">
        <v>151</v>
      </c>
      <c r="C1803" s="23" t="s">
        <v>2702</v>
      </c>
      <c r="D1803" s="23" t="s">
        <v>948</v>
      </c>
      <c r="E1803" s="23" t="s">
        <v>949</v>
      </c>
      <c r="F1803" s="23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22.5" customHeight="1">
      <c r="A1804" s="23" t="s">
        <v>2708</v>
      </c>
      <c r="B1804" s="23" t="s">
        <v>734</v>
      </c>
      <c r="C1804" s="23" t="s">
        <v>2702</v>
      </c>
      <c r="D1804" s="23" t="s">
        <v>948</v>
      </c>
      <c r="E1804" s="23" t="s">
        <v>949</v>
      </c>
      <c r="F1804" s="23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22.5" customHeight="1">
      <c r="A1805" s="23" t="s">
        <v>2709</v>
      </c>
      <c r="B1805" s="23" t="s">
        <v>831</v>
      </c>
      <c r="C1805" s="23" t="s">
        <v>2702</v>
      </c>
      <c r="D1805" s="23" t="s">
        <v>948</v>
      </c>
      <c r="E1805" s="23" t="s">
        <v>949</v>
      </c>
      <c r="F1805" s="23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22.5" customHeight="1">
      <c r="A1806" s="23" t="s">
        <v>2710</v>
      </c>
      <c r="B1806" s="23" t="s">
        <v>833</v>
      </c>
      <c r="C1806" s="23" t="s">
        <v>2702</v>
      </c>
      <c r="D1806" s="23" t="s">
        <v>948</v>
      </c>
      <c r="E1806" s="23" t="s">
        <v>949</v>
      </c>
      <c r="F1806" s="23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22.5" customHeight="1">
      <c r="A1807" s="23" t="s">
        <v>2711</v>
      </c>
      <c r="B1807" s="23" t="s">
        <v>811</v>
      </c>
      <c r="C1807" s="23" t="s">
        <v>2702</v>
      </c>
      <c r="D1807" s="23" t="s">
        <v>948</v>
      </c>
      <c r="E1807" s="23" t="s">
        <v>949</v>
      </c>
      <c r="F1807" s="23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22.5" customHeight="1">
      <c r="A1808" s="23" t="s">
        <v>2712</v>
      </c>
      <c r="B1808" s="23" t="s">
        <v>838</v>
      </c>
      <c r="C1808" s="23" t="s">
        <v>2702</v>
      </c>
      <c r="D1808" s="23" t="s">
        <v>948</v>
      </c>
      <c r="E1808" s="23" t="s">
        <v>949</v>
      </c>
      <c r="F1808" s="23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22.5" customHeight="1">
      <c r="A1809" s="23" t="s">
        <v>2713</v>
      </c>
      <c r="B1809" s="23" t="s">
        <v>840</v>
      </c>
      <c r="C1809" s="23" t="s">
        <v>2702</v>
      </c>
      <c r="D1809" s="23" t="s">
        <v>948</v>
      </c>
      <c r="E1809" s="23" t="s">
        <v>949</v>
      </c>
      <c r="F1809" s="23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22.5" customHeight="1">
      <c r="A1810" s="23" t="s">
        <v>2714</v>
      </c>
      <c r="B1810" s="23" t="s">
        <v>842</v>
      </c>
      <c r="C1810" s="23" t="s">
        <v>2702</v>
      </c>
      <c r="D1810" s="23" t="s">
        <v>948</v>
      </c>
      <c r="E1810" s="23" t="s">
        <v>949</v>
      </c>
      <c r="F1810" s="23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22.5" customHeight="1">
      <c r="A1811" s="23" t="s">
        <v>2715</v>
      </c>
      <c r="B1811" s="23" t="s">
        <v>844</v>
      </c>
      <c r="C1811" s="23" t="s">
        <v>2702</v>
      </c>
      <c r="D1811" s="23" t="s">
        <v>948</v>
      </c>
      <c r="E1811" s="23" t="s">
        <v>949</v>
      </c>
      <c r="F1811" s="23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22.5" customHeight="1">
      <c r="A1812" s="23" t="s">
        <v>2716</v>
      </c>
      <c r="B1812" s="23" t="s">
        <v>846</v>
      </c>
      <c r="C1812" s="23" t="s">
        <v>2702</v>
      </c>
      <c r="D1812" s="23" t="s">
        <v>948</v>
      </c>
      <c r="E1812" s="23" t="s">
        <v>949</v>
      </c>
      <c r="F1812" s="23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22.5" customHeight="1">
      <c r="A1813" s="23" t="s">
        <v>2717</v>
      </c>
      <c r="B1813" s="23" t="s">
        <v>848</v>
      </c>
      <c r="C1813" s="23" t="s">
        <v>2702</v>
      </c>
      <c r="D1813" s="23" t="s">
        <v>948</v>
      </c>
      <c r="E1813" s="23" t="s">
        <v>949</v>
      </c>
      <c r="F1813" s="23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22.5" customHeight="1">
      <c r="A1814" s="23" t="s">
        <v>2718</v>
      </c>
      <c r="B1814" s="23" t="s">
        <v>850</v>
      </c>
      <c r="C1814" s="23" t="s">
        <v>2702</v>
      </c>
      <c r="D1814" s="23" t="s">
        <v>948</v>
      </c>
      <c r="E1814" s="23" t="s">
        <v>949</v>
      </c>
      <c r="F1814" s="23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22.5" customHeight="1">
      <c r="A1815" s="23" t="s">
        <v>2719</v>
      </c>
      <c r="B1815" s="23" t="s">
        <v>853</v>
      </c>
      <c r="C1815" s="23" t="s">
        <v>2702</v>
      </c>
      <c r="D1815" s="23" t="s">
        <v>948</v>
      </c>
      <c r="E1815" s="23" t="s">
        <v>949</v>
      </c>
      <c r="F1815" s="23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22.5" customHeight="1">
      <c r="A1816" s="23" t="s">
        <v>2720</v>
      </c>
      <c r="B1816" s="23" t="s">
        <v>855</v>
      </c>
      <c r="C1816" s="23" t="s">
        <v>2702</v>
      </c>
      <c r="D1816" s="23" t="s">
        <v>948</v>
      </c>
      <c r="E1816" s="23" t="s">
        <v>949</v>
      </c>
      <c r="F1816" s="23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22.5" customHeight="1">
      <c r="A1817" s="23" t="s">
        <v>2721</v>
      </c>
      <c r="B1817" s="23" t="s">
        <v>857</v>
      </c>
      <c r="C1817" s="23" t="s">
        <v>2702</v>
      </c>
      <c r="D1817" s="23" t="s">
        <v>948</v>
      </c>
      <c r="E1817" s="23" t="s">
        <v>949</v>
      </c>
      <c r="F1817" s="23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22.5" customHeight="1">
      <c r="A1818" s="23" t="s">
        <v>2722</v>
      </c>
      <c r="B1818" s="23" t="s">
        <v>860</v>
      </c>
      <c r="C1818" s="23" t="s">
        <v>2702</v>
      </c>
      <c r="D1818" s="23" t="s">
        <v>948</v>
      </c>
      <c r="E1818" s="23" t="s">
        <v>949</v>
      </c>
      <c r="F1818" s="23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22.5" customHeight="1">
      <c r="A1819" s="23" t="s">
        <v>2723</v>
      </c>
      <c r="B1819" s="23" t="s">
        <v>862</v>
      </c>
      <c r="C1819" s="23" t="s">
        <v>2702</v>
      </c>
      <c r="D1819" s="23" t="s">
        <v>948</v>
      </c>
      <c r="E1819" s="23" t="s">
        <v>949</v>
      </c>
      <c r="F1819" s="23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22.5" customHeight="1">
      <c r="A1820" s="23" t="s">
        <v>2724</v>
      </c>
      <c r="B1820" s="23" t="s">
        <v>865</v>
      </c>
      <c r="C1820" s="23" t="s">
        <v>2702</v>
      </c>
      <c r="D1820" s="23" t="s">
        <v>948</v>
      </c>
      <c r="E1820" s="23" t="s">
        <v>949</v>
      </c>
      <c r="F1820" s="23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22.5" customHeight="1">
      <c r="A1821" s="23" t="s">
        <v>2725</v>
      </c>
      <c r="B1821" s="23" t="s">
        <v>867</v>
      </c>
      <c r="C1821" s="23" t="s">
        <v>2702</v>
      </c>
      <c r="D1821" s="23" t="s">
        <v>948</v>
      </c>
      <c r="E1821" s="23" t="s">
        <v>949</v>
      </c>
      <c r="F1821" s="23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22.5" customHeight="1">
      <c r="A1822" s="23" t="s">
        <v>2726</v>
      </c>
      <c r="B1822" s="23" t="s">
        <v>869</v>
      </c>
      <c r="C1822" s="23" t="s">
        <v>2702</v>
      </c>
      <c r="D1822" s="23" t="s">
        <v>948</v>
      </c>
      <c r="E1822" s="23" t="s">
        <v>949</v>
      </c>
      <c r="F1822" s="23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22.5" customHeight="1">
      <c r="A1823" s="23" t="s">
        <v>2727</v>
      </c>
      <c r="B1823" s="23" t="s">
        <v>871</v>
      </c>
      <c r="C1823" s="23" t="s">
        <v>2702</v>
      </c>
      <c r="D1823" s="23" t="s">
        <v>948</v>
      </c>
      <c r="E1823" s="23" t="s">
        <v>949</v>
      </c>
      <c r="F1823" s="23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22.5" customHeight="1">
      <c r="A1824" s="23" t="s">
        <v>2728</v>
      </c>
      <c r="B1824" s="23" t="s">
        <v>876</v>
      </c>
      <c r="C1824" s="23" t="s">
        <v>2702</v>
      </c>
      <c r="D1824" s="23" t="s">
        <v>948</v>
      </c>
      <c r="E1824" s="23" t="s">
        <v>949</v>
      </c>
      <c r="F1824" s="23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22.5" customHeight="1">
      <c r="A1825" s="23" t="s">
        <v>2729</v>
      </c>
      <c r="B1825" s="23" t="s">
        <v>879</v>
      </c>
      <c r="C1825" s="23" t="s">
        <v>2702</v>
      </c>
      <c r="D1825" s="23" t="s">
        <v>948</v>
      </c>
      <c r="E1825" s="23" t="s">
        <v>949</v>
      </c>
      <c r="F1825" s="23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22.5" customHeight="1">
      <c r="A1826" s="23" t="s">
        <v>2730</v>
      </c>
      <c r="B1826" s="23" t="s">
        <v>881</v>
      </c>
      <c r="C1826" s="23" t="s">
        <v>2702</v>
      </c>
      <c r="D1826" s="23" t="s">
        <v>948</v>
      </c>
      <c r="E1826" s="23" t="s">
        <v>949</v>
      </c>
      <c r="F1826" s="23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22.5" customHeight="1">
      <c r="A1827" s="23" t="s">
        <v>2731</v>
      </c>
      <c r="B1827" s="23" t="s">
        <v>883</v>
      </c>
      <c r="C1827" s="23" t="s">
        <v>2702</v>
      </c>
      <c r="D1827" s="23" t="s">
        <v>948</v>
      </c>
      <c r="E1827" s="23" t="s">
        <v>949</v>
      </c>
      <c r="F1827" s="23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22.5" customHeight="1">
      <c r="A1828" s="23" t="s">
        <v>2732</v>
      </c>
      <c r="B1828" s="23" t="s">
        <v>885</v>
      </c>
      <c r="C1828" s="23" t="s">
        <v>2702</v>
      </c>
      <c r="D1828" s="23" t="s">
        <v>948</v>
      </c>
      <c r="E1828" s="23" t="s">
        <v>949</v>
      </c>
      <c r="F1828" s="23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22.5" customHeight="1">
      <c r="A1829" s="23" t="s">
        <v>2733</v>
      </c>
      <c r="B1829" s="23" t="s">
        <v>887</v>
      </c>
      <c r="C1829" s="23" t="s">
        <v>2702</v>
      </c>
      <c r="D1829" s="23" t="s">
        <v>948</v>
      </c>
      <c r="E1829" s="23" t="s">
        <v>949</v>
      </c>
      <c r="F1829" s="23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22.5" customHeight="1">
      <c r="A1830" s="23" t="s">
        <v>2734</v>
      </c>
      <c r="B1830" s="23" t="s">
        <v>892</v>
      </c>
      <c r="C1830" s="23" t="s">
        <v>2702</v>
      </c>
      <c r="D1830" s="23" t="s">
        <v>948</v>
      </c>
      <c r="E1830" s="23" t="s">
        <v>971</v>
      </c>
      <c r="F1830" s="23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22.5" customHeight="1">
      <c r="A1831" s="23" t="s">
        <v>2735</v>
      </c>
      <c r="B1831" s="23" t="s">
        <v>935</v>
      </c>
      <c r="C1831" s="23" t="s">
        <v>2702</v>
      </c>
      <c r="D1831" s="23" t="s">
        <v>948</v>
      </c>
      <c r="E1831" s="23" t="s">
        <v>949</v>
      </c>
      <c r="F1831" s="23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22.5" customHeight="1">
      <c r="A1832" s="23" t="s">
        <v>2736</v>
      </c>
      <c r="B1832" s="23" t="s">
        <v>895</v>
      </c>
      <c r="C1832" s="23" t="s">
        <v>2702</v>
      </c>
      <c r="D1832" s="23" t="s">
        <v>948</v>
      </c>
      <c r="E1832" s="23" t="s">
        <v>949</v>
      </c>
      <c r="F1832" s="23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22.5" customHeight="1">
      <c r="A1833" s="23" t="s">
        <v>2737</v>
      </c>
      <c r="B1833" s="23" t="s">
        <v>897</v>
      </c>
      <c r="C1833" s="23" t="s">
        <v>2702</v>
      </c>
      <c r="D1833" s="23" t="s">
        <v>948</v>
      </c>
      <c r="E1833" s="23" t="s">
        <v>949</v>
      </c>
      <c r="F1833" s="23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22.5" customHeight="1">
      <c r="A1834" s="23" t="s">
        <v>2738</v>
      </c>
      <c r="B1834" s="23" t="s">
        <v>889</v>
      </c>
      <c r="C1834" s="23" t="s">
        <v>2702</v>
      </c>
      <c r="D1834" s="23" t="s">
        <v>948</v>
      </c>
      <c r="E1834" s="23" t="s">
        <v>949</v>
      </c>
      <c r="F1834" s="23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22.5" customHeight="1">
      <c r="A1835" s="23" t="s">
        <v>2739</v>
      </c>
      <c r="B1835" s="23" t="s">
        <v>899</v>
      </c>
      <c r="C1835" s="23" t="s">
        <v>2702</v>
      </c>
      <c r="D1835" s="23" t="s">
        <v>948</v>
      </c>
      <c r="E1835" s="23" t="s">
        <v>949</v>
      </c>
      <c r="F1835" s="23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22.5" customHeight="1">
      <c r="A1836" s="23" t="s">
        <v>2740</v>
      </c>
      <c r="B1836" s="23" t="s">
        <v>901</v>
      </c>
      <c r="C1836" s="23" t="s">
        <v>2702</v>
      </c>
      <c r="D1836" s="23" t="s">
        <v>948</v>
      </c>
      <c r="E1836" s="23" t="s">
        <v>949</v>
      </c>
      <c r="F1836" s="23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22.5" customHeight="1">
      <c r="A1837" s="23" t="s">
        <v>2741</v>
      </c>
      <c r="B1837" s="23" t="s">
        <v>904</v>
      </c>
      <c r="C1837" s="23" t="s">
        <v>2702</v>
      </c>
      <c r="D1837" s="23" t="s">
        <v>948</v>
      </c>
      <c r="E1837" s="23" t="s">
        <v>949</v>
      </c>
      <c r="F1837" s="23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22.5" customHeight="1">
      <c r="A1838" s="23" t="s">
        <v>2742</v>
      </c>
      <c r="B1838" s="23" t="s">
        <v>906</v>
      </c>
      <c r="C1838" s="23" t="s">
        <v>2702</v>
      </c>
      <c r="D1838" s="23" t="s">
        <v>948</v>
      </c>
      <c r="E1838" s="23" t="s">
        <v>949</v>
      </c>
      <c r="F1838" s="23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22.5" customHeight="1">
      <c r="A1839" s="23" t="s">
        <v>2743</v>
      </c>
      <c r="B1839" s="23" t="s">
        <v>908</v>
      </c>
      <c r="C1839" s="23" t="s">
        <v>2702</v>
      </c>
      <c r="D1839" s="23" t="s">
        <v>948</v>
      </c>
      <c r="E1839" s="23" t="s">
        <v>949</v>
      </c>
      <c r="F1839" s="23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22.5" customHeight="1">
      <c r="A1840" s="23" t="s">
        <v>2744</v>
      </c>
      <c r="B1840" s="23" t="s">
        <v>936</v>
      </c>
      <c r="C1840" s="23" t="s">
        <v>2702</v>
      </c>
      <c r="D1840" s="23" t="s">
        <v>948</v>
      </c>
      <c r="E1840" s="23" t="s">
        <v>949</v>
      </c>
      <c r="F1840" s="23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22.5" customHeight="1">
      <c r="A1841" s="23" t="s">
        <v>2745</v>
      </c>
      <c r="B1841" s="23" t="s">
        <v>910</v>
      </c>
      <c r="C1841" s="23" t="s">
        <v>2702</v>
      </c>
      <c r="D1841" s="23" t="s">
        <v>948</v>
      </c>
      <c r="E1841" s="23" t="s">
        <v>949</v>
      </c>
      <c r="F1841" s="23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22.5" customHeight="1">
      <c r="A1842" s="23" t="s">
        <v>2746</v>
      </c>
      <c r="B1842" s="23" t="s">
        <v>937</v>
      </c>
      <c r="C1842" s="23" t="s">
        <v>2702</v>
      </c>
      <c r="D1842" s="23" t="s">
        <v>948</v>
      </c>
      <c r="E1842" s="23" t="s">
        <v>949</v>
      </c>
      <c r="F1842" s="23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22.5" customHeight="1">
      <c r="A1843" s="23" t="s">
        <v>2747</v>
      </c>
      <c r="B1843" s="23" t="s">
        <v>912</v>
      </c>
      <c r="C1843" s="23" t="s">
        <v>2702</v>
      </c>
      <c r="D1843" s="23" t="s">
        <v>948</v>
      </c>
      <c r="E1843" s="23" t="s">
        <v>949</v>
      </c>
      <c r="F1843" s="23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22.5" customHeight="1">
      <c r="A1844" s="23" t="s">
        <v>2748</v>
      </c>
      <c r="B1844" s="23" t="s">
        <v>938</v>
      </c>
      <c r="C1844" s="23" t="s">
        <v>2702</v>
      </c>
      <c r="D1844" s="23" t="s">
        <v>948</v>
      </c>
      <c r="E1844" s="23" t="s">
        <v>949</v>
      </c>
      <c r="F1844" s="23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22.5" customHeight="1">
      <c r="A1845" s="23" t="s">
        <v>2749</v>
      </c>
      <c r="B1845" s="23" t="s">
        <v>914</v>
      </c>
      <c r="C1845" s="23" t="s">
        <v>2702</v>
      </c>
      <c r="D1845" s="23" t="s">
        <v>948</v>
      </c>
      <c r="E1845" s="23" t="s">
        <v>949</v>
      </c>
      <c r="F1845" s="23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22.5" customHeight="1">
      <c r="A1846" s="23" t="s">
        <v>2750</v>
      </c>
      <c r="B1846" s="23" t="s">
        <v>939</v>
      </c>
      <c r="C1846" s="23" t="s">
        <v>2702</v>
      </c>
      <c r="D1846" s="23" t="s">
        <v>948</v>
      </c>
      <c r="E1846" s="23" t="s">
        <v>949</v>
      </c>
      <c r="F1846" s="23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22.5" customHeight="1">
      <c r="A1847" s="23" t="s">
        <v>2751</v>
      </c>
      <c r="B1847" s="23" t="s">
        <v>917</v>
      </c>
      <c r="C1847" s="23" t="s">
        <v>2702</v>
      </c>
      <c r="D1847" s="23" t="s">
        <v>948</v>
      </c>
      <c r="E1847" s="23" t="s">
        <v>949</v>
      </c>
      <c r="F1847" s="23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22.5" customHeight="1">
      <c r="A1848" s="23" t="s">
        <v>2752</v>
      </c>
      <c r="B1848" s="23" t="s">
        <v>873</v>
      </c>
      <c r="C1848" s="23" t="s">
        <v>2702</v>
      </c>
      <c r="D1848" s="23" t="s">
        <v>948</v>
      </c>
      <c r="E1848" s="23" t="s">
        <v>949</v>
      </c>
      <c r="F1848" s="23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22.5" customHeight="1">
      <c r="A1849" s="23" t="s">
        <v>2753</v>
      </c>
      <c r="B1849" s="23" t="s">
        <v>920</v>
      </c>
      <c r="C1849" s="23" t="s">
        <v>2702</v>
      </c>
      <c r="D1849" s="23" t="s">
        <v>948</v>
      </c>
      <c r="E1849" s="23" t="s">
        <v>949</v>
      </c>
      <c r="F1849" s="23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22.5" customHeight="1">
      <c r="A1850" s="23" t="s">
        <v>2754</v>
      </c>
      <c r="B1850" s="23" t="s">
        <v>923</v>
      </c>
      <c r="C1850" s="23" t="s">
        <v>2702</v>
      </c>
      <c r="D1850" s="23" t="s">
        <v>948</v>
      </c>
      <c r="E1850" s="23" t="s">
        <v>949</v>
      </c>
      <c r="F1850" s="23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22.5" customHeight="1">
      <c r="A1851" s="23" t="s">
        <v>2755</v>
      </c>
      <c r="B1851" s="23" t="s">
        <v>926</v>
      </c>
      <c r="C1851" s="23" t="s">
        <v>2702</v>
      </c>
      <c r="D1851" s="23" t="s">
        <v>948</v>
      </c>
      <c r="E1851" s="23" t="s">
        <v>949</v>
      </c>
      <c r="F1851" s="23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22.5" customHeight="1">
      <c r="A1852" s="23" t="s">
        <v>2756</v>
      </c>
      <c r="B1852" s="23" t="s">
        <v>929</v>
      </c>
      <c r="C1852" s="23" t="s">
        <v>2702</v>
      </c>
      <c r="D1852" s="23" t="s">
        <v>948</v>
      </c>
      <c r="E1852" s="23" t="s">
        <v>949</v>
      </c>
      <c r="F1852" s="23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22.5" customHeight="1">
      <c r="A1853" s="23" t="s">
        <v>2757</v>
      </c>
      <c r="B1853" s="23" t="s">
        <v>932</v>
      </c>
      <c r="C1853" s="23" t="s">
        <v>2702</v>
      </c>
      <c r="D1853" s="23" t="s">
        <v>948</v>
      </c>
      <c r="E1853" s="23" t="s">
        <v>949</v>
      </c>
      <c r="F1853" s="23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22.5" customHeight="1">
      <c r="A1854" s="23" t="s">
        <v>2758</v>
      </c>
      <c r="B1854" s="23" t="s">
        <v>934</v>
      </c>
      <c r="C1854" s="23" t="s">
        <v>2702</v>
      </c>
      <c r="D1854" s="23" t="s">
        <v>948</v>
      </c>
      <c r="E1854" s="23" t="s">
        <v>949</v>
      </c>
      <c r="F1854" s="23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22.5" customHeight="1">
      <c r="A1855" s="23" t="s">
        <v>2759</v>
      </c>
      <c r="B1855" s="23" t="s">
        <v>942</v>
      </c>
      <c r="C1855" s="23" t="s">
        <v>2702</v>
      </c>
      <c r="D1855" s="23" t="s">
        <v>948</v>
      </c>
      <c r="E1855" s="23" t="s">
        <v>949</v>
      </c>
      <c r="F1855" s="23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22.5" customHeight="1">
      <c r="A1856" s="23" t="s">
        <v>2760</v>
      </c>
      <c r="B1856" s="23" t="s">
        <v>116</v>
      </c>
      <c r="C1856" s="23" t="s">
        <v>2761</v>
      </c>
      <c r="D1856" s="23" t="s">
        <v>2762</v>
      </c>
      <c r="E1856" s="23" t="s">
        <v>971</v>
      </c>
      <c r="F1856" s="23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22.5" customHeight="1">
      <c r="A1857" s="23" t="s">
        <v>2763</v>
      </c>
      <c r="B1857" s="23" t="s">
        <v>123</v>
      </c>
      <c r="C1857" s="23" t="s">
        <v>2761</v>
      </c>
      <c r="D1857" s="23" t="s">
        <v>2762</v>
      </c>
      <c r="E1857" s="23" t="s">
        <v>971</v>
      </c>
      <c r="F1857" s="23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22.5" customHeight="1">
      <c r="A1858" s="23" t="s">
        <v>2764</v>
      </c>
      <c r="B1858" s="23" t="s">
        <v>131</v>
      </c>
      <c r="C1858" s="23" t="s">
        <v>2761</v>
      </c>
      <c r="D1858" s="23" t="s">
        <v>2762</v>
      </c>
      <c r="E1858" s="23" t="s">
        <v>971</v>
      </c>
      <c r="F1858" s="23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22.5" customHeight="1">
      <c r="A1859" s="23" t="s">
        <v>2765</v>
      </c>
      <c r="B1859" s="23" t="s">
        <v>137</v>
      </c>
      <c r="C1859" s="23" t="s">
        <v>2761</v>
      </c>
      <c r="D1859" s="23" t="s">
        <v>2762</v>
      </c>
      <c r="E1859" s="23" t="s">
        <v>971</v>
      </c>
      <c r="F1859" s="23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22.5" customHeight="1">
      <c r="A1860" s="23" t="s">
        <v>2766</v>
      </c>
      <c r="B1860" s="23" t="s">
        <v>144</v>
      </c>
      <c r="C1860" s="23" t="s">
        <v>2761</v>
      </c>
      <c r="D1860" s="23" t="s">
        <v>2762</v>
      </c>
      <c r="E1860" s="23" t="s">
        <v>971</v>
      </c>
      <c r="F1860" s="23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22.5" customHeight="1">
      <c r="A1861" s="23" t="s">
        <v>2767</v>
      </c>
      <c r="B1861" s="23" t="s">
        <v>151</v>
      </c>
      <c r="C1861" s="23" t="s">
        <v>2761</v>
      </c>
      <c r="D1861" s="23" t="s">
        <v>2762</v>
      </c>
      <c r="E1861" s="23" t="s">
        <v>971</v>
      </c>
      <c r="F1861" s="23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22.5" customHeight="1">
      <c r="A1862" s="23" t="s">
        <v>2768</v>
      </c>
      <c r="B1862" s="23" t="s">
        <v>734</v>
      </c>
      <c r="C1862" s="23" t="s">
        <v>2761</v>
      </c>
      <c r="D1862" s="23" t="s">
        <v>2762</v>
      </c>
      <c r="E1862" s="23" t="s">
        <v>971</v>
      </c>
      <c r="F1862" s="23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22.5" customHeight="1">
      <c r="A1863" s="23" t="s">
        <v>2769</v>
      </c>
      <c r="B1863" s="23" t="s">
        <v>831</v>
      </c>
      <c r="C1863" s="23" t="s">
        <v>2761</v>
      </c>
      <c r="D1863" s="23" t="s">
        <v>2762</v>
      </c>
      <c r="E1863" s="23" t="s">
        <v>949</v>
      </c>
      <c r="F1863" s="23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22.5" customHeight="1">
      <c r="A1864" s="23" t="s">
        <v>2770</v>
      </c>
      <c r="B1864" s="23" t="s">
        <v>833</v>
      </c>
      <c r="C1864" s="23" t="s">
        <v>2761</v>
      </c>
      <c r="D1864" s="23" t="s">
        <v>2762</v>
      </c>
      <c r="E1864" s="23" t="s">
        <v>971</v>
      </c>
      <c r="F1864" s="23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22.5" customHeight="1">
      <c r="A1865" s="23" t="s">
        <v>2771</v>
      </c>
      <c r="B1865" s="23" t="s">
        <v>811</v>
      </c>
      <c r="C1865" s="23" t="s">
        <v>2761</v>
      </c>
      <c r="D1865" s="23" t="s">
        <v>2762</v>
      </c>
      <c r="E1865" s="23" t="s">
        <v>949</v>
      </c>
      <c r="F1865" s="23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22.5" customHeight="1">
      <c r="A1866" s="23" t="s">
        <v>2772</v>
      </c>
      <c r="B1866" s="23" t="s">
        <v>838</v>
      </c>
      <c r="C1866" s="23" t="s">
        <v>2761</v>
      </c>
      <c r="D1866" s="23" t="s">
        <v>2762</v>
      </c>
      <c r="E1866" s="23" t="s">
        <v>971</v>
      </c>
      <c r="F1866" s="23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22.5" customHeight="1">
      <c r="A1867" s="23" t="s">
        <v>2773</v>
      </c>
      <c r="B1867" s="23" t="s">
        <v>840</v>
      </c>
      <c r="C1867" s="23" t="s">
        <v>2761</v>
      </c>
      <c r="D1867" s="23" t="s">
        <v>2762</v>
      </c>
      <c r="E1867" s="23" t="s">
        <v>971</v>
      </c>
      <c r="F1867" s="23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22.5" customHeight="1">
      <c r="A1868" s="23" t="s">
        <v>2774</v>
      </c>
      <c r="B1868" s="23" t="s">
        <v>842</v>
      </c>
      <c r="C1868" s="23" t="s">
        <v>2761</v>
      </c>
      <c r="D1868" s="23" t="s">
        <v>2762</v>
      </c>
      <c r="E1868" s="23" t="s">
        <v>971</v>
      </c>
      <c r="F1868" s="23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22.5" customHeight="1">
      <c r="A1869" s="23" t="s">
        <v>2775</v>
      </c>
      <c r="B1869" s="23" t="s">
        <v>844</v>
      </c>
      <c r="C1869" s="23" t="s">
        <v>2761</v>
      </c>
      <c r="D1869" s="23" t="s">
        <v>2762</v>
      </c>
      <c r="E1869" s="23" t="s">
        <v>971</v>
      </c>
      <c r="F1869" s="23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22.5" customHeight="1">
      <c r="A1870" s="23" t="s">
        <v>2776</v>
      </c>
      <c r="B1870" s="23" t="s">
        <v>846</v>
      </c>
      <c r="C1870" s="23" t="s">
        <v>2761</v>
      </c>
      <c r="D1870" s="23" t="s">
        <v>2762</v>
      </c>
      <c r="E1870" s="23" t="s">
        <v>971</v>
      </c>
      <c r="F1870" s="23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22.5" customHeight="1">
      <c r="A1871" s="23" t="s">
        <v>2777</v>
      </c>
      <c r="B1871" s="23" t="s">
        <v>848</v>
      </c>
      <c r="C1871" s="23" t="s">
        <v>2761</v>
      </c>
      <c r="D1871" s="23" t="s">
        <v>2762</v>
      </c>
      <c r="E1871" s="23" t="s">
        <v>971</v>
      </c>
      <c r="F1871" s="23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22.5" customHeight="1">
      <c r="A1872" s="23" t="s">
        <v>2778</v>
      </c>
      <c r="B1872" s="23" t="s">
        <v>850</v>
      </c>
      <c r="C1872" s="23" t="s">
        <v>2761</v>
      </c>
      <c r="D1872" s="23" t="s">
        <v>2762</v>
      </c>
      <c r="E1872" s="23" t="s">
        <v>971</v>
      </c>
      <c r="F1872" s="23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22.5" customHeight="1">
      <c r="A1873" s="23" t="s">
        <v>2779</v>
      </c>
      <c r="B1873" s="23" t="s">
        <v>853</v>
      </c>
      <c r="C1873" s="23" t="s">
        <v>2761</v>
      </c>
      <c r="D1873" s="23" t="s">
        <v>2762</v>
      </c>
      <c r="E1873" s="23" t="s">
        <v>971</v>
      </c>
      <c r="F1873" s="23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22.5" customHeight="1">
      <c r="A1874" s="23" t="s">
        <v>2780</v>
      </c>
      <c r="B1874" s="23" t="s">
        <v>855</v>
      </c>
      <c r="C1874" s="23" t="s">
        <v>2761</v>
      </c>
      <c r="D1874" s="23" t="s">
        <v>2762</v>
      </c>
      <c r="E1874" s="23" t="s">
        <v>971</v>
      </c>
      <c r="F1874" s="23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22.5" customHeight="1">
      <c r="A1875" s="23" t="s">
        <v>2781</v>
      </c>
      <c r="B1875" s="23" t="s">
        <v>857</v>
      </c>
      <c r="C1875" s="23" t="s">
        <v>2761</v>
      </c>
      <c r="D1875" s="23" t="s">
        <v>2762</v>
      </c>
      <c r="E1875" s="23" t="s">
        <v>971</v>
      </c>
      <c r="F1875" s="23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22.5" customHeight="1">
      <c r="A1876" s="23" t="s">
        <v>2782</v>
      </c>
      <c r="B1876" s="23" t="s">
        <v>860</v>
      </c>
      <c r="C1876" s="23" t="s">
        <v>2761</v>
      </c>
      <c r="D1876" s="23" t="s">
        <v>2762</v>
      </c>
      <c r="E1876" s="23" t="s">
        <v>971</v>
      </c>
      <c r="F1876" s="23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22.5" customHeight="1">
      <c r="A1877" s="23" t="s">
        <v>2783</v>
      </c>
      <c r="B1877" s="23" t="s">
        <v>862</v>
      </c>
      <c r="C1877" s="23" t="s">
        <v>2761</v>
      </c>
      <c r="D1877" s="23" t="s">
        <v>2762</v>
      </c>
      <c r="E1877" s="23" t="s">
        <v>971</v>
      </c>
      <c r="F1877" s="23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22.5" customHeight="1">
      <c r="A1878" s="23" t="s">
        <v>2784</v>
      </c>
      <c r="B1878" s="23" t="s">
        <v>865</v>
      </c>
      <c r="C1878" s="23" t="s">
        <v>2761</v>
      </c>
      <c r="D1878" s="23" t="s">
        <v>2762</v>
      </c>
      <c r="E1878" s="23" t="s">
        <v>971</v>
      </c>
      <c r="F1878" s="23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22.5" customHeight="1">
      <c r="A1879" s="23" t="s">
        <v>2785</v>
      </c>
      <c r="B1879" s="23" t="s">
        <v>867</v>
      </c>
      <c r="C1879" s="23" t="s">
        <v>2761</v>
      </c>
      <c r="D1879" s="23" t="s">
        <v>2762</v>
      </c>
      <c r="E1879" s="23" t="s">
        <v>949</v>
      </c>
      <c r="F1879" s="23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22.5" customHeight="1">
      <c r="A1880" s="23" t="s">
        <v>2786</v>
      </c>
      <c r="B1880" s="23" t="s">
        <v>869</v>
      </c>
      <c r="C1880" s="23" t="s">
        <v>2761</v>
      </c>
      <c r="D1880" s="23" t="s">
        <v>2762</v>
      </c>
      <c r="E1880" s="23" t="s">
        <v>971</v>
      </c>
      <c r="F1880" s="23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22.5" customHeight="1">
      <c r="A1881" s="23" t="s">
        <v>2787</v>
      </c>
      <c r="B1881" s="23" t="s">
        <v>871</v>
      </c>
      <c r="C1881" s="23" t="s">
        <v>2761</v>
      </c>
      <c r="D1881" s="23" t="s">
        <v>2762</v>
      </c>
      <c r="E1881" s="23" t="s">
        <v>971</v>
      </c>
      <c r="F1881" s="23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22.5" customHeight="1">
      <c r="A1882" s="23" t="s">
        <v>2788</v>
      </c>
      <c r="B1882" s="23" t="s">
        <v>876</v>
      </c>
      <c r="C1882" s="23" t="s">
        <v>2761</v>
      </c>
      <c r="D1882" s="23" t="s">
        <v>2762</v>
      </c>
      <c r="E1882" s="23" t="s">
        <v>971</v>
      </c>
      <c r="F1882" s="23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22.5" customHeight="1">
      <c r="A1883" s="23" t="s">
        <v>2789</v>
      </c>
      <c r="B1883" s="23" t="s">
        <v>879</v>
      </c>
      <c r="C1883" s="23" t="s">
        <v>2761</v>
      </c>
      <c r="D1883" s="23" t="s">
        <v>2762</v>
      </c>
      <c r="E1883" s="23" t="s">
        <v>949</v>
      </c>
      <c r="F1883" s="23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22.5" customHeight="1">
      <c r="A1884" s="23" t="s">
        <v>2790</v>
      </c>
      <c r="B1884" s="23" t="s">
        <v>881</v>
      </c>
      <c r="C1884" s="23" t="s">
        <v>2761</v>
      </c>
      <c r="D1884" s="23" t="s">
        <v>2762</v>
      </c>
      <c r="E1884" s="23" t="s">
        <v>971</v>
      </c>
      <c r="F1884" s="23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22.5" customHeight="1">
      <c r="A1885" s="23" t="s">
        <v>2791</v>
      </c>
      <c r="B1885" s="23" t="s">
        <v>883</v>
      </c>
      <c r="C1885" s="23" t="s">
        <v>2761</v>
      </c>
      <c r="D1885" s="23" t="s">
        <v>2762</v>
      </c>
      <c r="E1885" s="23" t="s">
        <v>971</v>
      </c>
      <c r="F1885" s="23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22.5" customHeight="1">
      <c r="A1886" s="23" t="s">
        <v>2792</v>
      </c>
      <c r="B1886" s="23" t="s">
        <v>885</v>
      </c>
      <c r="C1886" s="23" t="s">
        <v>2761</v>
      </c>
      <c r="D1886" s="23" t="s">
        <v>2762</v>
      </c>
      <c r="E1886" s="23" t="s">
        <v>971</v>
      </c>
      <c r="F1886" s="23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22.5" customHeight="1">
      <c r="A1887" s="23" t="s">
        <v>2793</v>
      </c>
      <c r="B1887" s="23" t="s">
        <v>887</v>
      </c>
      <c r="C1887" s="23" t="s">
        <v>2761</v>
      </c>
      <c r="D1887" s="23" t="s">
        <v>2762</v>
      </c>
      <c r="E1887" s="23" t="s">
        <v>949</v>
      </c>
      <c r="F1887" s="23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22.5" customHeight="1">
      <c r="A1888" s="23" t="s">
        <v>2794</v>
      </c>
      <c r="B1888" s="23" t="s">
        <v>892</v>
      </c>
      <c r="C1888" s="23" t="s">
        <v>2761</v>
      </c>
      <c r="D1888" s="23" t="s">
        <v>2762</v>
      </c>
      <c r="E1888" s="23" t="s">
        <v>971</v>
      </c>
      <c r="F1888" s="23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22.5" customHeight="1">
      <c r="A1889" s="23" t="s">
        <v>2795</v>
      </c>
      <c r="B1889" s="23" t="s">
        <v>935</v>
      </c>
      <c r="C1889" s="23" t="s">
        <v>2761</v>
      </c>
      <c r="D1889" s="23" t="s">
        <v>2762</v>
      </c>
      <c r="E1889" s="23" t="s">
        <v>949</v>
      </c>
      <c r="F1889" s="23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22.5" customHeight="1">
      <c r="A1890" s="23" t="s">
        <v>2796</v>
      </c>
      <c r="B1890" s="23" t="s">
        <v>895</v>
      </c>
      <c r="C1890" s="23" t="s">
        <v>2761</v>
      </c>
      <c r="D1890" s="23" t="s">
        <v>2762</v>
      </c>
      <c r="E1890" s="23" t="s">
        <v>971</v>
      </c>
      <c r="F1890" s="23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22.5" customHeight="1">
      <c r="A1891" s="23" t="s">
        <v>2797</v>
      </c>
      <c r="B1891" s="23" t="s">
        <v>897</v>
      </c>
      <c r="C1891" s="23" t="s">
        <v>2761</v>
      </c>
      <c r="D1891" s="23" t="s">
        <v>2762</v>
      </c>
      <c r="E1891" s="23" t="s">
        <v>971</v>
      </c>
      <c r="F1891" s="23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22.5" customHeight="1">
      <c r="A1892" s="23" t="s">
        <v>2798</v>
      </c>
      <c r="B1892" s="23" t="s">
        <v>889</v>
      </c>
      <c r="C1892" s="23" t="s">
        <v>2761</v>
      </c>
      <c r="D1892" s="23" t="s">
        <v>2762</v>
      </c>
      <c r="E1892" s="23" t="s">
        <v>949</v>
      </c>
      <c r="F1892" s="23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22.5" customHeight="1">
      <c r="A1893" s="23" t="s">
        <v>2799</v>
      </c>
      <c r="B1893" s="23" t="s">
        <v>899</v>
      </c>
      <c r="C1893" s="23" t="s">
        <v>2761</v>
      </c>
      <c r="D1893" s="23" t="s">
        <v>2762</v>
      </c>
      <c r="E1893" s="23" t="s">
        <v>971</v>
      </c>
      <c r="F1893" s="23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22.5" customHeight="1">
      <c r="A1894" s="23" t="s">
        <v>2800</v>
      </c>
      <c r="B1894" s="23" t="s">
        <v>901</v>
      </c>
      <c r="C1894" s="23" t="s">
        <v>2761</v>
      </c>
      <c r="D1894" s="23" t="s">
        <v>2762</v>
      </c>
      <c r="E1894" s="23" t="s">
        <v>971</v>
      </c>
      <c r="F1894" s="23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22.5" customHeight="1">
      <c r="A1895" s="23" t="s">
        <v>2801</v>
      </c>
      <c r="B1895" s="23" t="s">
        <v>904</v>
      </c>
      <c r="C1895" s="23" t="s">
        <v>2761</v>
      </c>
      <c r="D1895" s="23" t="s">
        <v>2762</v>
      </c>
      <c r="E1895" s="23" t="s">
        <v>971</v>
      </c>
      <c r="F1895" s="23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22.5" customHeight="1">
      <c r="A1896" s="23" t="s">
        <v>2802</v>
      </c>
      <c r="B1896" s="23" t="s">
        <v>906</v>
      </c>
      <c r="C1896" s="23" t="s">
        <v>2761</v>
      </c>
      <c r="D1896" s="23" t="s">
        <v>2762</v>
      </c>
      <c r="E1896" s="23" t="s">
        <v>971</v>
      </c>
      <c r="F1896" s="23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22.5" customHeight="1">
      <c r="A1897" s="23" t="s">
        <v>2803</v>
      </c>
      <c r="B1897" s="23" t="s">
        <v>908</v>
      </c>
      <c r="C1897" s="23" t="s">
        <v>2761</v>
      </c>
      <c r="D1897" s="23" t="s">
        <v>2762</v>
      </c>
      <c r="E1897" s="23" t="s">
        <v>971</v>
      </c>
      <c r="F1897" s="23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22.5" customHeight="1">
      <c r="A1898" s="23" t="s">
        <v>2804</v>
      </c>
      <c r="B1898" s="23" t="s">
        <v>936</v>
      </c>
      <c r="C1898" s="23" t="s">
        <v>2761</v>
      </c>
      <c r="D1898" s="23" t="s">
        <v>2762</v>
      </c>
      <c r="E1898" s="23" t="s">
        <v>971</v>
      </c>
      <c r="F1898" s="23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22.5" customHeight="1">
      <c r="A1899" s="23" t="s">
        <v>2805</v>
      </c>
      <c r="B1899" s="23" t="s">
        <v>910</v>
      </c>
      <c r="C1899" s="23" t="s">
        <v>2761</v>
      </c>
      <c r="D1899" s="23" t="s">
        <v>2762</v>
      </c>
      <c r="E1899" s="23" t="s">
        <v>971</v>
      </c>
      <c r="F1899" s="23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22.5" customHeight="1">
      <c r="A1900" s="23" t="s">
        <v>2806</v>
      </c>
      <c r="B1900" s="23" t="s">
        <v>937</v>
      </c>
      <c r="C1900" s="23" t="s">
        <v>2761</v>
      </c>
      <c r="D1900" s="23" t="s">
        <v>2762</v>
      </c>
      <c r="E1900" s="23" t="s">
        <v>949</v>
      </c>
      <c r="F1900" s="23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22.5" customHeight="1">
      <c r="A1901" s="23" t="s">
        <v>2807</v>
      </c>
      <c r="B1901" s="23" t="s">
        <v>912</v>
      </c>
      <c r="C1901" s="23" t="s">
        <v>2761</v>
      </c>
      <c r="D1901" s="23" t="s">
        <v>2762</v>
      </c>
      <c r="E1901" s="23" t="s">
        <v>971</v>
      </c>
      <c r="F1901" s="23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22.5" customHeight="1">
      <c r="A1902" s="23" t="s">
        <v>2808</v>
      </c>
      <c r="B1902" s="23" t="s">
        <v>938</v>
      </c>
      <c r="C1902" s="23" t="s">
        <v>2761</v>
      </c>
      <c r="D1902" s="23" t="s">
        <v>2762</v>
      </c>
      <c r="E1902" s="23" t="s">
        <v>949</v>
      </c>
      <c r="F1902" s="23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22.5" customHeight="1">
      <c r="A1903" s="23" t="s">
        <v>2809</v>
      </c>
      <c r="B1903" s="23" t="s">
        <v>914</v>
      </c>
      <c r="C1903" s="23" t="s">
        <v>2761</v>
      </c>
      <c r="D1903" s="23" t="s">
        <v>2762</v>
      </c>
      <c r="E1903" s="23" t="s">
        <v>971</v>
      </c>
      <c r="F1903" s="23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22.5" customHeight="1">
      <c r="A1904" s="23" t="s">
        <v>2810</v>
      </c>
      <c r="B1904" s="23" t="s">
        <v>939</v>
      </c>
      <c r="C1904" s="23" t="s">
        <v>2761</v>
      </c>
      <c r="D1904" s="23" t="s">
        <v>2762</v>
      </c>
      <c r="E1904" s="23" t="s">
        <v>971</v>
      </c>
      <c r="F1904" s="23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22.5" customHeight="1">
      <c r="A1905" s="23" t="s">
        <v>2811</v>
      </c>
      <c r="B1905" s="23" t="s">
        <v>917</v>
      </c>
      <c r="C1905" s="23" t="s">
        <v>2761</v>
      </c>
      <c r="D1905" s="23" t="s">
        <v>2762</v>
      </c>
      <c r="E1905" s="23" t="s">
        <v>949</v>
      </c>
      <c r="F1905" s="23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22.5" customHeight="1">
      <c r="A1906" s="23" t="s">
        <v>2812</v>
      </c>
      <c r="B1906" s="23" t="s">
        <v>873</v>
      </c>
      <c r="C1906" s="23" t="s">
        <v>2761</v>
      </c>
      <c r="D1906" s="23" t="s">
        <v>2762</v>
      </c>
      <c r="E1906" s="23" t="s">
        <v>971</v>
      </c>
      <c r="F1906" s="23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22.5" customHeight="1">
      <c r="A1907" s="23" t="s">
        <v>2813</v>
      </c>
      <c r="B1907" s="23" t="s">
        <v>920</v>
      </c>
      <c r="C1907" s="23" t="s">
        <v>2761</v>
      </c>
      <c r="D1907" s="23" t="s">
        <v>2762</v>
      </c>
      <c r="E1907" s="23" t="s">
        <v>949</v>
      </c>
      <c r="F1907" s="23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22.5" customHeight="1">
      <c r="A1908" s="23" t="s">
        <v>2814</v>
      </c>
      <c r="B1908" s="23" t="s">
        <v>923</v>
      </c>
      <c r="C1908" s="23" t="s">
        <v>2761</v>
      </c>
      <c r="D1908" s="23" t="s">
        <v>2762</v>
      </c>
      <c r="E1908" s="23" t="s">
        <v>971</v>
      </c>
      <c r="F1908" s="23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22.5" customHeight="1">
      <c r="A1909" s="23" t="s">
        <v>2815</v>
      </c>
      <c r="B1909" s="23" t="s">
        <v>926</v>
      </c>
      <c r="C1909" s="23" t="s">
        <v>2761</v>
      </c>
      <c r="D1909" s="23" t="s">
        <v>2762</v>
      </c>
      <c r="E1909" s="23" t="s">
        <v>971</v>
      </c>
      <c r="F1909" s="23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22.5" customHeight="1">
      <c r="A1910" s="23" t="s">
        <v>2816</v>
      </c>
      <c r="B1910" s="23" t="s">
        <v>929</v>
      </c>
      <c r="C1910" s="23" t="s">
        <v>2761</v>
      </c>
      <c r="D1910" s="23" t="s">
        <v>2762</v>
      </c>
      <c r="E1910" s="23" t="s">
        <v>971</v>
      </c>
      <c r="F1910" s="23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22.5" customHeight="1">
      <c r="A1911" s="23" t="s">
        <v>2817</v>
      </c>
      <c r="B1911" s="23" t="s">
        <v>932</v>
      </c>
      <c r="C1911" s="23" t="s">
        <v>2761</v>
      </c>
      <c r="D1911" s="23" t="s">
        <v>2762</v>
      </c>
      <c r="E1911" s="23" t="s">
        <v>971</v>
      </c>
      <c r="F1911" s="23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22.5" customHeight="1">
      <c r="A1912" s="23" t="s">
        <v>2818</v>
      </c>
      <c r="B1912" s="23" t="s">
        <v>934</v>
      </c>
      <c r="C1912" s="23" t="s">
        <v>2761</v>
      </c>
      <c r="D1912" s="23" t="s">
        <v>2762</v>
      </c>
      <c r="E1912" s="23" t="s">
        <v>971</v>
      </c>
      <c r="F1912" s="23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22.5" customHeight="1">
      <c r="A1913" s="23" t="s">
        <v>2819</v>
      </c>
      <c r="B1913" s="23" t="s">
        <v>942</v>
      </c>
      <c r="C1913" s="23" t="s">
        <v>2761</v>
      </c>
      <c r="D1913" s="23" t="s">
        <v>2762</v>
      </c>
      <c r="E1913" s="23" t="s">
        <v>971</v>
      </c>
      <c r="F1913" s="23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22.5" customHeight="1">
      <c r="A1914" s="23" t="s">
        <v>2820</v>
      </c>
      <c r="B1914" s="23" t="s">
        <v>116</v>
      </c>
      <c r="C1914" s="23" t="s">
        <v>146</v>
      </c>
      <c r="D1914" s="23" t="s">
        <v>2821</v>
      </c>
      <c r="E1914" s="23" t="s">
        <v>971</v>
      </c>
      <c r="F1914" s="23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22.5" customHeight="1">
      <c r="A1915" s="23" t="s">
        <v>2822</v>
      </c>
      <c r="B1915" s="23" t="s">
        <v>123</v>
      </c>
      <c r="C1915" s="23" t="s">
        <v>146</v>
      </c>
      <c r="D1915" s="23" t="s">
        <v>2821</v>
      </c>
      <c r="E1915" s="23" t="s">
        <v>971</v>
      </c>
      <c r="F1915" s="23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22.5" customHeight="1">
      <c r="A1916" s="23" t="s">
        <v>2823</v>
      </c>
      <c r="B1916" s="23" t="s">
        <v>131</v>
      </c>
      <c r="C1916" s="23" t="s">
        <v>146</v>
      </c>
      <c r="D1916" s="23" t="s">
        <v>2821</v>
      </c>
      <c r="E1916" s="23" t="s">
        <v>971</v>
      </c>
      <c r="F1916" s="23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22.5" customHeight="1">
      <c r="A1917" s="23" t="s">
        <v>2824</v>
      </c>
      <c r="B1917" s="23" t="s">
        <v>137</v>
      </c>
      <c r="C1917" s="23" t="s">
        <v>146</v>
      </c>
      <c r="D1917" s="23" t="s">
        <v>2821</v>
      </c>
      <c r="E1917" s="23" t="s">
        <v>971</v>
      </c>
      <c r="F1917" s="23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22.5" customHeight="1">
      <c r="A1918" s="23" t="s">
        <v>2825</v>
      </c>
      <c r="B1918" s="23" t="s">
        <v>144</v>
      </c>
      <c r="C1918" s="23" t="s">
        <v>146</v>
      </c>
      <c r="D1918" s="23" t="s">
        <v>2821</v>
      </c>
      <c r="E1918" s="23" t="s">
        <v>971</v>
      </c>
      <c r="F1918" s="23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22.5" customHeight="1">
      <c r="A1919" s="23" t="s">
        <v>2826</v>
      </c>
      <c r="B1919" s="23" t="s">
        <v>151</v>
      </c>
      <c r="C1919" s="23" t="s">
        <v>146</v>
      </c>
      <c r="D1919" s="23" t="s">
        <v>2821</v>
      </c>
      <c r="E1919" s="23" t="s">
        <v>971</v>
      </c>
      <c r="F1919" s="23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22.5" customHeight="1">
      <c r="A1920" s="23" t="s">
        <v>2827</v>
      </c>
      <c r="B1920" s="23" t="s">
        <v>734</v>
      </c>
      <c r="C1920" s="23" t="s">
        <v>146</v>
      </c>
      <c r="D1920" s="23" t="s">
        <v>2821</v>
      </c>
      <c r="E1920" s="23" t="s">
        <v>971</v>
      </c>
      <c r="F1920" s="23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22.5" customHeight="1">
      <c r="A1921" s="23" t="s">
        <v>2828</v>
      </c>
      <c r="B1921" s="23" t="s">
        <v>831</v>
      </c>
      <c r="C1921" s="23" t="s">
        <v>146</v>
      </c>
      <c r="D1921" s="23" t="s">
        <v>2821</v>
      </c>
      <c r="E1921" s="23" t="s">
        <v>971</v>
      </c>
      <c r="F1921" s="23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22.5" customHeight="1">
      <c r="A1922" s="23" t="s">
        <v>2829</v>
      </c>
      <c r="B1922" s="23" t="s">
        <v>833</v>
      </c>
      <c r="C1922" s="23" t="s">
        <v>146</v>
      </c>
      <c r="D1922" s="23" t="s">
        <v>2821</v>
      </c>
      <c r="E1922" s="23" t="s">
        <v>971</v>
      </c>
      <c r="F1922" s="23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22.5" customHeight="1">
      <c r="A1923" s="23" t="s">
        <v>2830</v>
      </c>
      <c r="B1923" s="23" t="s">
        <v>811</v>
      </c>
      <c r="C1923" s="23" t="s">
        <v>146</v>
      </c>
      <c r="D1923" s="23" t="s">
        <v>2821</v>
      </c>
      <c r="E1923" s="23" t="s">
        <v>971</v>
      </c>
      <c r="F1923" s="23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22.5" customHeight="1">
      <c r="A1924" s="23" t="s">
        <v>2831</v>
      </c>
      <c r="B1924" s="23" t="s">
        <v>838</v>
      </c>
      <c r="C1924" s="23" t="s">
        <v>146</v>
      </c>
      <c r="D1924" s="23" t="s">
        <v>2821</v>
      </c>
      <c r="E1924" s="23" t="s">
        <v>971</v>
      </c>
      <c r="F1924" s="23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22.5" customHeight="1">
      <c r="A1925" s="23" t="s">
        <v>2832</v>
      </c>
      <c r="B1925" s="23" t="s">
        <v>840</v>
      </c>
      <c r="C1925" s="23" t="s">
        <v>146</v>
      </c>
      <c r="D1925" s="23" t="s">
        <v>2821</v>
      </c>
      <c r="E1925" s="23" t="s">
        <v>971</v>
      </c>
      <c r="F1925" s="23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22.5" customHeight="1">
      <c r="A1926" s="23" t="s">
        <v>2833</v>
      </c>
      <c r="B1926" s="23" t="s">
        <v>842</v>
      </c>
      <c r="C1926" s="23" t="s">
        <v>146</v>
      </c>
      <c r="D1926" s="23" t="s">
        <v>2821</v>
      </c>
      <c r="E1926" s="23" t="s">
        <v>971</v>
      </c>
      <c r="F1926" s="23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22.5" customHeight="1">
      <c r="A1927" s="23" t="s">
        <v>2834</v>
      </c>
      <c r="B1927" s="23" t="s">
        <v>844</v>
      </c>
      <c r="C1927" s="23" t="s">
        <v>146</v>
      </c>
      <c r="D1927" s="23" t="s">
        <v>2821</v>
      </c>
      <c r="E1927" s="23" t="s">
        <v>971</v>
      </c>
      <c r="F1927" s="23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22.5" customHeight="1">
      <c r="A1928" s="23" t="s">
        <v>2835</v>
      </c>
      <c r="B1928" s="23" t="s">
        <v>846</v>
      </c>
      <c r="C1928" s="23" t="s">
        <v>146</v>
      </c>
      <c r="D1928" s="23" t="s">
        <v>2821</v>
      </c>
      <c r="E1928" s="23" t="s">
        <v>971</v>
      </c>
      <c r="F1928" s="23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22.5" customHeight="1">
      <c r="A1929" s="23" t="s">
        <v>2836</v>
      </c>
      <c r="B1929" s="23" t="s">
        <v>848</v>
      </c>
      <c r="C1929" s="23" t="s">
        <v>146</v>
      </c>
      <c r="D1929" s="23" t="s">
        <v>2821</v>
      </c>
      <c r="E1929" s="23" t="s">
        <v>971</v>
      </c>
      <c r="F1929" s="23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22.5" customHeight="1">
      <c r="A1930" s="23" t="s">
        <v>2837</v>
      </c>
      <c r="B1930" s="23" t="s">
        <v>850</v>
      </c>
      <c r="C1930" s="23" t="s">
        <v>146</v>
      </c>
      <c r="D1930" s="23" t="s">
        <v>2821</v>
      </c>
      <c r="E1930" s="23" t="s">
        <v>971</v>
      </c>
      <c r="F1930" s="23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22.5" customHeight="1">
      <c r="A1931" s="23" t="s">
        <v>2838</v>
      </c>
      <c r="B1931" s="23" t="s">
        <v>853</v>
      </c>
      <c r="C1931" s="23" t="s">
        <v>146</v>
      </c>
      <c r="D1931" s="23" t="s">
        <v>2821</v>
      </c>
      <c r="E1931" s="23" t="s">
        <v>971</v>
      </c>
      <c r="F1931" s="23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22.5" customHeight="1">
      <c r="A1932" s="23" t="s">
        <v>2839</v>
      </c>
      <c r="B1932" s="23" t="s">
        <v>855</v>
      </c>
      <c r="C1932" s="23" t="s">
        <v>146</v>
      </c>
      <c r="D1932" s="23" t="s">
        <v>2821</v>
      </c>
      <c r="E1932" s="23" t="s">
        <v>971</v>
      </c>
      <c r="F1932" s="23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22.5" customHeight="1">
      <c r="A1933" s="23" t="s">
        <v>2840</v>
      </c>
      <c r="B1933" s="23" t="s">
        <v>857</v>
      </c>
      <c r="C1933" s="23" t="s">
        <v>146</v>
      </c>
      <c r="D1933" s="23" t="s">
        <v>2821</v>
      </c>
      <c r="E1933" s="23" t="s">
        <v>971</v>
      </c>
      <c r="F1933" s="23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22.5" customHeight="1">
      <c r="A1934" s="23" t="s">
        <v>2841</v>
      </c>
      <c r="B1934" s="23" t="s">
        <v>860</v>
      </c>
      <c r="C1934" s="23" t="s">
        <v>146</v>
      </c>
      <c r="D1934" s="23" t="s">
        <v>2821</v>
      </c>
      <c r="E1934" s="23" t="s">
        <v>971</v>
      </c>
      <c r="F1934" s="23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22.5" customHeight="1">
      <c r="A1935" s="23" t="s">
        <v>2842</v>
      </c>
      <c r="B1935" s="23" t="s">
        <v>862</v>
      </c>
      <c r="C1935" s="23" t="s">
        <v>146</v>
      </c>
      <c r="D1935" s="23" t="s">
        <v>2821</v>
      </c>
      <c r="E1935" s="23" t="s">
        <v>971</v>
      </c>
      <c r="F1935" s="23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22.5" customHeight="1">
      <c r="A1936" s="23" t="s">
        <v>2843</v>
      </c>
      <c r="B1936" s="23" t="s">
        <v>865</v>
      </c>
      <c r="C1936" s="23" t="s">
        <v>146</v>
      </c>
      <c r="D1936" s="23" t="s">
        <v>2821</v>
      </c>
      <c r="E1936" s="23" t="s">
        <v>971</v>
      </c>
      <c r="F1936" s="23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22.5" customHeight="1">
      <c r="A1937" s="23" t="s">
        <v>2844</v>
      </c>
      <c r="B1937" s="23" t="s">
        <v>867</v>
      </c>
      <c r="C1937" s="23" t="s">
        <v>146</v>
      </c>
      <c r="D1937" s="23" t="s">
        <v>2821</v>
      </c>
      <c r="E1937" s="23" t="s">
        <v>971</v>
      </c>
      <c r="F1937" s="23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22.5" customHeight="1">
      <c r="A1938" s="23" t="s">
        <v>2845</v>
      </c>
      <c r="B1938" s="23" t="s">
        <v>869</v>
      </c>
      <c r="C1938" s="23" t="s">
        <v>146</v>
      </c>
      <c r="D1938" s="23" t="s">
        <v>2821</v>
      </c>
      <c r="E1938" s="23" t="s">
        <v>971</v>
      </c>
      <c r="F1938" s="23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22.5" customHeight="1">
      <c r="A1939" s="23" t="s">
        <v>2846</v>
      </c>
      <c r="B1939" s="23" t="s">
        <v>871</v>
      </c>
      <c r="C1939" s="23" t="s">
        <v>146</v>
      </c>
      <c r="D1939" s="23" t="s">
        <v>2821</v>
      </c>
      <c r="E1939" s="23" t="s">
        <v>971</v>
      </c>
      <c r="F1939" s="23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22.5" customHeight="1">
      <c r="A1940" s="23" t="s">
        <v>2847</v>
      </c>
      <c r="B1940" s="23" t="s">
        <v>876</v>
      </c>
      <c r="C1940" s="23" t="s">
        <v>146</v>
      </c>
      <c r="D1940" s="23" t="s">
        <v>2821</v>
      </c>
      <c r="E1940" s="23" t="s">
        <v>971</v>
      </c>
      <c r="F1940" s="23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22.5" customHeight="1">
      <c r="A1941" s="23" t="s">
        <v>2848</v>
      </c>
      <c r="B1941" s="23" t="s">
        <v>879</v>
      </c>
      <c r="C1941" s="23" t="s">
        <v>146</v>
      </c>
      <c r="D1941" s="23" t="s">
        <v>2821</v>
      </c>
      <c r="E1941" s="23" t="s">
        <v>971</v>
      </c>
      <c r="F1941" s="23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22.5" customHeight="1">
      <c r="A1942" s="23" t="s">
        <v>2849</v>
      </c>
      <c r="B1942" s="23" t="s">
        <v>881</v>
      </c>
      <c r="C1942" s="23" t="s">
        <v>146</v>
      </c>
      <c r="D1942" s="23" t="s">
        <v>2821</v>
      </c>
      <c r="E1942" s="23" t="s">
        <v>971</v>
      </c>
      <c r="F1942" s="23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22.5" customHeight="1">
      <c r="A1943" s="23" t="s">
        <v>2850</v>
      </c>
      <c r="B1943" s="23" t="s">
        <v>883</v>
      </c>
      <c r="C1943" s="23" t="s">
        <v>146</v>
      </c>
      <c r="D1943" s="23" t="s">
        <v>2821</v>
      </c>
      <c r="E1943" s="23" t="s">
        <v>971</v>
      </c>
      <c r="F1943" s="23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22.5" customHeight="1">
      <c r="A1944" s="23" t="s">
        <v>2851</v>
      </c>
      <c r="B1944" s="23" t="s">
        <v>885</v>
      </c>
      <c r="C1944" s="23" t="s">
        <v>146</v>
      </c>
      <c r="D1944" s="23" t="s">
        <v>2821</v>
      </c>
      <c r="E1944" s="23" t="s">
        <v>971</v>
      </c>
      <c r="F1944" s="23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22.5" customHeight="1">
      <c r="A1945" s="23" t="s">
        <v>2852</v>
      </c>
      <c r="B1945" s="23" t="s">
        <v>887</v>
      </c>
      <c r="C1945" s="23" t="s">
        <v>146</v>
      </c>
      <c r="D1945" s="23" t="s">
        <v>2821</v>
      </c>
      <c r="E1945" s="23" t="s">
        <v>971</v>
      </c>
      <c r="F1945" s="23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22.5" customHeight="1">
      <c r="A1946" s="23" t="s">
        <v>2853</v>
      </c>
      <c r="B1946" s="23" t="s">
        <v>892</v>
      </c>
      <c r="C1946" s="23" t="s">
        <v>146</v>
      </c>
      <c r="D1946" s="23" t="s">
        <v>2821</v>
      </c>
      <c r="E1946" s="23" t="s">
        <v>971</v>
      </c>
      <c r="F1946" s="23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22.5" customHeight="1">
      <c r="A1947" s="23" t="s">
        <v>2854</v>
      </c>
      <c r="B1947" s="23" t="s">
        <v>935</v>
      </c>
      <c r="C1947" s="23" t="s">
        <v>146</v>
      </c>
      <c r="D1947" s="23" t="s">
        <v>2821</v>
      </c>
      <c r="E1947" s="23" t="s">
        <v>971</v>
      </c>
      <c r="F1947" s="23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22.5" customHeight="1">
      <c r="A1948" s="23" t="s">
        <v>2855</v>
      </c>
      <c r="B1948" s="23" t="s">
        <v>895</v>
      </c>
      <c r="C1948" s="23" t="s">
        <v>146</v>
      </c>
      <c r="D1948" s="23" t="s">
        <v>2821</v>
      </c>
      <c r="E1948" s="23" t="s">
        <v>971</v>
      </c>
      <c r="F1948" s="23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22.5" customHeight="1">
      <c r="A1949" s="23" t="s">
        <v>2856</v>
      </c>
      <c r="B1949" s="23" t="s">
        <v>897</v>
      </c>
      <c r="C1949" s="23" t="s">
        <v>146</v>
      </c>
      <c r="D1949" s="23" t="s">
        <v>2821</v>
      </c>
      <c r="E1949" s="23" t="s">
        <v>971</v>
      </c>
      <c r="F1949" s="23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22.5" customHeight="1">
      <c r="A1950" s="23" t="s">
        <v>2857</v>
      </c>
      <c r="B1950" s="23" t="s">
        <v>889</v>
      </c>
      <c r="C1950" s="23" t="s">
        <v>146</v>
      </c>
      <c r="D1950" s="23" t="s">
        <v>2821</v>
      </c>
      <c r="E1950" s="23" t="s">
        <v>971</v>
      </c>
      <c r="F1950" s="23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22.5" customHeight="1">
      <c r="A1951" s="23" t="s">
        <v>2858</v>
      </c>
      <c r="B1951" s="23" t="s">
        <v>899</v>
      </c>
      <c r="C1951" s="23" t="s">
        <v>146</v>
      </c>
      <c r="D1951" s="23" t="s">
        <v>2821</v>
      </c>
      <c r="E1951" s="23" t="s">
        <v>971</v>
      </c>
      <c r="F1951" s="23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22.5" customHeight="1">
      <c r="A1952" s="23" t="s">
        <v>2859</v>
      </c>
      <c r="B1952" s="23" t="s">
        <v>901</v>
      </c>
      <c r="C1952" s="23" t="s">
        <v>146</v>
      </c>
      <c r="D1952" s="23" t="s">
        <v>2821</v>
      </c>
      <c r="E1952" s="23" t="s">
        <v>971</v>
      </c>
      <c r="F1952" s="23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22.5" customHeight="1">
      <c r="A1953" s="23" t="s">
        <v>2860</v>
      </c>
      <c r="B1953" s="23" t="s">
        <v>904</v>
      </c>
      <c r="C1953" s="23" t="s">
        <v>146</v>
      </c>
      <c r="D1953" s="23" t="s">
        <v>2821</v>
      </c>
      <c r="E1953" s="23" t="s">
        <v>971</v>
      </c>
      <c r="F1953" s="23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22.5" customHeight="1">
      <c r="A1954" s="23" t="s">
        <v>2861</v>
      </c>
      <c r="B1954" s="23" t="s">
        <v>906</v>
      </c>
      <c r="C1954" s="23" t="s">
        <v>146</v>
      </c>
      <c r="D1954" s="23" t="s">
        <v>2821</v>
      </c>
      <c r="E1954" s="23" t="s">
        <v>971</v>
      </c>
      <c r="F1954" s="23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22.5" customHeight="1">
      <c r="A1955" s="23" t="s">
        <v>2862</v>
      </c>
      <c r="B1955" s="23" t="s">
        <v>908</v>
      </c>
      <c r="C1955" s="23" t="s">
        <v>146</v>
      </c>
      <c r="D1955" s="23" t="s">
        <v>2821</v>
      </c>
      <c r="E1955" s="23" t="s">
        <v>971</v>
      </c>
      <c r="F1955" s="23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22.5" customHeight="1">
      <c r="A1956" s="23" t="s">
        <v>2863</v>
      </c>
      <c r="B1956" s="23" t="s">
        <v>936</v>
      </c>
      <c r="C1956" s="23" t="s">
        <v>146</v>
      </c>
      <c r="D1956" s="23" t="s">
        <v>2821</v>
      </c>
      <c r="E1956" s="23" t="s">
        <v>971</v>
      </c>
      <c r="F1956" s="23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22.5" customHeight="1">
      <c r="A1957" s="23" t="s">
        <v>2864</v>
      </c>
      <c r="B1957" s="23" t="s">
        <v>910</v>
      </c>
      <c r="C1957" s="23" t="s">
        <v>146</v>
      </c>
      <c r="D1957" s="23" t="s">
        <v>2821</v>
      </c>
      <c r="E1957" s="23" t="s">
        <v>971</v>
      </c>
      <c r="F1957" s="23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22.5" customHeight="1">
      <c r="A1958" s="23" t="s">
        <v>2865</v>
      </c>
      <c r="B1958" s="23" t="s">
        <v>937</v>
      </c>
      <c r="C1958" s="23" t="s">
        <v>146</v>
      </c>
      <c r="D1958" s="23" t="s">
        <v>2821</v>
      </c>
      <c r="E1958" s="23" t="s">
        <v>971</v>
      </c>
      <c r="F1958" s="23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22.5" customHeight="1">
      <c r="A1959" s="23" t="s">
        <v>2866</v>
      </c>
      <c r="B1959" s="23" t="s">
        <v>912</v>
      </c>
      <c r="C1959" s="23" t="s">
        <v>146</v>
      </c>
      <c r="D1959" s="23" t="s">
        <v>2821</v>
      </c>
      <c r="E1959" s="23" t="s">
        <v>971</v>
      </c>
      <c r="F1959" s="23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22.5" customHeight="1">
      <c r="A1960" s="23" t="s">
        <v>2867</v>
      </c>
      <c r="B1960" s="23" t="s">
        <v>938</v>
      </c>
      <c r="C1960" s="23" t="s">
        <v>146</v>
      </c>
      <c r="D1960" s="23" t="s">
        <v>2821</v>
      </c>
      <c r="E1960" s="23" t="s">
        <v>971</v>
      </c>
      <c r="F1960" s="23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22.5" customHeight="1">
      <c r="A1961" s="23" t="s">
        <v>2868</v>
      </c>
      <c r="B1961" s="23" t="s">
        <v>914</v>
      </c>
      <c r="C1961" s="23" t="s">
        <v>146</v>
      </c>
      <c r="D1961" s="23" t="s">
        <v>2821</v>
      </c>
      <c r="E1961" s="23" t="s">
        <v>971</v>
      </c>
      <c r="F1961" s="23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22.5" customHeight="1">
      <c r="A1962" s="23" t="s">
        <v>2869</v>
      </c>
      <c r="B1962" s="23" t="s">
        <v>939</v>
      </c>
      <c r="C1962" s="23" t="s">
        <v>146</v>
      </c>
      <c r="D1962" s="23" t="s">
        <v>2821</v>
      </c>
      <c r="E1962" s="23" t="s">
        <v>971</v>
      </c>
      <c r="F1962" s="23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22.5" customHeight="1">
      <c r="A1963" s="23" t="s">
        <v>2870</v>
      </c>
      <c r="B1963" s="23" t="s">
        <v>917</v>
      </c>
      <c r="C1963" s="23" t="s">
        <v>146</v>
      </c>
      <c r="D1963" s="23" t="s">
        <v>2821</v>
      </c>
      <c r="E1963" s="23" t="s">
        <v>971</v>
      </c>
      <c r="F1963" s="23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22.5" customHeight="1">
      <c r="A1964" s="23" t="s">
        <v>2871</v>
      </c>
      <c r="B1964" s="23" t="s">
        <v>873</v>
      </c>
      <c r="C1964" s="23" t="s">
        <v>146</v>
      </c>
      <c r="D1964" s="23" t="s">
        <v>2821</v>
      </c>
      <c r="E1964" s="23" t="s">
        <v>971</v>
      </c>
      <c r="F1964" s="23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22.5" customHeight="1">
      <c r="A1965" s="23" t="s">
        <v>2872</v>
      </c>
      <c r="B1965" s="23" t="s">
        <v>920</v>
      </c>
      <c r="C1965" s="23" t="s">
        <v>146</v>
      </c>
      <c r="D1965" s="23" t="s">
        <v>2821</v>
      </c>
      <c r="E1965" s="23" t="s">
        <v>971</v>
      </c>
      <c r="F1965" s="23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22.5" customHeight="1">
      <c r="A1966" s="23" t="s">
        <v>2873</v>
      </c>
      <c r="B1966" s="23" t="s">
        <v>923</v>
      </c>
      <c r="C1966" s="23" t="s">
        <v>146</v>
      </c>
      <c r="D1966" s="23" t="s">
        <v>2821</v>
      </c>
      <c r="E1966" s="23" t="s">
        <v>971</v>
      </c>
      <c r="F1966" s="23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22.5" customHeight="1">
      <c r="A1967" s="23" t="s">
        <v>2874</v>
      </c>
      <c r="B1967" s="23" t="s">
        <v>926</v>
      </c>
      <c r="C1967" s="23" t="s">
        <v>146</v>
      </c>
      <c r="D1967" s="23" t="s">
        <v>2821</v>
      </c>
      <c r="E1967" s="23" t="s">
        <v>971</v>
      </c>
      <c r="F1967" s="23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22.5" customHeight="1">
      <c r="A1968" s="23" t="s">
        <v>2875</v>
      </c>
      <c r="B1968" s="23" t="s">
        <v>929</v>
      </c>
      <c r="C1968" s="23" t="s">
        <v>146</v>
      </c>
      <c r="D1968" s="23" t="s">
        <v>2821</v>
      </c>
      <c r="E1968" s="23" t="s">
        <v>971</v>
      </c>
      <c r="F1968" s="23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22.5" customHeight="1">
      <c r="A1969" s="23" t="s">
        <v>2876</v>
      </c>
      <c r="B1969" s="23" t="s">
        <v>932</v>
      </c>
      <c r="C1969" s="23" t="s">
        <v>146</v>
      </c>
      <c r="D1969" s="23" t="s">
        <v>2821</v>
      </c>
      <c r="E1969" s="23" t="s">
        <v>971</v>
      </c>
      <c r="F1969" s="23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22.5" customHeight="1">
      <c r="A1970" s="23" t="s">
        <v>2877</v>
      </c>
      <c r="B1970" s="23" t="s">
        <v>934</v>
      </c>
      <c r="C1970" s="23" t="s">
        <v>146</v>
      </c>
      <c r="D1970" s="23" t="s">
        <v>2821</v>
      </c>
      <c r="E1970" s="23" t="s">
        <v>971</v>
      </c>
      <c r="F1970" s="23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22.5" customHeight="1">
      <c r="A1971" s="23" t="s">
        <v>2878</v>
      </c>
      <c r="B1971" s="23" t="s">
        <v>942</v>
      </c>
      <c r="C1971" s="23" t="s">
        <v>146</v>
      </c>
      <c r="D1971" s="23" t="s">
        <v>2821</v>
      </c>
      <c r="E1971" s="23" t="s">
        <v>971</v>
      </c>
      <c r="F1971" s="23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22.5" customHeight="1">
      <c r="A1972" s="23" t="s">
        <v>2879</v>
      </c>
      <c r="B1972" s="23" t="s">
        <v>793</v>
      </c>
      <c r="C1972" s="23" t="s">
        <v>2880</v>
      </c>
      <c r="D1972" s="23" t="s">
        <v>2881</v>
      </c>
      <c r="E1972" s="23" t="s">
        <v>949</v>
      </c>
      <c r="F1972" s="23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22.5" customHeight="1">
      <c r="A1973" s="23" t="s">
        <v>2882</v>
      </c>
      <c r="B1973" s="23" t="s">
        <v>752</v>
      </c>
      <c r="C1973" s="23" t="s">
        <v>2880</v>
      </c>
      <c r="D1973" s="23" t="s">
        <v>2881</v>
      </c>
      <c r="E1973" s="23" t="s">
        <v>949</v>
      </c>
      <c r="F1973" s="23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22.5" customHeight="1">
      <c r="A1974" s="23" t="s">
        <v>2883</v>
      </c>
      <c r="B1974" s="23" t="s">
        <v>764</v>
      </c>
      <c r="C1974" s="23" t="s">
        <v>2880</v>
      </c>
      <c r="D1974" s="23" t="s">
        <v>2881</v>
      </c>
      <c r="E1974" s="23" t="s">
        <v>971</v>
      </c>
      <c r="F1974" s="23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22.5" customHeight="1">
      <c r="A1975" s="23" t="s">
        <v>2884</v>
      </c>
      <c r="B1975" s="23" t="s">
        <v>796</v>
      </c>
      <c r="C1975" s="23" t="s">
        <v>2880</v>
      </c>
      <c r="D1975" s="23" t="s">
        <v>2881</v>
      </c>
      <c r="E1975" s="23" t="s">
        <v>949</v>
      </c>
      <c r="F1975" s="23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22.5" customHeight="1">
      <c r="A1976" s="23" t="s">
        <v>2885</v>
      </c>
      <c r="B1976" s="23" t="s">
        <v>766</v>
      </c>
      <c r="C1976" s="23" t="s">
        <v>2880</v>
      </c>
      <c r="D1976" s="23" t="s">
        <v>2881</v>
      </c>
      <c r="E1976" s="23" t="s">
        <v>971</v>
      </c>
      <c r="F1976" s="23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22.5" customHeight="1">
      <c r="A1977" s="23" t="s">
        <v>2886</v>
      </c>
      <c r="B1977" s="23" t="s">
        <v>756</v>
      </c>
      <c r="C1977" s="23" t="s">
        <v>2880</v>
      </c>
      <c r="D1977" s="23" t="s">
        <v>2881</v>
      </c>
      <c r="E1977" s="23" t="s">
        <v>949</v>
      </c>
      <c r="F1977" s="23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22.5" customHeight="1">
      <c r="A1978" s="23" t="s">
        <v>2887</v>
      </c>
      <c r="B1978" s="23" t="s">
        <v>769</v>
      </c>
      <c r="C1978" s="23" t="s">
        <v>2880</v>
      </c>
      <c r="D1978" s="23" t="s">
        <v>2881</v>
      </c>
      <c r="E1978" s="23" t="s">
        <v>971</v>
      </c>
      <c r="F1978" s="23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22.5" customHeight="1">
      <c r="A1979" s="23" t="s">
        <v>2888</v>
      </c>
      <c r="B1979" s="23" t="s">
        <v>810</v>
      </c>
      <c r="C1979" s="23" t="s">
        <v>2880</v>
      </c>
      <c r="D1979" s="23" t="s">
        <v>2881</v>
      </c>
      <c r="E1979" s="23" t="s">
        <v>971</v>
      </c>
      <c r="F1979" s="23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22.5" customHeight="1">
      <c r="A1980" s="23" t="s">
        <v>2889</v>
      </c>
      <c r="B1980" s="23" t="s">
        <v>771</v>
      </c>
      <c r="C1980" s="23" t="s">
        <v>2880</v>
      </c>
      <c r="D1980" s="23" t="s">
        <v>2881</v>
      </c>
      <c r="E1980" s="23" t="s">
        <v>949</v>
      </c>
      <c r="F1980" s="23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22.5" customHeight="1">
      <c r="A1981" s="23" t="s">
        <v>2890</v>
      </c>
      <c r="B1981" s="23" t="s">
        <v>773</v>
      </c>
      <c r="C1981" s="23" t="s">
        <v>2880</v>
      </c>
      <c r="D1981" s="23" t="s">
        <v>2881</v>
      </c>
      <c r="E1981" s="23" t="s">
        <v>971</v>
      </c>
      <c r="F1981" s="23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22.5" customHeight="1">
      <c r="A1982" s="23" t="s">
        <v>2891</v>
      </c>
      <c r="B1982" s="23" t="s">
        <v>719</v>
      </c>
      <c r="C1982" s="23" t="s">
        <v>2880</v>
      </c>
      <c r="D1982" s="23" t="s">
        <v>2881</v>
      </c>
      <c r="E1982" s="23" t="s">
        <v>949</v>
      </c>
      <c r="F1982" s="23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22.5" customHeight="1">
      <c r="A1983" s="23" t="s">
        <v>2892</v>
      </c>
      <c r="B1983" s="23" t="s">
        <v>725</v>
      </c>
      <c r="C1983" s="23" t="s">
        <v>2880</v>
      </c>
      <c r="D1983" s="23" t="s">
        <v>2881</v>
      </c>
      <c r="E1983" s="23" t="s">
        <v>949</v>
      </c>
      <c r="F1983" s="23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22.5" customHeight="1">
      <c r="A1984" s="23" t="s">
        <v>2893</v>
      </c>
      <c r="B1984" s="23" t="s">
        <v>708</v>
      </c>
      <c r="C1984" s="23" t="s">
        <v>2880</v>
      </c>
      <c r="D1984" s="23" t="s">
        <v>2881</v>
      </c>
      <c r="E1984" s="23" t="s">
        <v>949</v>
      </c>
      <c r="F1984" s="23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22.5" customHeight="1">
      <c r="A1985" s="23" t="s">
        <v>2894</v>
      </c>
      <c r="B1985" s="23" t="s">
        <v>798</v>
      </c>
      <c r="C1985" s="23" t="s">
        <v>2880</v>
      </c>
      <c r="D1985" s="23" t="s">
        <v>2881</v>
      </c>
      <c r="E1985" s="23" t="s">
        <v>971</v>
      </c>
      <c r="F1985" s="23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22.5" customHeight="1">
      <c r="A1986" s="23" t="s">
        <v>2895</v>
      </c>
      <c r="B1986" s="23" t="s">
        <v>781</v>
      </c>
      <c r="C1986" s="23" t="s">
        <v>2880</v>
      </c>
      <c r="D1986" s="23" t="s">
        <v>2881</v>
      </c>
      <c r="E1986" s="23" t="s">
        <v>971</v>
      </c>
      <c r="F1986" s="23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22.5" customHeight="1">
      <c r="A1987" s="23" t="s">
        <v>2896</v>
      </c>
      <c r="B1987" s="23" t="s">
        <v>784</v>
      </c>
      <c r="C1987" s="23" t="s">
        <v>2880</v>
      </c>
      <c r="D1987" s="23" t="s">
        <v>2881</v>
      </c>
      <c r="E1987" s="23" t="s">
        <v>971</v>
      </c>
      <c r="F1987" s="23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22.5" customHeight="1">
      <c r="A1988" s="23" t="s">
        <v>2897</v>
      </c>
      <c r="B1988" s="23" t="s">
        <v>737</v>
      </c>
      <c r="C1988" s="23" t="s">
        <v>2880</v>
      </c>
      <c r="D1988" s="23" t="s">
        <v>2881</v>
      </c>
      <c r="E1988" s="23" t="s">
        <v>949</v>
      </c>
      <c r="F1988" s="23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22.5" customHeight="1">
      <c r="A1989" s="23" t="s">
        <v>2898</v>
      </c>
      <c r="B1989" s="23" t="s">
        <v>746</v>
      </c>
      <c r="C1989" s="23" t="s">
        <v>2880</v>
      </c>
      <c r="D1989" s="23" t="s">
        <v>2881</v>
      </c>
      <c r="E1989" s="23" t="s">
        <v>949</v>
      </c>
      <c r="F1989" s="23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22.5" customHeight="1">
      <c r="A1990" s="23" t="s">
        <v>2899</v>
      </c>
      <c r="B1990" s="23" t="s">
        <v>722</v>
      </c>
      <c r="C1990" s="23" t="s">
        <v>2880</v>
      </c>
      <c r="D1990" s="23" t="s">
        <v>2881</v>
      </c>
      <c r="E1990" s="23" t="s">
        <v>949</v>
      </c>
      <c r="F1990" s="23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22.5" customHeight="1">
      <c r="A1991" s="23" t="s">
        <v>2900</v>
      </c>
      <c r="B1991" s="23" t="s">
        <v>704</v>
      </c>
      <c r="C1991" s="23" t="s">
        <v>2880</v>
      </c>
      <c r="D1991" s="23" t="s">
        <v>2881</v>
      </c>
      <c r="E1991" s="23" t="s">
        <v>949</v>
      </c>
      <c r="F1991" s="23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22.5" customHeight="1">
      <c r="A1992" s="23" t="s">
        <v>2901</v>
      </c>
      <c r="B1992" s="23" t="s">
        <v>740</v>
      </c>
      <c r="C1992" s="23" t="s">
        <v>2880</v>
      </c>
      <c r="D1992" s="23" t="s">
        <v>2881</v>
      </c>
      <c r="E1992" s="23" t="s">
        <v>949</v>
      </c>
      <c r="F1992" s="23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22.5" customHeight="1">
      <c r="A1993" s="23" t="s">
        <v>2902</v>
      </c>
      <c r="B1993" s="23" t="s">
        <v>729</v>
      </c>
      <c r="C1993" s="23" t="s">
        <v>2880</v>
      </c>
      <c r="D1993" s="23" t="s">
        <v>2881</v>
      </c>
      <c r="E1993" s="23" t="s">
        <v>949</v>
      </c>
      <c r="F1993" s="23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22.5" customHeight="1">
      <c r="A1994" s="23" t="s">
        <v>2903</v>
      </c>
      <c r="B1994" s="23" t="s">
        <v>696</v>
      </c>
      <c r="C1994" s="23" t="s">
        <v>2880</v>
      </c>
      <c r="D1994" s="23" t="s">
        <v>2881</v>
      </c>
      <c r="E1994" s="23" t="s">
        <v>971</v>
      </c>
      <c r="F1994" s="23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22.5" customHeight="1">
      <c r="A1995" s="23" t="s">
        <v>2904</v>
      </c>
      <c r="B1995" s="23" t="s">
        <v>749</v>
      </c>
      <c r="C1995" s="23" t="s">
        <v>2880</v>
      </c>
      <c r="D1995" s="23" t="s">
        <v>2881</v>
      </c>
      <c r="E1995" s="23" t="s">
        <v>949</v>
      </c>
      <c r="F1995" s="23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22.5" customHeight="1">
      <c r="A1996" s="23" t="s">
        <v>2905</v>
      </c>
      <c r="B1996" s="23" t="s">
        <v>775</v>
      </c>
      <c r="C1996" s="23" t="s">
        <v>2880</v>
      </c>
      <c r="D1996" s="23" t="s">
        <v>2881</v>
      </c>
      <c r="E1996" s="23" t="s">
        <v>949</v>
      </c>
      <c r="F1996" s="23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22.5" customHeight="1">
      <c r="A1997" s="23" t="s">
        <v>2906</v>
      </c>
      <c r="B1997" s="23" t="s">
        <v>778</v>
      </c>
      <c r="C1997" s="23" t="s">
        <v>2880</v>
      </c>
      <c r="D1997" s="23" t="s">
        <v>2881</v>
      </c>
      <c r="E1997" s="23" t="s">
        <v>971</v>
      </c>
      <c r="F1997" s="23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22.5" customHeight="1">
      <c r="A1998" s="23" t="s">
        <v>2907</v>
      </c>
      <c r="B1998" s="23" t="s">
        <v>715</v>
      </c>
      <c r="C1998" s="23" t="s">
        <v>2880</v>
      </c>
      <c r="D1998" s="23" t="s">
        <v>2881</v>
      </c>
      <c r="E1998" s="23" t="s">
        <v>949</v>
      </c>
      <c r="F1998" s="23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22.5" customHeight="1">
      <c r="A1999" s="23" t="s">
        <v>2908</v>
      </c>
      <c r="B1999" s="23" t="s">
        <v>743</v>
      </c>
      <c r="C1999" s="23" t="s">
        <v>2880</v>
      </c>
      <c r="D1999" s="23" t="s">
        <v>2881</v>
      </c>
      <c r="E1999" s="23" t="s">
        <v>949</v>
      </c>
      <c r="F1999" s="23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22.5" customHeight="1">
      <c r="A2000" s="23" t="s">
        <v>2909</v>
      </c>
      <c r="B2000" s="23" t="s">
        <v>801</v>
      </c>
      <c r="C2000" s="23" t="s">
        <v>2880</v>
      </c>
      <c r="D2000" s="23" t="s">
        <v>2881</v>
      </c>
      <c r="E2000" s="23" t="s">
        <v>971</v>
      </c>
      <c r="F2000" s="23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22.5" customHeight="1">
      <c r="A2001" s="23" t="s">
        <v>2910</v>
      </c>
      <c r="B2001" s="23" t="s">
        <v>732</v>
      </c>
      <c r="C2001" s="23" t="s">
        <v>2880</v>
      </c>
      <c r="D2001" s="23" t="s">
        <v>2881</v>
      </c>
      <c r="E2001" s="23" t="s">
        <v>971</v>
      </c>
      <c r="F2001" s="23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22.5" customHeight="1">
      <c r="A2002" s="23" t="s">
        <v>2911</v>
      </c>
      <c r="B2002" s="23" t="s">
        <v>758</v>
      </c>
      <c r="C2002" s="23" t="s">
        <v>2880</v>
      </c>
      <c r="D2002" s="23" t="s">
        <v>2881</v>
      </c>
      <c r="E2002" s="23" t="s">
        <v>971</v>
      </c>
      <c r="F2002" s="23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22.5" customHeight="1">
      <c r="A2003" s="23" t="s">
        <v>2912</v>
      </c>
      <c r="B2003" s="23" t="s">
        <v>700</v>
      </c>
      <c r="C2003" s="23" t="s">
        <v>2880</v>
      </c>
      <c r="D2003" s="23" t="s">
        <v>2881</v>
      </c>
      <c r="E2003" s="23" t="s">
        <v>949</v>
      </c>
      <c r="F2003" s="23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22.5" customHeight="1">
      <c r="A2004" s="23" t="s">
        <v>2913</v>
      </c>
      <c r="B2004" s="23" t="s">
        <v>712</v>
      </c>
      <c r="C2004" s="23" t="s">
        <v>2880</v>
      </c>
      <c r="D2004" s="23" t="s">
        <v>2881</v>
      </c>
      <c r="E2004" s="23" t="s">
        <v>949</v>
      </c>
      <c r="F2004" s="23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22.5" customHeight="1">
      <c r="A2005" s="23" t="s">
        <v>2914</v>
      </c>
      <c r="B2005" s="23" t="s">
        <v>693</v>
      </c>
      <c r="C2005" s="23" t="s">
        <v>2880</v>
      </c>
      <c r="D2005" s="23" t="s">
        <v>2881</v>
      </c>
      <c r="E2005" s="23" t="s">
        <v>971</v>
      </c>
      <c r="F2005" s="23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22.5" customHeight="1">
      <c r="A2006" s="23" t="s">
        <v>2915</v>
      </c>
      <c r="B2006" s="23" t="s">
        <v>787</v>
      </c>
      <c r="C2006" s="23" t="s">
        <v>2880</v>
      </c>
      <c r="D2006" s="23" t="s">
        <v>2881</v>
      </c>
      <c r="E2006" s="23" t="s">
        <v>971</v>
      </c>
      <c r="F2006" s="23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22.5" customHeight="1">
      <c r="A2007" s="23" t="s">
        <v>2916</v>
      </c>
      <c r="B2007" s="23" t="s">
        <v>790</v>
      </c>
      <c r="C2007" s="23" t="s">
        <v>2880</v>
      </c>
      <c r="D2007" s="23" t="s">
        <v>2881</v>
      </c>
      <c r="E2007" s="23" t="s">
        <v>949</v>
      </c>
      <c r="F2007" s="23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22.5" customHeight="1">
      <c r="A2008" s="23" t="s">
        <v>2917</v>
      </c>
      <c r="B2008" s="23" t="s">
        <v>761</v>
      </c>
      <c r="C2008" s="23" t="s">
        <v>2880</v>
      </c>
      <c r="D2008" s="23" t="s">
        <v>2881</v>
      </c>
      <c r="E2008" s="23" t="s">
        <v>971</v>
      </c>
      <c r="F2008" s="23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22.5" customHeight="1">
      <c r="A2009" s="23" t="s">
        <v>2918</v>
      </c>
      <c r="B2009" s="23" t="s">
        <v>804</v>
      </c>
      <c r="C2009" s="23" t="s">
        <v>2880</v>
      </c>
      <c r="D2009" s="23" t="s">
        <v>2881</v>
      </c>
      <c r="E2009" s="23" t="s">
        <v>949</v>
      </c>
      <c r="F2009" s="23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22.5" customHeight="1">
      <c r="A2010" s="23" t="s">
        <v>2919</v>
      </c>
      <c r="B2010" s="23" t="s">
        <v>806</v>
      </c>
      <c r="C2010" s="23" t="s">
        <v>2880</v>
      </c>
      <c r="D2010" s="23" t="s">
        <v>2881</v>
      </c>
      <c r="E2010" s="23" t="s">
        <v>949</v>
      </c>
      <c r="F2010" s="23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22.5" customHeight="1">
      <c r="A2011" s="23" t="s">
        <v>2920</v>
      </c>
      <c r="B2011" s="23" t="s">
        <v>809</v>
      </c>
      <c r="C2011" s="23" t="s">
        <v>2880</v>
      </c>
      <c r="D2011" s="23" t="s">
        <v>2881</v>
      </c>
      <c r="E2011" s="23" t="s">
        <v>949</v>
      </c>
      <c r="F2011" s="23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22.5" customHeight="1">
      <c r="A2012" s="23" t="s">
        <v>2921</v>
      </c>
      <c r="B2012" s="23" t="s">
        <v>793</v>
      </c>
      <c r="C2012" s="23" t="s">
        <v>146</v>
      </c>
      <c r="D2012" s="23" t="s">
        <v>2821</v>
      </c>
      <c r="E2012" s="23" t="s">
        <v>949</v>
      </c>
      <c r="F2012" s="23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22.5" customHeight="1">
      <c r="A2013" s="23" t="s">
        <v>2922</v>
      </c>
      <c r="B2013" s="23" t="s">
        <v>752</v>
      </c>
      <c r="C2013" s="23" t="s">
        <v>146</v>
      </c>
      <c r="D2013" s="23" t="s">
        <v>2821</v>
      </c>
      <c r="E2013" s="23" t="s">
        <v>949</v>
      </c>
      <c r="F2013" s="23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22.5" customHeight="1">
      <c r="A2014" s="23" t="s">
        <v>2923</v>
      </c>
      <c r="B2014" s="23" t="s">
        <v>764</v>
      </c>
      <c r="C2014" s="23" t="s">
        <v>146</v>
      </c>
      <c r="D2014" s="23" t="s">
        <v>2821</v>
      </c>
      <c r="E2014" s="23" t="s">
        <v>949</v>
      </c>
      <c r="F2014" s="23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22.5" customHeight="1">
      <c r="A2015" s="23" t="s">
        <v>2924</v>
      </c>
      <c r="B2015" s="23" t="s">
        <v>796</v>
      </c>
      <c r="C2015" s="23" t="s">
        <v>146</v>
      </c>
      <c r="D2015" s="23" t="s">
        <v>2821</v>
      </c>
      <c r="E2015" s="23" t="s">
        <v>971</v>
      </c>
      <c r="F2015" s="23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22.5" customHeight="1">
      <c r="A2016" s="23" t="s">
        <v>2925</v>
      </c>
      <c r="B2016" s="23" t="s">
        <v>766</v>
      </c>
      <c r="C2016" s="23" t="s">
        <v>146</v>
      </c>
      <c r="D2016" s="23" t="s">
        <v>2821</v>
      </c>
      <c r="E2016" s="23" t="s">
        <v>949</v>
      </c>
      <c r="F2016" s="23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22.5" customHeight="1">
      <c r="A2017" s="23" t="s">
        <v>2926</v>
      </c>
      <c r="B2017" s="23" t="s">
        <v>756</v>
      </c>
      <c r="C2017" s="23" t="s">
        <v>146</v>
      </c>
      <c r="D2017" s="23" t="s">
        <v>2821</v>
      </c>
      <c r="E2017" s="23" t="s">
        <v>971</v>
      </c>
      <c r="F2017" s="23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22.5" customHeight="1">
      <c r="A2018" s="23" t="s">
        <v>2927</v>
      </c>
      <c r="B2018" s="23" t="s">
        <v>769</v>
      </c>
      <c r="C2018" s="23" t="s">
        <v>146</v>
      </c>
      <c r="D2018" s="23" t="s">
        <v>2821</v>
      </c>
      <c r="E2018" s="23" t="s">
        <v>971</v>
      </c>
      <c r="F2018" s="23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22.5" customHeight="1">
      <c r="A2019" s="23" t="s">
        <v>2928</v>
      </c>
      <c r="B2019" s="23" t="s">
        <v>810</v>
      </c>
      <c r="C2019" s="23" t="s">
        <v>146</v>
      </c>
      <c r="D2019" s="23" t="s">
        <v>2821</v>
      </c>
      <c r="E2019" s="23" t="s">
        <v>971</v>
      </c>
      <c r="F2019" s="23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22.5" customHeight="1">
      <c r="A2020" s="23" t="s">
        <v>2929</v>
      </c>
      <c r="B2020" s="23" t="s">
        <v>771</v>
      </c>
      <c r="C2020" s="23" t="s">
        <v>146</v>
      </c>
      <c r="D2020" s="23" t="s">
        <v>2821</v>
      </c>
      <c r="E2020" s="23" t="s">
        <v>971</v>
      </c>
      <c r="F2020" s="23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22.5" customHeight="1">
      <c r="A2021" s="23" t="s">
        <v>2930</v>
      </c>
      <c r="B2021" s="23" t="s">
        <v>773</v>
      </c>
      <c r="C2021" s="23" t="s">
        <v>146</v>
      </c>
      <c r="D2021" s="23" t="s">
        <v>2821</v>
      </c>
      <c r="E2021" s="23" t="s">
        <v>949</v>
      </c>
      <c r="F2021" s="23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22.5" customHeight="1">
      <c r="A2022" s="23" t="s">
        <v>2931</v>
      </c>
      <c r="B2022" s="23" t="s">
        <v>719</v>
      </c>
      <c r="C2022" s="23" t="s">
        <v>146</v>
      </c>
      <c r="D2022" s="23" t="s">
        <v>2821</v>
      </c>
      <c r="E2022" s="23" t="s">
        <v>949</v>
      </c>
      <c r="F2022" s="23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22.5" customHeight="1">
      <c r="A2023" s="23" t="s">
        <v>2932</v>
      </c>
      <c r="B2023" s="23" t="s">
        <v>725</v>
      </c>
      <c r="C2023" s="23" t="s">
        <v>146</v>
      </c>
      <c r="D2023" s="23" t="s">
        <v>2821</v>
      </c>
      <c r="E2023" s="23" t="s">
        <v>949</v>
      </c>
      <c r="F2023" s="23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22.5" customHeight="1">
      <c r="A2024" s="23" t="s">
        <v>2933</v>
      </c>
      <c r="B2024" s="23" t="s">
        <v>708</v>
      </c>
      <c r="C2024" s="23" t="s">
        <v>146</v>
      </c>
      <c r="D2024" s="23" t="s">
        <v>2821</v>
      </c>
      <c r="E2024" s="23" t="s">
        <v>949</v>
      </c>
      <c r="F2024" s="23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22.5" customHeight="1">
      <c r="A2025" s="23" t="s">
        <v>2934</v>
      </c>
      <c r="B2025" s="23" t="s">
        <v>798</v>
      </c>
      <c r="C2025" s="23" t="s">
        <v>146</v>
      </c>
      <c r="D2025" s="23" t="s">
        <v>2821</v>
      </c>
      <c r="E2025" s="23" t="s">
        <v>949</v>
      </c>
      <c r="F2025" s="23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22.5" customHeight="1">
      <c r="A2026" s="23" t="s">
        <v>2935</v>
      </c>
      <c r="B2026" s="23" t="s">
        <v>781</v>
      </c>
      <c r="C2026" s="23" t="s">
        <v>146</v>
      </c>
      <c r="D2026" s="23" t="s">
        <v>2821</v>
      </c>
      <c r="E2026" s="23" t="s">
        <v>971</v>
      </c>
      <c r="F2026" s="23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22.5" customHeight="1">
      <c r="A2027" s="23" t="s">
        <v>2936</v>
      </c>
      <c r="B2027" s="23" t="s">
        <v>784</v>
      </c>
      <c r="C2027" s="23" t="s">
        <v>146</v>
      </c>
      <c r="D2027" s="23" t="s">
        <v>2821</v>
      </c>
      <c r="E2027" s="23" t="s">
        <v>971</v>
      </c>
      <c r="F2027" s="23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22.5" customHeight="1">
      <c r="A2028" s="23" t="s">
        <v>2937</v>
      </c>
      <c r="B2028" s="23" t="s">
        <v>737</v>
      </c>
      <c r="C2028" s="23" t="s">
        <v>146</v>
      </c>
      <c r="D2028" s="23" t="s">
        <v>2821</v>
      </c>
      <c r="E2028" s="23" t="s">
        <v>949</v>
      </c>
      <c r="F2028" s="23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22.5" customHeight="1">
      <c r="A2029" s="23" t="s">
        <v>2938</v>
      </c>
      <c r="B2029" s="23" t="s">
        <v>746</v>
      </c>
      <c r="C2029" s="23" t="s">
        <v>146</v>
      </c>
      <c r="D2029" s="23" t="s">
        <v>2821</v>
      </c>
      <c r="E2029" s="23" t="s">
        <v>949</v>
      </c>
      <c r="F2029" s="23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22.5" customHeight="1">
      <c r="A2030" s="23" t="s">
        <v>2939</v>
      </c>
      <c r="B2030" s="23" t="s">
        <v>722</v>
      </c>
      <c r="C2030" s="23" t="s">
        <v>146</v>
      </c>
      <c r="D2030" s="23" t="s">
        <v>2821</v>
      </c>
      <c r="E2030" s="23" t="s">
        <v>949</v>
      </c>
      <c r="F2030" s="23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22.5" customHeight="1">
      <c r="A2031" s="23" t="s">
        <v>2940</v>
      </c>
      <c r="B2031" s="23" t="s">
        <v>704</v>
      </c>
      <c r="C2031" s="23" t="s">
        <v>146</v>
      </c>
      <c r="D2031" s="23" t="s">
        <v>2821</v>
      </c>
      <c r="E2031" s="23" t="s">
        <v>971</v>
      </c>
      <c r="F2031" s="23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22.5" customHeight="1">
      <c r="A2032" s="23" t="s">
        <v>2941</v>
      </c>
      <c r="B2032" s="23" t="s">
        <v>740</v>
      </c>
      <c r="C2032" s="23" t="s">
        <v>146</v>
      </c>
      <c r="D2032" s="23" t="s">
        <v>2821</v>
      </c>
      <c r="E2032" s="23" t="s">
        <v>949</v>
      </c>
      <c r="F2032" s="23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22.5" customHeight="1">
      <c r="A2033" s="23" t="s">
        <v>2942</v>
      </c>
      <c r="B2033" s="23" t="s">
        <v>729</v>
      </c>
      <c r="C2033" s="23" t="s">
        <v>146</v>
      </c>
      <c r="D2033" s="23" t="s">
        <v>2821</v>
      </c>
      <c r="E2033" s="23" t="s">
        <v>949</v>
      </c>
      <c r="F2033" s="23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22.5" customHeight="1">
      <c r="A2034" s="23" t="s">
        <v>2943</v>
      </c>
      <c r="B2034" s="23" t="s">
        <v>696</v>
      </c>
      <c r="C2034" s="23" t="s">
        <v>146</v>
      </c>
      <c r="D2034" s="23" t="s">
        <v>2821</v>
      </c>
      <c r="E2034" s="23" t="s">
        <v>971</v>
      </c>
      <c r="F2034" s="23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22.5" customHeight="1">
      <c r="A2035" s="23" t="s">
        <v>2944</v>
      </c>
      <c r="B2035" s="23" t="s">
        <v>749</v>
      </c>
      <c r="C2035" s="23" t="s">
        <v>146</v>
      </c>
      <c r="D2035" s="23" t="s">
        <v>2821</v>
      </c>
      <c r="E2035" s="23" t="s">
        <v>949</v>
      </c>
      <c r="F2035" s="23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22.5" customHeight="1">
      <c r="A2036" s="23" t="s">
        <v>2945</v>
      </c>
      <c r="B2036" s="23" t="s">
        <v>775</v>
      </c>
      <c r="C2036" s="23" t="s">
        <v>146</v>
      </c>
      <c r="D2036" s="23" t="s">
        <v>2821</v>
      </c>
      <c r="E2036" s="23" t="s">
        <v>971</v>
      </c>
      <c r="F2036" s="23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22.5" customHeight="1">
      <c r="A2037" s="23" t="s">
        <v>2946</v>
      </c>
      <c r="B2037" s="23" t="s">
        <v>778</v>
      </c>
      <c r="C2037" s="23" t="s">
        <v>146</v>
      </c>
      <c r="D2037" s="23" t="s">
        <v>2821</v>
      </c>
      <c r="E2037" s="23" t="s">
        <v>971</v>
      </c>
      <c r="F2037" s="23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22.5" customHeight="1">
      <c r="A2038" s="23" t="s">
        <v>2947</v>
      </c>
      <c r="B2038" s="23" t="s">
        <v>715</v>
      </c>
      <c r="C2038" s="23" t="s">
        <v>146</v>
      </c>
      <c r="D2038" s="23" t="s">
        <v>2821</v>
      </c>
      <c r="E2038" s="23" t="s">
        <v>949</v>
      </c>
      <c r="F2038" s="23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22.5" customHeight="1">
      <c r="A2039" s="23" t="s">
        <v>2948</v>
      </c>
      <c r="B2039" s="23" t="s">
        <v>743</v>
      </c>
      <c r="C2039" s="23" t="s">
        <v>146</v>
      </c>
      <c r="D2039" s="23" t="s">
        <v>2821</v>
      </c>
      <c r="E2039" s="23" t="s">
        <v>949</v>
      </c>
      <c r="F2039" s="23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22.5" customHeight="1">
      <c r="A2040" s="23" t="s">
        <v>2949</v>
      </c>
      <c r="B2040" s="23" t="s">
        <v>801</v>
      </c>
      <c r="C2040" s="23" t="s">
        <v>146</v>
      </c>
      <c r="D2040" s="23" t="s">
        <v>2821</v>
      </c>
      <c r="E2040" s="23" t="s">
        <v>949</v>
      </c>
      <c r="F2040" s="23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22.5" customHeight="1">
      <c r="A2041" s="23" t="s">
        <v>2950</v>
      </c>
      <c r="B2041" s="23" t="s">
        <v>732</v>
      </c>
      <c r="C2041" s="23" t="s">
        <v>146</v>
      </c>
      <c r="D2041" s="23" t="s">
        <v>2821</v>
      </c>
      <c r="E2041" s="23" t="s">
        <v>949</v>
      </c>
      <c r="F2041" s="23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22.5" customHeight="1">
      <c r="A2042" s="23" t="s">
        <v>2951</v>
      </c>
      <c r="B2042" s="23" t="s">
        <v>758</v>
      </c>
      <c r="C2042" s="23" t="s">
        <v>146</v>
      </c>
      <c r="D2042" s="23" t="s">
        <v>2821</v>
      </c>
      <c r="E2042" s="23" t="s">
        <v>971</v>
      </c>
      <c r="F2042" s="23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22.5" customHeight="1">
      <c r="A2043" s="23" t="s">
        <v>2952</v>
      </c>
      <c r="B2043" s="23" t="s">
        <v>700</v>
      </c>
      <c r="C2043" s="23" t="s">
        <v>146</v>
      </c>
      <c r="D2043" s="23" t="s">
        <v>2821</v>
      </c>
      <c r="E2043" s="23" t="s">
        <v>971</v>
      </c>
      <c r="F2043" s="23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22.5" customHeight="1">
      <c r="A2044" s="23" t="s">
        <v>2953</v>
      </c>
      <c r="B2044" s="23" t="s">
        <v>712</v>
      </c>
      <c r="C2044" s="23" t="s">
        <v>146</v>
      </c>
      <c r="D2044" s="23" t="s">
        <v>2821</v>
      </c>
      <c r="E2044" s="23" t="s">
        <v>949</v>
      </c>
      <c r="F2044" s="23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22.5" customHeight="1">
      <c r="A2045" s="23" t="s">
        <v>2954</v>
      </c>
      <c r="B2045" s="23" t="s">
        <v>693</v>
      </c>
      <c r="C2045" s="23" t="s">
        <v>146</v>
      </c>
      <c r="D2045" s="23" t="s">
        <v>2821</v>
      </c>
      <c r="E2045" s="23" t="s">
        <v>971</v>
      </c>
      <c r="F2045" s="23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22.5" customHeight="1">
      <c r="A2046" s="23" t="s">
        <v>2955</v>
      </c>
      <c r="B2046" s="23" t="s">
        <v>787</v>
      </c>
      <c r="C2046" s="23" t="s">
        <v>146</v>
      </c>
      <c r="D2046" s="23" t="s">
        <v>2821</v>
      </c>
      <c r="E2046" s="23" t="s">
        <v>949</v>
      </c>
      <c r="F2046" s="23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22.5" customHeight="1">
      <c r="A2047" s="23" t="s">
        <v>2956</v>
      </c>
      <c r="B2047" s="23" t="s">
        <v>790</v>
      </c>
      <c r="C2047" s="23" t="s">
        <v>146</v>
      </c>
      <c r="D2047" s="23" t="s">
        <v>2821</v>
      </c>
      <c r="E2047" s="23" t="s">
        <v>971</v>
      </c>
      <c r="F2047" s="23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22.5" customHeight="1">
      <c r="A2048" s="23" t="s">
        <v>2957</v>
      </c>
      <c r="B2048" s="23" t="s">
        <v>761</v>
      </c>
      <c r="C2048" s="23" t="s">
        <v>146</v>
      </c>
      <c r="D2048" s="23" t="s">
        <v>2821</v>
      </c>
      <c r="E2048" s="23" t="s">
        <v>971</v>
      </c>
      <c r="F2048" s="23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22.5" customHeight="1">
      <c r="A2049" s="23" t="s">
        <v>2958</v>
      </c>
      <c r="B2049" s="23" t="s">
        <v>804</v>
      </c>
      <c r="C2049" s="23" t="s">
        <v>146</v>
      </c>
      <c r="D2049" s="23" t="s">
        <v>2821</v>
      </c>
      <c r="E2049" s="23" t="s">
        <v>949</v>
      </c>
      <c r="F2049" s="23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22.5" customHeight="1">
      <c r="A2050" s="23" t="s">
        <v>2959</v>
      </c>
      <c r="B2050" s="23" t="s">
        <v>806</v>
      </c>
      <c r="C2050" s="23" t="s">
        <v>146</v>
      </c>
      <c r="D2050" s="23" t="s">
        <v>2821</v>
      </c>
      <c r="E2050" s="23" t="s">
        <v>971</v>
      </c>
      <c r="F2050" s="23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22.5" customHeight="1">
      <c r="A2051" s="23" t="s">
        <v>2960</v>
      </c>
      <c r="B2051" s="23" t="s">
        <v>809</v>
      </c>
      <c r="C2051" s="23" t="s">
        <v>146</v>
      </c>
      <c r="D2051" s="23" t="s">
        <v>2821</v>
      </c>
      <c r="E2051" s="23" t="s">
        <v>949</v>
      </c>
      <c r="F2051" s="23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22.5" customHeight="1">
      <c r="A2052" s="23" t="s">
        <v>2961</v>
      </c>
      <c r="B2052" s="23" t="s">
        <v>116</v>
      </c>
      <c r="C2052" s="23" t="s">
        <v>2761</v>
      </c>
      <c r="D2052" s="23" t="s">
        <v>2962</v>
      </c>
      <c r="E2052" s="23" t="s">
        <v>971</v>
      </c>
      <c r="F2052" s="23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22.5" customHeight="1">
      <c r="A2053" s="23" t="s">
        <v>2963</v>
      </c>
      <c r="B2053" s="23" t="s">
        <v>123</v>
      </c>
      <c r="C2053" s="23" t="s">
        <v>2761</v>
      </c>
      <c r="D2053" s="23" t="s">
        <v>2962</v>
      </c>
      <c r="E2053" s="23" t="s">
        <v>971</v>
      </c>
      <c r="F2053" s="23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22.5" customHeight="1">
      <c r="A2054" s="23" t="s">
        <v>2964</v>
      </c>
      <c r="B2054" s="23" t="s">
        <v>131</v>
      </c>
      <c r="C2054" s="23" t="s">
        <v>2761</v>
      </c>
      <c r="D2054" s="23" t="s">
        <v>2962</v>
      </c>
      <c r="E2054" s="23" t="s">
        <v>971</v>
      </c>
      <c r="F2054" s="23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22.5" customHeight="1">
      <c r="A2055" s="23" t="s">
        <v>2965</v>
      </c>
      <c r="B2055" s="23" t="s">
        <v>137</v>
      </c>
      <c r="C2055" s="23" t="s">
        <v>2761</v>
      </c>
      <c r="D2055" s="23" t="s">
        <v>2962</v>
      </c>
      <c r="E2055" s="23" t="s">
        <v>971</v>
      </c>
      <c r="F2055" s="23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22.5" customHeight="1">
      <c r="A2056" s="23" t="s">
        <v>2966</v>
      </c>
      <c r="B2056" s="23" t="s">
        <v>144</v>
      </c>
      <c r="C2056" s="23" t="s">
        <v>2761</v>
      </c>
      <c r="D2056" s="23" t="s">
        <v>2962</v>
      </c>
      <c r="E2056" s="23" t="s">
        <v>971</v>
      </c>
      <c r="F2056" s="23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22.5" customHeight="1">
      <c r="A2057" s="23" t="s">
        <v>2967</v>
      </c>
      <c r="B2057" s="23" t="s">
        <v>151</v>
      </c>
      <c r="C2057" s="23" t="s">
        <v>2761</v>
      </c>
      <c r="D2057" s="23" t="s">
        <v>2962</v>
      </c>
      <c r="E2057" s="23" t="s">
        <v>971</v>
      </c>
      <c r="F2057" s="23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22.5" customHeight="1">
      <c r="A2058" s="23" t="s">
        <v>2968</v>
      </c>
      <c r="B2058" s="23" t="s">
        <v>734</v>
      </c>
      <c r="C2058" s="23" t="s">
        <v>2761</v>
      </c>
      <c r="D2058" s="23" t="s">
        <v>2962</v>
      </c>
      <c r="E2058" s="23" t="s">
        <v>971</v>
      </c>
      <c r="F2058" s="23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22.5" customHeight="1">
      <c r="A2059" s="23" t="s">
        <v>2969</v>
      </c>
      <c r="B2059" s="23" t="s">
        <v>831</v>
      </c>
      <c r="C2059" s="23" t="s">
        <v>2761</v>
      </c>
      <c r="D2059" s="23" t="s">
        <v>2962</v>
      </c>
      <c r="E2059" s="23" t="s">
        <v>949</v>
      </c>
      <c r="F2059" s="23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22.5" customHeight="1">
      <c r="A2060" s="23" t="s">
        <v>2970</v>
      </c>
      <c r="B2060" s="23" t="s">
        <v>833</v>
      </c>
      <c r="C2060" s="23" t="s">
        <v>2761</v>
      </c>
      <c r="D2060" s="23" t="s">
        <v>2962</v>
      </c>
      <c r="E2060" s="23" t="s">
        <v>971</v>
      </c>
      <c r="F2060" s="23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22.5" customHeight="1">
      <c r="A2061" s="23" t="s">
        <v>2971</v>
      </c>
      <c r="B2061" s="23" t="s">
        <v>811</v>
      </c>
      <c r="C2061" s="23" t="s">
        <v>2761</v>
      </c>
      <c r="D2061" s="23" t="s">
        <v>2962</v>
      </c>
      <c r="E2061" s="23" t="s">
        <v>949</v>
      </c>
      <c r="F2061" s="23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22.5" customHeight="1">
      <c r="A2062" s="23" t="s">
        <v>2972</v>
      </c>
      <c r="B2062" s="23" t="s">
        <v>838</v>
      </c>
      <c r="C2062" s="23" t="s">
        <v>2761</v>
      </c>
      <c r="D2062" s="23" t="s">
        <v>2962</v>
      </c>
      <c r="E2062" s="23" t="s">
        <v>971</v>
      </c>
      <c r="F2062" s="23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22.5" customHeight="1">
      <c r="A2063" s="23" t="s">
        <v>2973</v>
      </c>
      <c r="B2063" s="23" t="s">
        <v>840</v>
      </c>
      <c r="C2063" s="23" t="s">
        <v>2761</v>
      </c>
      <c r="D2063" s="23" t="s">
        <v>2962</v>
      </c>
      <c r="E2063" s="23" t="s">
        <v>971</v>
      </c>
      <c r="F2063" s="23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22.5" customHeight="1">
      <c r="A2064" s="23" t="s">
        <v>2974</v>
      </c>
      <c r="B2064" s="23" t="s">
        <v>842</v>
      </c>
      <c r="C2064" s="23" t="s">
        <v>2761</v>
      </c>
      <c r="D2064" s="23" t="s">
        <v>2962</v>
      </c>
      <c r="E2064" s="23" t="s">
        <v>971</v>
      </c>
      <c r="F2064" s="23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22.5" customHeight="1">
      <c r="A2065" s="23" t="s">
        <v>2975</v>
      </c>
      <c r="B2065" s="23" t="s">
        <v>844</v>
      </c>
      <c r="C2065" s="23" t="s">
        <v>2761</v>
      </c>
      <c r="D2065" s="23" t="s">
        <v>2962</v>
      </c>
      <c r="E2065" s="23" t="s">
        <v>971</v>
      </c>
      <c r="F2065" s="23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22.5" customHeight="1">
      <c r="A2066" s="23" t="s">
        <v>2976</v>
      </c>
      <c r="B2066" s="23" t="s">
        <v>846</v>
      </c>
      <c r="C2066" s="23" t="s">
        <v>2761</v>
      </c>
      <c r="D2066" s="23" t="s">
        <v>2962</v>
      </c>
      <c r="E2066" s="23" t="s">
        <v>971</v>
      </c>
      <c r="F2066" s="23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22.5" customHeight="1">
      <c r="A2067" s="23" t="s">
        <v>2977</v>
      </c>
      <c r="B2067" s="23" t="s">
        <v>848</v>
      </c>
      <c r="C2067" s="23" t="s">
        <v>2761</v>
      </c>
      <c r="D2067" s="23" t="s">
        <v>2962</v>
      </c>
      <c r="E2067" s="23" t="s">
        <v>971</v>
      </c>
      <c r="F2067" s="23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22.5" customHeight="1">
      <c r="A2068" s="23" t="s">
        <v>2978</v>
      </c>
      <c r="B2068" s="23" t="s">
        <v>850</v>
      </c>
      <c r="C2068" s="23" t="s">
        <v>2761</v>
      </c>
      <c r="D2068" s="23" t="s">
        <v>2962</v>
      </c>
      <c r="E2068" s="23" t="s">
        <v>971</v>
      </c>
      <c r="F2068" s="23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22.5" customHeight="1">
      <c r="A2069" s="23" t="s">
        <v>2979</v>
      </c>
      <c r="B2069" s="23" t="s">
        <v>853</v>
      </c>
      <c r="C2069" s="23" t="s">
        <v>2761</v>
      </c>
      <c r="D2069" s="23" t="s">
        <v>2962</v>
      </c>
      <c r="E2069" s="23" t="s">
        <v>971</v>
      </c>
      <c r="F2069" s="23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22.5" customHeight="1">
      <c r="A2070" s="23" t="s">
        <v>2980</v>
      </c>
      <c r="B2070" s="23" t="s">
        <v>855</v>
      </c>
      <c r="C2070" s="23" t="s">
        <v>2761</v>
      </c>
      <c r="D2070" s="23" t="s">
        <v>2962</v>
      </c>
      <c r="E2070" s="23" t="s">
        <v>971</v>
      </c>
      <c r="F2070" s="23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22.5" customHeight="1">
      <c r="A2071" s="23" t="s">
        <v>2981</v>
      </c>
      <c r="B2071" s="23" t="s">
        <v>857</v>
      </c>
      <c r="C2071" s="23" t="s">
        <v>2761</v>
      </c>
      <c r="D2071" s="23" t="s">
        <v>2962</v>
      </c>
      <c r="E2071" s="23" t="s">
        <v>971</v>
      </c>
      <c r="F2071" s="23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22.5" customHeight="1">
      <c r="A2072" s="23" t="s">
        <v>2982</v>
      </c>
      <c r="B2072" s="23" t="s">
        <v>860</v>
      </c>
      <c r="C2072" s="23" t="s">
        <v>2761</v>
      </c>
      <c r="D2072" s="23" t="s">
        <v>2962</v>
      </c>
      <c r="E2072" s="23" t="s">
        <v>971</v>
      </c>
      <c r="F2072" s="23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22.5" customHeight="1">
      <c r="A2073" s="23" t="s">
        <v>2983</v>
      </c>
      <c r="B2073" s="23" t="s">
        <v>862</v>
      </c>
      <c r="C2073" s="23" t="s">
        <v>2761</v>
      </c>
      <c r="D2073" s="23" t="s">
        <v>2962</v>
      </c>
      <c r="E2073" s="23" t="s">
        <v>971</v>
      </c>
      <c r="F2073" s="23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22.5" customHeight="1">
      <c r="A2074" s="23" t="s">
        <v>2984</v>
      </c>
      <c r="B2074" s="23" t="s">
        <v>865</v>
      </c>
      <c r="C2074" s="23" t="s">
        <v>2761</v>
      </c>
      <c r="D2074" s="23" t="s">
        <v>2962</v>
      </c>
      <c r="E2074" s="23" t="s">
        <v>971</v>
      </c>
      <c r="F2074" s="23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22.5" customHeight="1">
      <c r="A2075" s="23" t="s">
        <v>2985</v>
      </c>
      <c r="B2075" s="23" t="s">
        <v>867</v>
      </c>
      <c r="C2075" s="23" t="s">
        <v>2761</v>
      </c>
      <c r="D2075" s="23" t="s">
        <v>2962</v>
      </c>
      <c r="E2075" s="23" t="s">
        <v>949</v>
      </c>
      <c r="F2075" s="23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22.5" customHeight="1">
      <c r="A2076" s="23" t="s">
        <v>2986</v>
      </c>
      <c r="B2076" s="23" t="s">
        <v>869</v>
      </c>
      <c r="C2076" s="23" t="s">
        <v>2761</v>
      </c>
      <c r="D2076" s="23" t="s">
        <v>2962</v>
      </c>
      <c r="E2076" s="23" t="s">
        <v>971</v>
      </c>
      <c r="F2076" s="23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22.5" customHeight="1">
      <c r="A2077" s="23" t="s">
        <v>2987</v>
      </c>
      <c r="B2077" s="23" t="s">
        <v>871</v>
      </c>
      <c r="C2077" s="23" t="s">
        <v>2761</v>
      </c>
      <c r="D2077" s="23" t="s">
        <v>2962</v>
      </c>
      <c r="E2077" s="23" t="s">
        <v>971</v>
      </c>
      <c r="F2077" s="23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22.5" customHeight="1">
      <c r="A2078" s="23" t="s">
        <v>2988</v>
      </c>
      <c r="B2078" s="23" t="s">
        <v>876</v>
      </c>
      <c r="C2078" s="23" t="s">
        <v>2761</v>
      </c>
      <c r="D2078" s="23" t="s">
        <v>2962</v>
      </c>
      <c r="E2078" s="23" t="s">
        <v>971</v>
      </c>
      <c r="F2078" s="23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22.5" customHeight="1">
      <c r="A2079" s="23" t="s">
        <v>2989</v>
      </c>
      <c r="B2079" s="23" t="s">
        <v>879</v>
      </c>
      <c r="C2079" s="23" t="s">
        <v>2761</v>
      </c>
      <c r="D2079" s="23" t="s">
        <v>2962</v>
      </c>
      <c r="E2079" s="23" t="s">
        <v>949</v>
      </c>
      <c r="F2079" s="23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22.5" customHeight="1">
      <c r="A2080" s="23" t="s">
        <v>2990</v>
      </c>
      <c r="B2080" s="23" t="s">
        <v>881</v>
      </c>
      <c r="C2080" s="23" t="s">
        <v>2761</v>
      </c>
      <c r="D2080" s="23" t="s">
        <v>2962</v>
      </c>
      <c r="E2080" s="23" t="s">
        <v>971</v>
      </c>
      <c r="F2080" s="23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22.5" customHeight="1">
      <c r="A2081" s="23" t="s">
        <v>2991</v>
      </c>
      <c r="B2081" s="23" t="s">
        <v>883</v>
      </c>
      <c r="C2081" s="23" t="s">
        <v>2761</v>
      </c>
      <c r="D2081" s="23" t="s">
        <v>2962</v>
      </c>
      <c r="E2081" s="23" t="s">
        <v>971</v>
      </c>
      <c r="F2081" s="23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22.5" customHeight="1">
      <c r="A2082" s="23" t="s">
        <v>2992</v>
      </c>
      <c r="B2082" s="23" t="s">
        <v>885</v>
      </c>
      <c r="C2082" s="23" t="s">
        <v>2761</v>
      </c>
      <c r="D2082" s="23" t="s">
        <v>2962</v>
      </c>
      <c r="E2082" s="23" t="s">
        <v>971</v>
      </c>
      <c r="F2082" s="23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22.5" customHeight="1">
      <c r="A2083" s="23" t="s">
        <v>2993</v>
      </c>
      <c r="B2083" s="23" t="s">
        <v>887</v>
      </c>
      <c r="C2083" s="23" t="s">
        <v>2761</v>
      </c>
      <c r="D2083" s="23" t="s">
        <v>2962</v>
      </c>
      <c r="E2083" s="23" t="s">
        <v>949</v>
      </c>
      <c r="F2083" s="23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22.5" customHeight="1">
      <c r="A2084" s="23" t="s">
        <v>2994</v>
      </c>
      <c r="B2084" s="23" t="s">
        <v>892</v>
      </c>
      <c r="C2084" s="23" t="s">
        <v>2761</v>
      </c>
      <c r="D2084" s="23" t="s">
        <v>2962</v>
      </c>
      <c r="E2084" s="23" t="s">
        <v>971</v>
      </c>
      <c r="F2084" s="23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22.5" customHeight="1">
      <c r="A2085" s="23" t="s">
        <v>2995</v>
      </c>
      <c r="B2085" s="23" t="s">
        <v>935</v>
      </c>
      <c r="C2085" s="23" t="s">
        <v>2761</v>
      </c>
      <c r="D2085" s="23" t="s">
        <v>2962</v>
      </c>
      <c r="E2085" s="23" t="s">
        <v>949</v>
      </c>
      <c r="F2085" s="23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22.5" customHeight="1">
      <c r="A2086" s="23" t="s">
        <v>2996</v>
      </c>
      <c r="B2086" s="23" t="s">
        <v>895</v>
      </c>
      <c r="C2086" s="23" t="s">
        <v>2761</v>
      </c>
      <c r="D2086" s="23" t="s">
        <v>2962</v>
      </c>
      <c r="E2086" s="23" t="s">
        <v>971</v>
      </c>
      <c r="F2086" s="23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22.5" customHeight="1">
      <c r="A2087" s="23" t="s">
        <v>2997</v>
      </c>
      <c r="B2087" s="23" t="s">
        <v>897</v>
      </c>
      <c r="C2087" s="23" t="s">
        <v>2761</v>
      </c>
      <c r="D2087" s="23" t="s">
        <v>2962</v>
      </c>
      <c r="E2087" s="23" t="s">
        <v>971</v>
      </c>
      <c r="F2087" s="23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22.5" customHeight="1">
      <c r="A2088" s="23" t="s">
        <v>2998</v>
      </c>
      <c r="B2088" s="23" t="s">
        <v>889</v>
      </c>
      <c r="C2088" s="23" t="s">
        <v>2761</v>
      </c>
      <c r="D2088" s="23" t="s">
        <v>2962</v>
      </c>
      <c r="E2088" s="23" t="s">
        <v>949</v>
      </c>
      <c r="F2088" s="23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22.5" customHeight="1">
      <c r="A2089" s="23" t="s">
        <v>2999</v>
      </c>
      <c r="B2089" s="23" t="s">
        <v>899</v>
      </c>
      <c r="C2089" s="23" t="s">
        <v>2761</v>
      </c>
      <c r="D2089" s="23" t="s">
        <v>2962</v>
      </c>
      <c r="E2089" s="23" t="s">
        <v>971</v>
      </c>
      <c r="F2089" s="23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22.5" customHeight="1">
      <c r="A2090" s="23" t="s">
        <v>3000</v>
      </c>
      <c r="B2090" s="23" t="s">
        <v>901</v>
      </c>
      <c r="C2090" s="23" t="s">
        <v>2761</v>
      </c>
      <c r="D2090" s="23" t="s">
        <v>2962</v>
      </c>
      <c r="E2090" s="23" t="s">
        <v>971</v>
      </c>
      <c r="F2090" s="23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22.5" customHeight="1">
      <c r="A2091" s="23" t="s">
        <v>3001</v>
      </c>
      <c r="B2091" s="23" t="s">
        <v>904</v>
      </c>
      <c r="C2091" s="23" t="s">
        <v>2761</v>
      </c>
      <c r="D2091" s="23" t="s">
        <v>2962</v>
      </c>
      <c r="E2091" s="23" t="s">
        <v>971</v>
      </c>
      <c r="F2091" s="23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22.5" customHeight="1">
      <c r="A2092" s="23" t="s">
        <v>3002</v>
      </c>
      <c r="B2092" s="23" t="s">
        <v>906</v>
      </c>
      <c r="C2092" s="23" t="s">
        <v>2761</v>
      </c>
      <c r="D2092" s="23" t="s">
        <v>2962</v>
      </c>
      <c r="E2092" s="23" t="s">
        <v>971</v>
      </c>
      <c r="F2092" s="23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22.5" customHeight="1">
      <c r="A2093" s="23" t="s">
        <v>3003</v>
      </c>
      <c r="B2093" s="23" t="s">
        <v>908</v>
      </c>
      <c r="C2093" s="23" t="s">
        <v>2761</v>
      </c>
      <c r="D2093" s="23" t="s">
        <v>2962</v>
      </c>
      <c r="E2093" s="23" t="s">
        <v>971</v>
      </c>
      <c r="F2093" s="23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22.5" customHeight="1">
      <c r="A2094" s="23" t="s">
        <v>3004</v>
      </c>
      <c r="B2094" s="23" t="s">
        <v>936</v>
      </c>
      <c r="C2094" s="23" t="s">
        <v>2761</v>
      </c>
      <c r="D2094" s="23" t="s">
        <v>2962</v>
      </c>
      <c r="E2094" s="23" t="s">
        <v>971</v>
      </c>
      <c r="F2094" s="23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22.5" customHeight="1">
      <c r="A2095" s="23" t="s">
        <v>3005</v>
      </c>
      <c r="B2095" s="23" t="s">
        <v>910</v>
      </c>
      <c r="C2095" s="23" t="s">
        <v>2761</v>
      </c>
      <c r="D2095" s="23" t="s">
        <v>2962</v>
      </c>
      <c r="E2095" s="23" t="s">
        <v>971</v>
      </c>
      <c r="F2095" s="23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22.5" customHeight="1">
      <c r="A2096" s="23" t="s">
        <v>3006</v>
      </c>
      <c r="B2096" s="23" t="s">
        <v>937</v>
      </c>
      <c r="C2096" s="23" t="s">
        <v>2761</v>
      </c>
      <c r="D2096" s="23" t="s">
        <v>2962</v>
      </c>
      <c r="E2096" s="23" t="s">
        <v>949</v>
      </c>
      <c r="F2096" s="23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22.5" customHeight="1">
      <c r="A2097" s="23" t="s">
        <v>3007</v>
      </c>
      <c r="B2097" s="23" t="s">
        <v>912</v>
      </c>
      <c r="C2097" s="23" t="s">
        <v>2761</v>
      </c>
      <c r="D2097" s="23" t="s">
        <v>2962</v>
      </c>
      <c r="E2097" s="23" t="s">
        <v>971</v>
      </c>
      <c r="F2097" s="23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22.5" customHeight="1">
      <c r="A2098" s="23" t="s">
        <v>3008</v>
      </c>
      <c r="B2098" s="23" t="s">
        <v>938</v>
      </c>
      <c r="C2098" s="23" t="s">
        <v>2761</v>
      </c>
      <c r="D2098" s="23" t="s">
        <v>2962</v>
      </c>
      <c r="E2098" s="23" t="s">
        <v>949</v>
      </c>
      <c r="F2098" s="23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22.5" customHeight="1">
      <c r="A2099" s="23" t="s">
        <v>3009</v>
      </c>
      <c r="B2099" s="23" t="s">
        <v>914</v>
      </c>
      <c r="C2099" s="23" t="s">
        <v>2761</v>
      </c>
      <c r="D2099" s="23" t="s">
        <v>2962</v>
      </c>
      <c r="E2099" s="23" t="s">
        <v>971</v>
      </c>
      <c r="F2099" s="23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22.5" customHeight="1">
      <c r="A2100" s="23" t="s">
        <v>3010</v>
      </c>
      <c r="B2100" s="23" t="s">
        <v>939</v>
      </c>
      <c r="C2100" s="23" t="s">
        <v>2761</v>
      </c>
      <c r="D2100" s="23" t="s">
        <v>2962</v>
      </c>
      <c r="E2100" s="23" t="s">
        <v>971</v>
      </c>
      <c r="F2100" s="23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22.5" customHeight="1">
      <c r="A2101" s="23" t="s">
        <v>3011</v>
      </c>
      <c r="B2101" s="23" t="s">
        <v>917</v>
      </c>
      <c r="C2101" s="23" t="s">
        <v>2761</v>
      </c>
      <c r="D2101" s="23" t="s">
        <v>2962</v>
      </c>
      <c r="E2101" s="23" t="s">
        <v>949</v>
      </c>
      <c r="F2101" s="23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22.5" customHeight="1">
      <c r="A2102" s="23" t="s">
        <v>3012</v>
      </c>
      <c r="B2102" s="23" t="s">
        <v>873</v>
      </c>
      <c r="C2102" s="23" t="s">
        <v>2761</v>
      </c>
      <c r="D2102" s="23" t="s">
        <v>2962</v>
      </c>
      <c r="E2102" s="23" t="s">
        <v>971</v>
      </c>
      <c r="F2102" s="23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22.5" customHeight="1">
      <c r="A2103" s="23" t="s">
        <v>3013</v>
      </c>
      <c r="B2103" s="23" t="s">
        <v>920</v>
      </c>
      <c r="C2103" s="23" t="s">
        <v>2761</v>
      </c>
      <c r="D2103" s="23" t="s">
        <v>2962</v>
      </c>
      <c r="E2103" s="23" t="s">
        <v>949</v>
      </c>
      <c r="F2103" s="23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22.5" customHeight="1">
      <c r="A2104" s="23" t="s">
        <v>3014</v>
      </c>
      <c r="B2104" s="23" t="s">
        <v>923</v>
      </c>
      <c r="C2104" s="23" t="s">
        <v>2761</v>
      </c>
      <c r="D2104" s="23" t="s">
        <v>2962</v>
      </c>
      <c r="E2104" s="23" t="s">
        <v>971</v>
      </c>
      <c r="F2104" s="23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22.5" customHeight="1">
      <c r="A2105" s="23" t="s">
        <v>3015</v>
      </c>
      <c r="B2105" s="23" t="s">
        <v>926</v>
      </c>
      <c r="C2105" s="23" t="s">
        <v>2761</v>
      </c>
      <c r="D2105" s="23" t="s">
        <v>2962</v>
      </c>
      <c r="E2105" s="23" t="s">
        <v>971</v>
      </c>
      <c r="F2105" s="23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22.5" customHeight="1">
      <c r="A2106" s="23" t="s">
        <v>3016</v>
      </c>
      <c r="B2106" s="23" t="s">
        <v>929</v>
      </c>
      <c r="C2106" s="23" t="s">
        <v>2761</v>
      </c>
      <c r="D2106" s="23" t="s">
        <v>2962</v>
      </c>
      <c r="E2106" s="23" t="s">
        <v>971</v>
      </c>
      <c r="F2106" s="23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22.5" customHeight="1">
      <c r="A2107" s="23" t="s">
        <v>3017</v>
      </c>
      <c r="B2107" s="23" t="s">
        <v>932</v>
      </c>
      <c r="C2107" s="23" t="s">
        <v>2761</v>
      </c>
      <c r="D2107" s="23" t="s">
        <v>2962</v>
      </c>
      <c r="E2107" s="23" t="s">
        <v>971</v>
      </c>
      <c r="F2107" s="23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22.5" customHeight="1">
      <c r="A2108" s="23" t="s">
        <v>3018</v>
      </c>
      <c r="B2108" s="23" t="s">
        <v>934</v>
      </c>
      <c r="C2108" s="23" t="s">
        <v>2761</v>
      </c>
      <c r="D2108" s="23" t="s">
        <v>2962</v>
      </c>
      <c r="E2108" s="23" t="s">
        <v>971</v>
      </c>
      <c r="F2108" s="23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22.5" customHeight="1">
      <c r="A2109" s="23" t="s">
        <v>3019</v>
      </c>
      <c r="B2109" s="23" t="s">
        <v>942</v>
      </c>
      <c r="C2109" s="23" t="s">
        <v>2761</v>
      </c>
      <c r="D2109" s="23" t="s">
        <v>2962</v>
      </c>
      <c r="E2109" s="23" t="s">
        <v>971</v>
      </c>
      <c r="F2109" s="23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</sheetData>
  <dataValidations>
    <dataValidation allowBlank="1" showDropDown="1" sqref="A2:F2109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4" max="4" width="22.63"/>
    <col customWidth="1" min="5" max="5" width="56.13"/>
    <col customWidth="1" min="7" max="7" width="14.0"/>
    <col customWidth="1" min="10" max="10" width="6.13"/>
    <col customWidth="1" min="11" max="11" width="16.75"/>
    <col customWidth="1" min="12" max="12" width="15.88"/>
    <col customWidth="1" min="13" max="13" width="15.75"/>
  </cols>
  <sheetData>
    <row r="1" ht="22.5" customHeight="1">
      <c r="A1" s="28" t="s">
        <v>107</v>
      </c>
      <c r="B1" s="28" t="s">
        <v>154</v>
      </c>
      <c r="C1" s="28" t="s">
        <v>945</v>
      </c>
      <c r="D1" s="28" t="s">
        <v>946</v>
      </c>
      <c r="E1" s="28" t="s">
        <v>3020</v>
      </c>
      <c r="F1" s="28" t="s">
        <v>3021</v>
      </c>
      <c r="G1" s="28" t="s">
        <v>947</v>
      </c>
      <c r="H1" s="29" t="s">
        <v>3022</v>
      </c>
      <c r="I1" s="2"/>
      <c r="J1" s="2"/>
      <c r="K1" s="2"/>
      <c r="L1" s="2"/>
      <c r="M1" s="13" t="s">
        <v>3023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hidden="1" customHeight="1">
      <c r="A2" s="23" t="s">
        <v>116</v>
      </c>
      <c r="B2" s="23" t="s">
        <v>934</v>
      </c>
      <c r="C2" s="23" t="s">
        <v>3024</v>
      </c>
      <c r="D2" s="23" t="s">
        <v>3025</v>
      </c>
      <c r="E2" s="23" t="s">
        <v>3026</v>
      </c>
      <c r="F2" s="23" t="s">
        <v>3027</v>
      </c>
      <c r="G2" s="23"/>
      <c r="H2" s="30" t="str">
        <f t="array" ref="H2:H80">if(F2:F80="","",LOOKUP(F2:F80,$S$4:$S$7,$T$4:$T$7))</f>
        <v>4</v>
      </c>
      <c r="I2" s="2" t="s">
        <v>806</v>
      </c>
      <c r="J2" s="3" t="s">
        <v>11</v>
      </c>
      <c r="K2" s="3" t="s">
        <v>12</v>
      </c>
      <c r="L2" s="3" t="s">
        <v>3028</v>
      </c>
      <c r="M2" s="16">
        <f t="shared" ref="M2:M35" si="1">IF(B2="","",ROUND(SUMPRODUCT((B$2:B80=B2)*(H$2:H80))/COUNTIF(B$2:B80,B2),2))</f>
        <v>3.75</v>
      </c>
      <c r="N2" s="2">
        <f t="array" ref="N2:N11">if(I2:I11="","", COUNTIF(B:B,I2:I11))</f>
        <v>9</v>
      </c>
      <c r="O2" s="2">
        <f t="shared" ref="O2:O11" si="2">SUMIF(B:B,"I2",H:H)</f>
        <v>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2.5" hidden="1" customHeight="1">
      <c r="A3" s="23" t="s">
        <v>833</v>
      </c>
      <c r="B3" s="23" t="s">
        <v>937</v>
      </c>
      <c r="C3" s="23" t="s">
        <v>3024</v>
      </c>
      <c r="D3" s="23" t="s">
        <v>3025</v>
      </c>
      <c r="E3" s="23" t="s">
        <v>3029</v>
      </c>
      <c r="F3" s="23" t="s">
        <v>3027</v>
      </c>
      <c r="G3" s="23"/>
      <c r="H3" s="30" t="s">
        <v>131</v>
      </c>
      <c r="I3" s="2" t="s">
        <v>967</v>
      </c>
      <c r="J3" s="3" t="s">
        <v>17</v>
      </c>
      <c r="K3" s="3" t="s">
        <v>18</v>
      </c>
      <c r="L3" s="3" t="s">
        <v>3028</v>
      </c>
      <c r="M3" s="16">
        <f t="shared" si="1"/>
        <v>4</v>
      </c>
      <c r="N3" s="2">
        <v>0.0</v>
      </c>
      <c r="O3" s="2">
        <f t="shared" si="2"/>
        <v>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2.5" hidden="1" customHeight="1">
      <c r="A4" s="23" t="s">
        <v>793</v>
      </c>
      <c r="B4" s="23" t="s">
        <v>936</v>
      </c>
      <c r="C4" s="23" t="s">
        <v>3024</v>
      </c>
      <c r="D4" s="23" t="s">
        <v>3025</v>
      </c>
      <c r="E4" s="23" t="s">
        <v>3030</v>
      </c>
      <c r="F4" s="23" t="s">
        <v>3027</v>
      </c>
      <c r="G4" s="23"/>
      <c r="H4" s="30" t="s">
        <v>131</v>
      </c>
      <c r="I4" s="2" t="s">
        <v>804</v>
      </c>
      <c r="J4" s="3" t="s">
        <v>25</v>
      </c>
      <c r="K4" s="3" t="s">
        <v>26</v>
      </c>
      <c r="L4" s="3" t="s">
        <v>3028</v>
      </c>
      <c r="M4" s="16">
        <f t="shared" si="1"/>
        <v>3.89</v>
      </c>
      <c r="N4" s="2">
        <v>10.0</v>
      </c>
      <c r="O4" s="2">
        <f t="shared" si="2"/>
        <v>0</v>
      </c>
      <c r="P4" s="2"/>
      <c r="Q4" s="2"/>
      <c r="R4" s="2"/>
      <c r="S4" s="3" t="s">
        <v>3027</v>
      </c>
      <c r="T4" s="3" t="s">
        <v>137</v>
      </c>
      <c r="U4" s="2"/>
      <c r="V4" s="2"/>
      <c r="W4" s="2"/>
      <c r="X4" s="2"/>
      <c r="Y4" s="2"/>
      <c r="Z4" s="2"/>
      <c r="AA4" s="2"/>
      <c r="AB4" s="2"/>
    </row>
    <row r="5" ht="22.5" hidden="1" customHeight="1">
      <c r="A5" s="23" t="s">
        <v>867</v>
      </c>
      <c r="B5" s="23" t="s">
        <v>935</v>
      </c>
      <c r="C5" s="23" t="s">
        <v>3024</v>
      </c>
      <c r="D5" s="23" t="s">
        <v>3025</v>
      </c>
      <c r="E5" s="23" t="s">
        <v>3031</v>
      </c>
      <c r="F5" s="23" t="s">
        <v>3032</v>
      </c>
      <c r="G5" s="23"/>
      <c r="H5" s="30" t="s">
        <v>131</v>
      </c>
      <c r="I5" s="3" t="s">
        <v>978</v>
      </c>
      <c r="J5" s="3" t="s">
        <v>33</v>
      </c>
      <c r="K5" s="3" t="s">
        <v>34</v>
      </c>
      <c r="L5" s="3" t="s">
        <v>3028</v>
      </c>
      <c r="M5" s="16">
        <f t="shared" si="1"/>
        <v>4</v>
      </c>
      <c r="N5" s="2">
        <v>0.0</v>
      </c>
      <c r="O5" s="2">
        <f t="shared" si="2"/>
        <v>0</v>
      </c>
      <c r="P5" s="2"/>
      <c r="Q5" s="2"/>
      <c r="R5" s="2"/>
      <c r="S5" s="3" t="s">
        <v>3032</v>
      </c>
      <c r="T5" s="3" t="s">
        <v>131</v>
      </c>
      <c r="U5" s="2"/>
      <c r="V5" s="2"/>
      <c r="W5" s="2"/>
      <c r="X5" s="2"/>
      <c r="Y5" s="2"/>
      <c r="Z5" s="2"/>
      <c r="AA5" s="2"/>
      <c r="AB5" s="2"/>
    </row>
    <row r="6" ht="22.5" hidden="1" customHeight="1">
      <c r="A6" s="23" t="s">
        <v>883</v>
      </c>
      <c r="B6" s="23" t="s">
        <v>938</v>
      </c>
      <c r="C6" s="23" t="s">
        <v>3024</v>
      </c>
      <c r="D6" s="23" t="s">
        <v>3025</v>
      </c>
      <c r="E6" s="23" t="s">
        <v>3033</v>
      </c>
      <c r="F6" s="23" t="s">
        <v>3027</v>
      </c>
      <c r="G6" s="23"/>
      <c r="H6" s="30" t="s">
        <v>131</v>
      </c>
      <c r="I6" s="2" t="s">
        <v>935</v>
      </c>
      <c r="J6" s="3" t="s">
        <v>40</v>
      </c>
      <c r="K6" s="3" t="s">
        <v>41</v>
      </c>
      <c r="L6" s="3" t="s">
        <v>3034</v>
      </c>
      <c r="M6" s="16">
        <f t="shared" si="1"/>
        <v>4</v>
      </c>
      <c r="N6" s="2">
        <v>9.0</v>
      </c>
      <c r="O6" s="2">
        <f t="shared" si="2"/>
        <v>0</v>
      </c>
      <c r="P6" s="2"/>
      <c r="Q6" s="2"/>
      <c r="R6" s="2"/>
      <c r="S6" s="3" t="s">
        <v>3035</v>
      </c>
      <c r="T6" s="3" t="s">
        <v>123</v>
      </c>
      <c r="U6" s="2"/>
      <c r="V6" s="2"/>
      <c r="W6" s="2"/>
      <c r="X6" s="2"/>
      <c r="Y6" s="2"/>
      <c r="Z6" s="2"/>
      <c r="AA6" s="2"/>
      <c r="AB6" s="2"/>
    </row>
    <row r="7" ht="22.5" hidden="1" customHeight="1">
      <c r="A7" s="23" t="s">
        <v>889</v>
      </c>
      <c r="B7" s="23" t="s">
        <v>806</v>
      </c>
      <c r="C7" s="23" t="s">
        <v>3024</v>
      </c>
      <c r="D7" s="23" t="s">
        <v>3025</v>
      </c>
      <c r="E7" s="23" t="s">
        <v>3036</v>
      </c>
      <c r="F7" s="23" t="s">
        <v>3027</v>
      </c>
      <c r="G7" s="23"/>
      <c r="H7" s="30" t="s">
        <v>131</v>
      </c>
      <c r="I7" s="2" t="s">
        <v>938</v>
      </c>
      <c r="J7" s="3" t="s">
        <v>47</v>
      </c>
      <c r="K7" s="3" t="s">
        <v>48</v>
      </c>
      <c r="L7" s="3" t="s">
        <v>3034</v>
      </c>
      <c r="M7" s="16">
        <f t="shared" si="1"/>
        <v>4</v>
      </c>
      <c r="N7" s="2">
        <v>8.0</v>
      </c>
      <c r="O7" s="2">
        <f t="shared" si="2"/>
        <v>0</v>
      </c>
      <c r="P7" s="2"/>
      <c r="Q7" s="2"/>
      <c r="R7" s="2"/>
      <c r="S7" s="3" t="s">
        <v>3037</v>
      </c>
      <c r="T7" s="3" t="s">
        <v>3038</v>
      </c>
      <c r="U7" s="2"/>
      <c r="V7" s="2"/>
      <c r="W7" s="2"/>
      <c r="X7" s="2"/>
      <c r="Y7" s="2"/>
      <c r="Z7" s="2"/>
      <c r="AA7" s="2"/>
      <c r="AB7" s="2"/>
    </row>
    <row r="8" ht="22.5" hidden="1" customHeight="1">
      <c r="A8" s="23" t="s">
        <v>936</v>
      </c>
      <c r="B8" s="23" t="s">
        <v>810</v>
      </c>
      <c r="C8" s="23" t="s">
        <v>3024</v>
      </c>
      <c r="D8" s="23" t="s">
        <v>3025</v>
      </c>
      <c r="E8" s="23" t="s">
        <v>3039</v>
      </c>
      <c r="F8" s="23" t="s">
        <v>3032</v>
      </c>
      <c r="G8" s="23"/>
      <c r="H8" s="30" t="s">
        <v>131</v>
      </c>
      <c r="I8" s="2" t="s">
        <v>936</v>
      </c>
      <c r="J8" s="3" t="s">
        <v>53</v>
      </c>
      <c r="K8" s="3" t="s">
        <v>54</v>
      </c>
      <c r="L8" s="3" t="s">
        <v>3034</v>
      </c>
      <c r="M8" s="16">
        <f t="shared" si="1"/>
        <v>3.89</v>
      </c>
      <c r="N8" s="2">
        <v>9.0</v>
      </c>
      <c r="O8" s="2">
        <f t="shared" si="2"/>
        <v>0</v>
      </c>
      <c r="P8" s="2"/>
      <c r="Q8" s="2"/>
      <c r="R8" s="2"/>
      <c r="U8" s="2"/>
      <c r="V8" s="2"/>
      <c r="W8" s="2"/>
      <c r="X8" s="2"/>
      <c r="Y8" s="2"/>
      <c r="Z8" s="2"/>
      <c r="AA8" s="2"/>
      <c r="AB8" s="2"/>
    </row>
    <row r="9" ht="22.5" hidden="1" customHeight="1">
      <c r="A9" s="23" t="s">
        <v>914</v>
      </c>
      <c r="B9" s="23" t="s">
        <v>804</v>
      </c>
      <c r="C9" s="23" t="s">
        <v>3024</v>
      </c>
      <c r="D9" s="23" t="s">
        <v>3025</v>
      </c>
      <c r="E9" s="23" t="s">
        <v>3040</v>
      </c>
      <c r="F9" s="23" t="s">
        <v>3032</v>
      </c>
      <c r="G9" s="23"/>
      <c r="H9" s="30" t="s">
        <v>131</v>
      </c>
      <c r="I9" s="2" t="s">
        <v>934</v>
      </c>
      <c r="J9" s="3" t="s">
        <v>59</v>
      </c>
      <c r="K9" s="3" t="s">
        <v>60</v>
      </c>
      <c r="L9" s="3" t="s">
        <v>3034</v>
      </c>
      <c r="M9" s="16">
        <f t="shared" si="1"/>
        <v>3.8</v>
      </c>
      <c r="N9" s="2">
        <v>8.0</v>
      </c>
      <c r="O9" s="2">
        <f t="shared" si="2"/>
        <v>0</v>
      </c>
      <c r="P9" s="2"/>
      <c r="Q9" s="2"/>
      <c r="R9" s="2"/>
      <c r="U9" s="2"/>
      <c r="V9" s="2"/>
      <c r="W9" s="2"/>
      <c r="X9" s="2"/>
      <c r="Y9" s="2"/>
      <c r="Z9" s="2"/>
      <c r="AA9" s="2"/>
      <c r="AB9" s="2"/>
    </row>
    <row r="10" ht="22.5" hidden="1" customHeight="1">
      <c r="A10" s="23" t="s">
        <v>798</v>
      </c>
      <c r="B10" s="23" t="s">
        <v>809</v>
      </c>
      <c r="C10" s="23" t="s">
        <v>3024</v>
      </c>
      <c r="D10" s="23" t="s">
        <v>3025</v>
      </c>
      <c r="E10" s="23" t="s">
        <v>3041</v>
      </c>
      <c r="F10" s="23" t="s">
        <v>3032</v>
      </c>
      <c r="G10" s="23"/>
      <c r="H10" s="30" t="s">
        <v>131</v>
      </c>
      <c r="I10" s="2" t="s">
        <v>942</v>
      </c>
      <c r="J10" s="3" t="s">
        <v>66</v>
      </c>
      <c r="K10" s="3" t="s">
        <v>67</v>
      </c>
      <c r="L10" s="3" t="s">
        <v>3034</v>
      </c>
      <c r="M10" s="16">
        <f t="shared" si="1"/>
        <v>3.44</v>
      </c>
      <c r="N10" s="2">
        <v>0.0</v>
      </c>
      <c r="O10" s="2">
        <f t="shared" si="2"/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2.5" hidden="1" customHeight="1">
      <c r="A11" s="23" t="s">
        <v>137</v>
      </c>
      <c r="B11" s="23" t="s">
        <v>934</v>
      </c>
      <c r="C11" s="23" t="s">
        <v>3024</v>
      </c>
      <c r="D11" s="23" t="s">
        <v>3042</v>
      </c>
      <c r="E11" s="23" t="s">
        <v>3043</v>
      </c>
      <c r="F11" s="23" t="s">
        <v>3032</v>
      </c>
      <c r="G11" s="23"/>
      <c r="H11" s="30" t="s">
        <v>131</v>
      </c>
      <c r="I11" s="2" t="s">
        <v>937</v>
      </c>
      <c r="J11" s="3" t="s">
        <v>72</v>
      </c>
      <c r="K11" s="3" t="s">
        <v>73</v>
      </c>
      <c r="L11" s="3" t="s">
        <v>3034</v>
      </c>
      <c r="M11" s="16">
        <f t="shared" si="1"/>
        <v>3.75</v>
      </c>
      <c r="N11" s="2">
        <v>8.0</v>
      </c>
      <c r="O11" s="2">
        <f t="shared" si="2"/>
        <v>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2.5" hidden="1" customHeight="1">
      <c r="A12" s="23" t="s">
        <v>811</v>
      </c>
      <c r="B12" s="23" t="s">
        <v>937</v>
      </c>
      <c r="C12" s="23" t="s">
        <v>3024</v>
      </c>
      <c r="D12" s="23" t="s">
        <v>3042</v>
      </c>
      <c r="E12" s="23" t="s">
        <v>3044</v>
      </c>
      <c r="F12" s="23" t="s">
        <v>3027</v>
      </c>
      <c r="G12" s="23"/>
      <c r="H12" s="30" t="s">
        <v>131</v>
      </c>
      <c r="I12" s="2"/>
      <c r="J12" s="2"/>
      <c r="K12" s="2"/>
      <c r="L12" s="2"/>
      <c r="M12" s="16">
        <f t="shared" si="1"/>
        <v>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2.5" hidden="1" customHeight="1">
      <c r="A13" s="23" t="s">
        <v>855</v>
      </c>
      <c r="B13" s="23" t="s">
        <v>936</v>
      </c>
      <c r="C13" s="23" t="s">
        <v>3024</v>
      </c>
      <c r="D13" s="23" t="s">
        <v>3042</v>
      </c>
      <c r="E13" s="23" t="s">
        <v>3045</v>
      </c>
      <c r="F13" s="23" t="s">
        <v>3032</v>
      </c>
      <c r="G13" s="23"/>
      <c r="H13" s="30" t="s">
        <v>131</v>
      </c>
      <c r="I13" s="2"/>
      <c r="J13" s="2"/>
      <c r="K13" s="2"/>
      <c r="L13" s="2"/>
      <c r="M13" s="16">
        <f t="shared" si="1"/>
        <v>3.89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2.5" hidden="1" customHeight="1">
      <c r="A14" s="23" t="s">
        <v>876</v>
      </c>
      <c r="B14" s="23" t="s">
        <v>935</v>
      </c>
      <c r="C14" s="23" t="s">
        <v>3024</v>
      </c>
      <c r="D14" s="23" t="s">
        <v>3042</v>
      </c>
      <c r="E14" s="23" t="s">
        <v>3046</v>
      </c>
      <c r="F14" s="23" t="s">
        <v>3032</v>
      </c>
      <c r="G14" s="23"/>
      <c r="H14" s="30" t="s">
        <v>131</v>
      </c>
      <c r="I14" s="2"/>
      <c r="J14" s="2"/>
      <c r="K14" s="2"/>
      <c r="L14" s="2"/>
      <c r="M14" s="16">
        <f t="shared" si="1"/>
        <v>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2.5" hidden="1" customHeight="1">
      <c r="A15" s="23" t="s">
        <v>756</v>
      </c>
      <c r="B15" s="23" t="s">
        <v>938</v>
      </c>
      <c r="C15" s="23" t="s">
        <v>3024</v>
      </c>
      <c r="D15" s="23" t="s">
        <v>3042</v>
      </c>
      <c r="E15" s="23" t="s">
        <v>3047</v>
      </c>
      <c r="F15" s="23" t="s">
        <v>3027</v>
      </c>
      <c r="G15" s="23"/>
      <c r="H15" s="30" t="s">
        <v>131</v>
      </c>
      <c r="I15" s="2"/>
      <c r="J15" s="2"/>
      <c r="K15" s="2"/>
      <c r="L15" s="2"/>
      <c r="M15" s="16">
        <f t="shared" si="1"/>
        <v>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2.5" hidden="1" customHeight="1">
      <c r="A16" s="23" t="s">
        <v>897</v>
      </c>
      <c r="B16" s="23" t="s">
        <v>806</v>
      </c>
      <c r="C16" s="23" t="s">
        <v>3024</v>
      </c>
      <c r="D16" s="23" t="s">
        <v>3042</v>
      </c>
      <c r="E16" s="23" t="s">
        <v>3048</v>
      </c>
      <c r="F16" s="23" t="s">
        <v>3027</v>
      </c>
      <c r="G16" s="23"/>
      <c r="H16" s="30" t="s">
        <v>131</v>
      </c>
      <c r="I16" s="2"/>
      <c r="J16" s="2"/>
      <c r="K16" s="2"/>
      <c r="L16" s="2"/>
      <c r="M16" s="16">
        <f t="shared" si="1"/>
        <v>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2.5" hidden="1" customHeight="1">
      <c r="A17" s="23" t="s">
        <v>910</v>
      </c>
      <c r="B17" s="23" t="s">
        <v>810</v>
      </c>
      <c r="C17" s="23" t="s">
        <v>3024</v>
      </c>
      <c r="D17" s="23" t="s">
        <v>3042</v>
      </c>
      <c r="E17" s="23" t="s">
        <v>3049</v>
      </c>
      <c r="F17" s="23" t="s">
        <v>3032</v>
      </c>
      <c r="G17" s="23"/>
      <c r="H17" s="30" t="s">
        <v>131</v>
      </c>
      <c r="I17" s="2"/>
      <c r="J17" s="2"/>
      <c r="K17" s="2"/>
      <c r="L17" s="2"/>
      <c r="M17" s="16">
        <f t="shared" si="1"/>
        <v>3.89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2.5" hidden="1" customHeight="1">
      <c r="A18" s="23" t="s">
        <v>708</v>
      </c>
      <c r="B18" s="23" t="s">
        <v>804</v>
      </c>
      <c r="C18" s="23" t="s">
        <v>3024</v>
      </c>
      <c r="D18" s="23" t="s">
        <v>3042</v>
      </c>
      <c r="E18" s="23" t="s">
        <v>3050</v>
      </c>
      <c r="F18" s="23" t="s">
        <v>3032</v>
      </c>
      <c r="G18" s="23"/>
      <c r="H18" s="30" t="s">
        <v>131</v>
      </c>
      <c r="I18" s="2"/>
      <c r="J18" s="2"/>
      <c r="K18" s="2"/>
      <c r="L18" s="2"/>
      <c r="M18" s="16">
        <f t="shared" si="1"/>
        <v>3.8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2.5" hidden="1" customHeight="1">
      <c r="A19" s="23" t="s">
        <v>704</v>
      </c>
      <c r="B19" s="23" t="s">
        <v>809</v>
      </c>
      <c r="C19" s="23" t="s">
        <v>3024</v>
      </c>
      <c r="D19" s="23" t="s">
        <v>3042</v>
      </c>
      <c r="E19" s="23" t="s">
        <v>3051</v>
      </c>
      <c r="F19" s="23" t="s">
        <v>3032</v>
      </c>
      <c r="G19" s="23"/>
      <c r="H19" s="30" t="s">
        <v>131</v>
      </c>
      <c r="I19" s="2"/>
      <c r="J19" s="2"/>
      <c r="K19" s="2"/>
      <c r="L19" s="2"/>
      <c r="M19" s="16">
        <f t="shared" si="1"/>
        <v>3.44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2.5" hidden="1" customHeight="1">
      <c r="A20" s="23" t="s">
        <v>148</v>
      </c>
      <c r="B20" s="23" t="s">
        <v>934</v>
      </c>
      <c r="C20" s="23" t="s">
        <v>3024</v>
      </c>
      <c r="D20" s="23" t="s">
        <v>3052</v>
      </c>
      <c r="E20" s="23" t="s">
        <v>3053</v>
      </c>
      <c r="F20" s="23" t="s">
        <v>3032</v>
      </c>
      <c r="G20" s="23"/>
      <c r="H20" s="30" t="s">
        <v>131</v>
      </c>
      <c r="I20" s="2"/>
      <c r="J20" s="2"/>
      <c r="K20" s="2"/>
      <c r="L20" s="2"/>
      <c r="M20" s="16">
        <f t="shared" si="1"/>
        <v>3.75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2.5" hidden="1" customHeight="1">
      <c r="A21" s="23" t="s">
        <v>844</v>
      </c>
      <c r="B21" s="23" t="s">
        <v>937</v>
      </c>
      <c r="C21" s="23" t="s">
        <v>3024</v>
      </c>
      <c r="D21" s="23" t="s">
        <v>3052</v>
      </c>
      <c r="E21" s="23" t="s">
        <v>3054</v>
      </c>
      <c r="F21" s="23" t="s">
        <v>3032</v>
      </c>
      <c r="G21" s="23"/>
      <c r="H21" s="30" t="s">
        <v>131</v>
      </c>
      <c r="I21" s="2"/>
      <c r="J21" s="2"/>
      <c r="K21" s="2"/>
      <c r="L21" s="2"/>
      <c r="M21" s="16">
        <f t="shared" si="1"/>
        <v>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2.5" hidden="1" customHeight="1">
      <c r="A22" s="23" t="s">
        <v>846</v>
      </c>
      <c r="B22" s="23" t="s">
        <v>936</v>
      </c>
      <c r="C22" s="23" t="s">
        <v>3024</v>
      </c>
      <c r="D22" s="23" t="s">
        <v>3052</v>
      </c>
      <c r="E22" s="23" t="s">
        <v>3039</v>
      </c>
      <c r="F22" s="23" t="s">
        <v>3032</v>
      </c>
      <c r="G22" s="23"/>
      <c r="H22" s="30" t="s">
        <v>131</v>
      </c>
      <c r="I22" s="2"/>
      <c r="J22" s="2"/>
      <c r="K22" s="2"/>
      <c r="L22" s="2"/>
      <c r="M22" s="16">
        <f t="shared" si="1"/>
        <v>3.89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2.5" hidden="1" customHeight="1">
      <c r="A23" s="23" t="s">
        <v>869</v>
      </c>
      <c r="B23" s="23" t="s">
        <v>935</v>
      </c>
      <c r="C23" s="23" t="s">
        <v>3024</v>
      </c>
      <c r="D23" s="23" t="s">
        <v>3052</v>
      </c>
      <c r="E23" s="23" t="s">
        <v>3055</v>
      </c>
      <c r="F23" s="23" t="s">
        <v>3032</v>
      </c>
      <c r="G23" s="23"/>
      <c r="H23" s="30" t="s">
        <v>131</v>
      </c>
      <c r="I23" s="2"/>
      <c r="J23" s="2"/>
      <c r="K23" s="2"/>
      <c r="L23" s="2"/>
      <c r="M23" s="16">
        <f t="shared" si="1"/>
        <v>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2.5" hidden="1" customHeight="1">
      <c r="A24" s="23" t="s">
        <v>796</v>
      </c>
      <c r="B24" s="23" t="s">
        <v>938</v>
      </c>
      <c r="C24" s="23" t="s">
        <v>3024</v>
      </c>
      <c r="D24" s="23" t="s">
        <v>3052</v>
      </c>
      <c r="E24" s="23" t="s">
        <v>3056</v>
      </c>
      <c r="F24" s="23" t="s">
        <v>3032</v>
      </c>
      <c r="G24" s="23"/>
      <c r="H24" s="30" t="s">
        <v>131</v>
      </c>
      <c r="I24" s="2"/>
      <c r="J24" s="2"/>
      <c r="K24" s="2"/>
      <c r="L24" s="2"/>
      <c r="M24" s="16">
        <f t="shared" si="1"/>
        <v>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2.5" hidden="1" customHeight="1">
      <c r="A25" s="23" t="s">
        <v>901</v>
      </c>
      <c r="B25" s="23" t="s">
        <v>806</v>
      </c>
      <c r="C25" s="23" t="s">
        <v>3024</v>
      </c>
      <c r="D25" s="23" t="s">
        <v>3052</v>
      </c>
      <c r="E25" s="23" t="s">
        <v>3057</v>
      </c>
      <c r="F25" s="23" t="s">
        <v>3032</v>
      </c>
      <c r="G25" s="23"/>
      <c r="H25" s="30" t="s">
        <v>131</v>
      </c>
      <c r="I25" s="2"/>
      <c r="J25" s="2"/>
      <c r="K25" s="2"/>
      <c r="L25" s="2"/>
      <c r="M25" s="16">
        <f t="shared" si="1"/>
        <v>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2.5" hidden="1" customHeight="1">
      <c r="A26" s="23" t="s">
        <v>954</v>
      </c>
      <c r="B26" s="23" t="s">
        <v>810</v>
      </c>
      <c r="C26" s="23" t="s">
        <v>3024</v>
      </c>
      <c r="D26" s="23" t="s">
        <v>3052</v>
      </c>
      <c r="E26" s="23" t="s">
        <v>3058</v>
      </c>
      <c r="F26" s="23" t="s">
        <v>3035</v>
      </c>
      <c r="G26" s="23"/>
      <c r="H26" s="30" t="s">
        <v>123</v>
      </c>
      <c r="I26" s="2"/>
      <c r="J26" s="2"/>
      <c r="K26" s="2"/>
      <c r="L26" s="2"/>
      <c r="M26" s="16">
        <f t="shared" si="1"/>
        <v>3.89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2.5" hidden="1" customHeight="1">
      <c r="A27" s="23" t="s">
        <v>719</v>
      </c>
      <c r="B27" s="23" t="s">
        <v>804</v>
      </c>
      <c r="C27" s="23" t="s">
        <v>3024</v>
      </c>
      <c r="D27" s="23" t="s">
        <v>3052</v>
      </c>
      <c r="E27" s="23" t="s">
        <v>3059</v>
      </c>
      <c r="F27" s="23" t="s">
        <v>3035</v>
      </c>
      <c r="G27" s="23"/>
      <c r="H27" s="30" t="s">
        <v>123</v>
      </c>
      <c r="I27" s="2"/>
      <c r="J27" s="2"/>
      <c r="K27" s="2"/>
      <c r="L27" s="2"/>
      <c r="M27" s="16">
        <f t="shared" si="1"/>
        <v>3.8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2.5" hidden="1" customHeight="1">
      <c r="A28" s="23" t="s">
        <v>784</v>
      </c>
      <c r="B28" s="23" t="s">
        <v>809</v>
      </c>
      <c r="C28" s="23" t="s">
        <v>3024</v>
      </c>
      <c r="D28" s="23" t="s">
        <v>3052</v>
      </c>
      <c r="E28" s="23" t="s">
        <v>3060</v>
      </c>
      <c r="F28" s="23" t="s">
        <v>3035</v>
      </c>
      <c r="G28" s="23"/>
      <c r="H28" s="30" t="s">
        <v>123</v>
      </c>
      <c r="I28" s="2"/>
      <c r="J28" s="2"/>
      <c r="K28" s="2"/>
      <c r="L28" s="2"/>
      <c r="M28" s="16">
        <f t="shared" si="1"/>
        <v>3.44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2.5" hidden="1" customHeight="1">
      <c r="A29" s="23" t="s">
        <v>807</v>
      </c>
      <c r="B29" s="23" t="s">
        <v>934</v>
      </c>
      <c r="C29" s="23" t="s">
        <v>3024</v>
      </c>
      <c r="D29" s="23" t="s">
        <v>3061</v>
      </c>
      <c r="E29" s="23" t="s">
        <v>3062</v>
      </c>
      <c r="F29" s="23" t="s">
        <v>3032</v>
      </c>
      <c r="G29" s="23"/>
      <c r="H29" s="30" t="s">
        <v>131</v>
      </c>
      <c r="I29" s="2"/>
      <c r="J29" s="2"/>
      <c r="K29" s="2"/>
      <c r="L29" s="2"/>
      <c r="M29" s="16">
        <f t="shared" si="1"/>
        <v>3.75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2.5" hidden="1" customHeight="1">
      <c r="A30" s="23" t="s">
        <v>838</v>
      </c>
      <c r="B30" s="23" t="s">
        <v>937</v>
      </c>
      <c r="C30" s="23" t="s">
        <v>3024</v>
      </c>
      <c r="D30" s="23" t="s">
        <v>3061</v>
      </c>
      <c r="E30" s="23" t="s">
        <v>3063</v>
      </c>
      <c r="F30" s="23" t="s">
        <v>3027</v>
      </c>
      <c r="G30" s="23"/>
      <c r="H30" s="30" t="s">
        <v>131</v>
      </c>
      <c r="I30" s="2"/>
      <c r="J30" s="2"/>
      <c r="K30" s="2"/>
      <c r="L30" s="2"/>
      <c r="M30" s="16">
        <f t="shared" si="1"/>
        <v>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2.5" hidden="1" customHeight="1">
      <c r="A31" s="23" t="s">
        <v>950</v>
      </c>
      <c r="B31" s="23" t="s">
        <v>936</v>
      </c>
      <c r="C31" s="23" t="s">
        <v>3024</v>
      </c>
      <c r="D31" s="23" t="s">
        <v>3061</v>
      </c>
      <c r="E31" s="23" t="s">
        <v>3064</v>
      </c>
      <c r="F31" s="23" t="s">
        <v>3032</v>
      </c>
      <c r="G31" s="23"/>
      <c r="H31" s="30" t="s">
        <v>131</v>
      </c>
      <c r="I31" s="2"/>
      <c r="J31" s="2"/>
      <c r="K31" s="2"/>
      <c r="L31" s="2"/>
      <c r="M31" s="16">
        <f t="shared" si="1"/>
        <v>3.89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2.5" hidden="1" customHeight="1">
      <c r="A32" s="23" t="s">
        <v>764</v>
      </c>
      <c r="B32" s="23" t="s">
        <v>935</v>
      </c>
      <c r="C32" s="23" t="s">
        <v>3024</v>
      </c>
      <c r="D32" s="23" t="s">
        <v>3061</v>
      </c>
      <c r="E32" s="23" t="s">
        <v>3065</v>
      </c>
      <c r="F32" s="23" t="s">
        <v>3027</v>
      </c>
      <c r="G32" s="23"/>
      <c r="H32" s="30" t="s">
        <v>131</v>
      </c>
      <c r="I32" s="2"/>
      <c r="J32" s="2"/>
      <c r="K32" s="2"/>
      <c r="L32" s="2"/>
      <c r="M32" s="16">
        <f t="shared" si="1"/>
        <v>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2.5" hidden="1" customHeight="1">
      <c r="A33" s="23" t="s">
        <v>885</v>
      </c>
      <c r="B33" s="23" t="s">
        <v>938</v>
      </c>
      <c r="C33" s="23" t="s">
        <v>3024</v>
      </c>
      <c r="D33" s="23" t="s">
        <v>3061</v>
      </c>
      <c r="E33" s="23" t="s">
        <v>3066</v>
      </c>
      <c r="F33" s="23" t="s">
        <v>3027</v>
      </c>
      <c r="G33" s="23"/>
      <c r="H33" s="30" t="s">
        <v>131</v>
      </c>
      <c r="I33" s="2"/>
      <c r="J33" s="2"/>
      <c r="K33" s="2"/>
      <c r="L33" s="2"/>
      <c r="M33" s="16">
        <f t="shared" si="1"/>
        <v>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2.5" hidden="1" customHeight="1">
      <c r="A34" s="23" t="s">
        <v>952</v>
      </c>
      <c r="B34" s="23" t="s">
        <v>806</v>
      </c>
      <c r="C34" s="23" t="s">
        <v>3024</v>
      </c>
      <c r="D34" s="23" t="s">
        <v>3061</v>
      </c>
      <c r="E34" s="23" t="s">
        <v>3065</v>
      </c>
      <c r="F34" s="23" t="s">
        <v>3027</v>
      </c>
      <c r="G34" s="23"/>
      <c r="H34" s="30" t="s">
        <v>131</v>
      </c>
      <c r="I34" s="2"/>
      <c r="J34" s="2"/>
      <c r="K34" s="2"/>
      <c r="L34" s="2"/>
      <c r="M34" s="16">
        <f t="shared" si="1"/>
        <v>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2.5" hidden="1" customHeight="1">
      <c r="A35" s="23" t="s">
        <v>912</v>
      </c>
      <c r="B35" s="23" t="s">
        <v>810</v>
      </c>
      <c r="C35" s="23" t="s">
        <v>3024</v>
      </c>
      <c r="D35" s="23" t="s">
        <v>3061</v>
      </c>
      <c r="E35" s="23" t="s">
        <v>3067</v>
      </c>
      <c r="F35" s="23" t="s">
        <v>3027</v>
      </c>
      <c r="G35" s="23"/>
      <c r="H35" s="30" t="s">
        <v>131</v>
      </c>
      <c r="I35" s="2"/>
      <c r="J35" s="2"/>
      <c r="K35" s="2"/>
      <c r="L35" s="2"/>
      <c r="M35" s="16">
        <f t="shared" si="1"/>
        <v>3.89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2.5" hidden="1" customHeight="1">
      <c r="A36" s="23" t="s">
        <v>771</v>
      </c>
      <c r="B36" s="23" t="s">
        <v>804</v>
      </c>
      <c r="C36" s="23" t="s">
        <v>3024</v>
      </c>
      <c r="D36" s="23" t="s">
        <v>3061</v>
      </c>
      <c r="E36" s="23" t="s">
        <v>3065</v>
      </c>
      <c r="F36" s="23" t="s">
        <v>3027</v>
      </c>
      <c r="G36" s="23"/>
      <c r="H36" s="30" t="s">
        <v>131</v>
      </c>
      <c r="I36" s="2"/>
      <c r="J36" s="2"/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2.5" hidden="1" customHeight="1">
      <c r="A37" s="23" t="s">
        <v>746</v>
      </c>
      <c r="B37" s="23" t="s">
        <v>809</v>
      </c>
      <c r="C37" s="23" t="s">
        <v>3024</v>
      </c>
      <c r="D37" s="23" t="s">
        <v>3061</v>
      </c>
      <c r="E37" s="23" t="s">
        <v>3045</v>
      </c>
      <c r="F37" s="23" t="s">
        <v>3032</v>
      </c>
      <c r="G37" s="23"/>
      <c r="H37" s="30" t="s">
        <v>131</v>
      </c>
      <c r="I37" s="2"/>
      <c r="J37" s="2"/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2.5" hidden="1" customHeight="1">
      <c r="A38" s="23" t="s">
        <v>853</v>
      </c>
      <c r="B38" s="23" t="s">
        <v>936</v>
      </c>
      <c r="C38" s="23" t="s">
        <v>3024</v>
      </c>
      <c r="D38" s="23" t="s">
        <v>3068</v>
      </c>
      <c r="E38" s="23" t="s">
        <v>3069</v>
      </c>
      <c r="F38" s="23" t="s">
        <v>3032</v>
      </c>
      <c r="G38" s="23"/>
      <c r="H38" s="30" t="s">
        <v>131</v>
      </c>
      <c r="I38" s="2"/>
      <c r="J38" s="2"/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2.5" hidden="1" customHeight="1">
      <c r="A39" s="23" t="s">
        <v>871</v>
      </c>
      <c r="B39" s="23" t="s">
        <v>935</v>
      </c>
      <c r="C39" s="23" t="s">
        <v>3024</v>
      </c>
      <c r="D39" s="23" t="s">
        <v>3068</v>
      </c>
      <c r="E39" s="23" t="s">
        <v>3070</v>
      </c>
      <c r="F39" s="23" t="s">
        <v>3032</v>
      </c>
      <c r="G39" s="23"/>
      <c r="H39" s="30" t="s">
        <v>131</v>
      </c>
      <c r="I39" s="2"/>
      <c r="J39" s="2"/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2.5" hidden="1" customHeight="1">
      <c r="A40" s="23" t="s">
        <v>899</v>
      </c>
      <c r="B40" s="23" t="s">
        <v>806</v>
      </c>
      <c r="C40" s="23" t="s">
        <v>3024</v>
      </c>
      <c r="D40" s="23" t="s">
        <v>3068</v>
      </c>
      <c r="E40" s="23" t="s">
        <v>3071</v>
      </c>
      <c r="F40" s="23" t="s">
        <v>3032</v>
      </c>
      <c r="G40" s="23"/>
      <c r="H40" s="30" t="s">
        <v>131</v>
      </c>
      <c r="I40" s="2"/>
      <c r="J40" s="2"/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hidden="1" customHeight="1">
      <c r="A41" s="23" t="s">
        <v>906</v>
      </c>
      <c r="B41" s="23" t="s">
        <v>810</v>
      </c>
      <c r="C41" s="23" t="s">
        <v>3024</v>
      </c>
      <c r="D41" s="23" t="s">
        <v>3068</v>
      </c>
      <c r="E41" s="23" t="s">
        <v>3051</v>
      </c>
      <c r="F41" s="23" t="s">
        <v>3032</v>
      </c>
      <c r="G41" s="23"/>
      <c r="H41" s="30" t="s">
        <v>131</v>
      </c>
      <c r="I41" s="2"/>
      <c r="J41" s="2"/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2.5" hidden="1" customHeight="1">
      <c r="A42" s="23" t="s">
        <v>773</v>
      </c>
      <c r="B42" s="23" t="s">
        <v>804</v>
      </c>
      <c r="C42" s="23" t="s">
        <v>3024</v>
      </c>
      <c r="D42" s="23" t="s">
        <v>3068</v>
      </c>
      <c r="E42" s="23" t="s">
        <v>3072</v>
      </c>
      <c r="F42" s="23" t="s">
        <v>3035</v>
      </c>
      <c r="G42" s="23"/>
      <c r="H42" s="30" t="s">
        <v>123</v>
      </c>
      <c r="I42" s="2"/>
      <c r="J42" s="2"/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2.5" hidden="1" customHeight="1">
      <c r="A43" s="23" t="s">
        <v>722</v>
      </c>
      <c r="B43" s="23" t="s">
        <v>809</v>
      </c>
      <c r="C43" s="23" t="s">
        <v>3024</v>
      </c>
      <c r="D43" s="23" t="s">
        <v>3068</v>
      </c>
      <c r="E43" s="23" t="s">
        <v>3073</v>
      </c>
      <c r="F43" s="23" t="s">
        <v>3035</v>
      </c>
      <c r="G43" s="23"/>
      <c r="H43" s="30" t="s">
        <v>123</v>
      </c>
      <c r="I43" s="2"/>
      <c r="J43" s="2"/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2.5" hidden="1" customHeight="1">
      <c r="A44" s="23" t="s">
        <v>151</v>
      </c>
      <c r="B44" s="23" t="s">
        <v>934</v>
      </c>
      <c r="C44" s="23" t="s">
        <v>3024</v>
      </c>
      <c r="D44" s="23" t="s">
        <v>3074</v>
      </c>
      <c r="E44" s="23" t="s">
        <v>3075</v>
      </c>
      <c r="F44" s="23" t="s">
        <v>3032</v>
      </c>
      <c r="G44" s="23"/>
      <c r="H44" s="30" t="s">
        <v>131</v>
      </c>
      <c r="I44" s="2"/>
      <c r="J44" s="2"/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2.5" hidden="1" customHeight="1">
      <c r="A45" s="23" t="s">
        <v>734</v>
      </c>
      <c r="B45" s="23" t="s">
        <v>937</v>
      </c>
      <c r="C45" s="23" t="s">
        <v>3024</v>
      </c>
      <c r="D45" s="23" t="s">
        <v>3074</v>
      </c>
      <c r="E45" s="23" t="s">
        <v>3076</v>
      </c>
      <c r="F45" s="23" t="s">
        <v>3032</v>
      </c>
      <c r="G45" s="23"/>
      <c r="H45" s="30" t="s">
        <v>131</v>
      </c>
      <c r="I45" s="2"/>
      <c r="J45" s="2"/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2.5" hidden="1" customHeight="1">
      <c r="A46" s="23" t="s">
        <v>857</v>
      </c>
      <c r="B46" s="23" t="s">
        <v>936</v>
      </c>
      <c r="C46" s="23" t="s">
        <v>3024</v>
      </c>
      <c r="D46" s="23" t="s">
        <v>3074</v>
      </c>
      <c r="E46" s="23" t="s">
        <v>3077</v>
      </c>
      <c r="F46" s="23" t="s">
        <v>3032</v>
      </c>
      <c r="G46" s="23"/>
      <c r="H46" s="30" t="s">
        <v>131</v>
      </c>
      <c r="I46" s="2"/>
      <c r="J46" s="2"/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2.5" hidden="1" customHeight="1">
      <c r="A47" s="23" t="s">
        <v>862</v>
      </c>
      <c r="B47" s="23" t="s">
        <v>935</v>
      </c>
      <c r="C47" s="23" t="s">
        <v>3024</v>
      </c>
      <c r="D47" s="23" t="s">
        <v>3074</v>
      </c>
      <c r="E47" s="23" t="s">
        <v>3048</v>
      </c>
      <c r="F47" s="23" t="s">
        <v>3027</v>
      </c>
      <c r="G47" s="23"/>
      <c r="H47" s="30" t="s">
        <v>131</v>
      </c>
      <c r="I47" s="2"/>
      <c r="J47" s="2"/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2.5" hidden="1" customHeight="1">
      <c r="A48" s="23" t="s">
        <v>881</v>
      </c>
      <c r="B48" s="23" t="s">
        <v>938</v>
      </c>
      <c r="C48" s="23" t="s">
        <v>3024</v>
      </c>
      <c r="D48" s="23" t="s">
        <v>3074</v>
      </c>
      <c r="E48" s="23" t="s">
        <v>3078</v>
      </c>
      <c r="F48" s="23" t="s">
        <v>3032</v>
      </c>
      <c r="G48" s="23"/>
      <c r="H48" s="30" t="s">
        <v>131</v>
      </c>
      <c r="I48" s="2"/>
      <c r="J48" s="2"/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2.5" hidden="1" customHeight="1">
      <c r="A49" s="23" t="s">
        <v>935</v>
      </c>
      <c r="B49" s="23" t="s">
        <v>806</v>
      </c>
      <c r="C49" s="23" t="s">
        <v>3024</v>
      </c>
      <c r="D49" s="23" t="s">
        <v>3074</v>
      </c>
      <c r="E49" s="23" t="s">
        <v>3071</v>
      </c>
      <c r="F49" s="23" t="s">
        <v>3032</v>
      </c>
      <c r="G49" s="23"/>
      <c r="H49" s="30" t="s">
        <v>131</v>
      </c>
      <c r="I49" s="2"/>
      <c r="J49" s="2"/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2.5" hidden="1" customHeight="1">
      <c r="A50" s="23" t="s">
        <v>908</v>
      </c>
      <c r="B50" s="23" t="s">
        <v>810</v>
      </c>
      <c r="C50" s="23" t="s">
        <v>3024</v>
      </c>
      <c r="D50" s="23" t="s">
        <v>3074</v>
      </c>
      <c r="E50" s="23" t="s">
        <v>3039</v>
      </c>
      <c r="F50" s="23" t="s">
        <v>3032</v>
      </c>
      <c r="G50" s="23"/>
      <c r="H50" s="30" t="s">
        <v>131</v>
      </c>
      <c r="I50" s="2"/>
      <c r="J50" s="2"/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2.5" hidden="1" customHeight="1">
      <c r="A51" s="23" t="s">
        <v>719</v>
      </c>
      <c r="B51" s="23" t="s">
        <v>804</v>
      </c>
      <c r="C51" s="23" t="s">
        <v>3024</v>
      </c>
      <c r="D51" s="23" t="s">
        <v>3074</v>
      </c>
      <c r="E51" s="23" t="s">
        <v>3079</v>
      </c>
      <c r="F51" s="23" t="s">
        <v>3032</v>
      </c>
      <c r="G51" s="23"/>
      <c r="H51" s="30" t="s">
        <v>131</v>
      </c>
      <c r="I51" s="2"/>
      <c r="J51" s="2"/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2.5" hidden="1" customHeight="1">
      <c r="A52" s="23" t="s">
        <v>781</v>
      </c>
      <c r="B52" s="23" t="s">
        <v>809</v>
      </c>
      <c r="C52" s="23" t="s">
        <v>3024</v>
      </c>
      <c r="D52" s="23" t="s">
        <v>3074</v>
      </c>
      <c r="E52" s="23" t="s">
        <v>3080</v>
      </c>
      <c r="F52" s="23" t="s">
        <v>3032</v>
      </c>
      <c r="G52" s="23"/>
      <c r="H52" s="30" t="s">
        <v>131</v>
      </c>
      <c r="I52" s="2"/>
      <c r="J52" s="2"/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2.5" hidden="1" customHeight="1">
      <c r="A53" s="23" t="s">
        <v>123</v>
      </c>
      <c r="B53" s="23" t="s">
        <v>934</v>
      </c>
      <c r="C53" s="23" t="s">
        <v>3024</v>
      </c>
      <c r="D53" s="23" t="s">
        <v>3081</v>
      </c>
      <c r="E53" s="23" t="s">
        <v>3082</v>
      </c>
      <c r="F53" s="23" t="s">
        <v>3035</v>
      </c>
      <c r="G53" s="23"/>
      <c r="H53" s="30" t="s">
        <v>123</v>
      </c>
      <c r="I53" s="2"/>
      <c r="J53" s="2"/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2.5" hidden="1" customHeight="1">
      <c r="A54" s="23" t="s">
        <v>842</v>
      </c>
      <c r="B54" s="23" t="s">
        <v>937</v>
      </c>
      <c r="C54" s="23" t="s">
        <v>3024</v>
      </c>
      <c r="D54" s="23" t="s">
        <v>3081</v>
      </c>
      <c r="E54" s="23" t="s">
        <v>3083</v>
      </c>
      <c r="F54" s="23" t="s">
        <v>3032</v>
      </c>
      <c r="G54" s="23"/>
      <c r="H54" s="30" t="s">
        <v>131</v>
      </c>
      <c r="I54" s="2"/>
      <c r="J54" s="2"/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2.5" hidden="1" customHeight="1">
      <c r="A55" s="23" t="s">
        <v>848</v>
      </c>
      <c r="B55" s="23" t="s">
        <v>936</v>
      </c>
      <c r="C55" s="23" t="s">
        <v>3024</v>
      </c>
      <c r="D55" s="23" t="s">
        <v>3081</v>
      </c>
      <c r="E55" s="23" t="s">
        <v>3084</v>
      </c>
      <c r="F55" s="23" t="s">
        <v>3035</v>
      </c>
      <c r="G55" s="23"/>
      <c r="H55" s="30" t="s">
        <v>123</v>
      </c>
      <c r="I55" s="2"/>
      <c r="J55" s="2"/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2.5" hidden="1" customHeight="1">
      <c r="A56" s="23" t="s">
        <v>951</v>
      </c>
      <c r="B56" s="23" t="s">
        <v>935</v>
      </c>
      <c r="C56" s="23" t="s">
        <v>3024</v>
      </c>
      <c r="D56" s="23" t="s">
        <v>3081</v>
      </c>
      <c r="E56" s="23" t="s">
        <v>3085</v>
      </c>
      <c r="F56" s="23" t="s">
        <v>3032</v>
      </c>
      <c r="G56" s="23"/>
      <c r="H56" s="30" t="s">
        <v>131</v>
      </c>
      <c r="I56" s="2"/>
      <c r="J56" s="2"/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2.5" hidden="1" customHeight="1">
      <c r="A57" s="23" t="s">
        <v>766</v>
      </c>
      <c r="B57" s="23" t="s">
        <v>938</v>
      </c>
      <c r="C57" s="23" t="s">
        <v>3024</v>
      </c>
      <c r="D57" s="23" t="s">
        <v>3081</v>
      </c>
      <c r="E57" s="23" t="s">
        <v>3041</v>
      </c>
      <c r="F57" s="23" t="s">
        <v>3032</v>
      </c>
      <c r="G57" s="23"/>
      <c r="H57" s="30" t="s">
        <v>131</v>
      </c>
      <c r="I57" s="2"/>
      <c r="J57" s="2"/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2.5" hidden="1" customHeight="1">
      <c r="A58" s="23" t="s">
        <v>892</v>
      </c>
      <c r="B58" s="23" t="s">
        <v>806</v>
      </c>
      <c r="C58" s="23" t="s">
        <v>3024</v>
      </c>
      <c r="D58" s="23" t="s">
        <v>3081</v>
      </c>
      <c r="E58" s="23" t="s">
        <v>3086</v>
      </c>
      <c r="F58" s="23" t="s">
        <v>3027</v>
      </c>
      <c r="G58" s="23"/>
      <c r="H58" s="30" t="s">
        <v>131</v>
      </c>
      <c r="I58" s="2"/>
      <c r="J58" s="2"/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2.5" hidden="1" customHeight="1">
      <c r="A59" s="23" t="s">
        <v>810</v>
      </c>
      <c r="B59" s="23" t="s">
        <v>810</v>
      </c>
      <c r="C59" s="23" t="s">
        <v>3024</v>
      </c>
      <c r="D59" s="23" t="s">
        <v>3081</v>
      </c>
      <c r="E59" s="23" t="s">
        <v>3087</v>
      </c>
      <c r="F59" s="23" t="s">
        <v>3032</v>
      </c>
      <c r="G59" s="23"/>
      <c r="H59" s="30" t="s">
        <v>131</v>
      </c>
      <c r="I59" s="2"/>
      <c r="J59" s="2"/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2.5" hidden="1" customHeight="1">
      <c r="A60" s="23" t="s">
        <v>960</v>
      </c>
      <c r="B60" s="23" t="s">
        <v>804</v>
      </c>
      <c r="C60" s="23" t="s">
        <v>3024</v>
      </c>
      <c r="D60" s="23" t="s">
        <v>3081</v>
      </c>
      <c r="E60" s="23" t="s">
        <v>3071</v>
      </c>
      <c r="F60" s="23" t="s">
        <v>3032</v>
      </c>
      <c r="G60" s="23"/>
      <c r="H60" s="30" t="s">
        <v>131</v>
      </c>
      <c r="I60" s="2"/>
      <c r="J60" s="2"/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2.5" hidden="1" customHeight="1">
      <c r="A61" s="23" t="s">
        <v>737</v>
      </c>
      <c r="B61" s="23" t="s">
        <v>809</v>
      </c>
      <c r="C61" s="23" t="s">
        <v>3024</v>
      </c>
      <c r="D61" s="23" t="s">
        <v>3081</v>
      </c>
      <c r="E61" s="23" t="s">
        <v>3088</v>
      </c>
      <c r="F61" s="23" t="s">
        <v>3035</v>
      </c>
      <c r="G61" s="23"/>
      <c r="H61" s="30" t="s">
        <v>123</v>
      </c>
      <c r="I61" s="2"/>
      <c r="J61" s="2"/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2.5" hidden="1" customHeight="1">
      <c r="A62" s="23" t="s">
        <v>144</v>
      </c>
      <c r="B62" s="23" t="s">
        <v>934</v>
      </c>
      <c r="C62" s="23" t="s">
        <v>3024</v>
      </c>
      <c r="D62" s="23" t="s">
        <v>3089</v>
      </c>
      <c r="E62" s="23" t="s">
        <v>3090</v>
      </c>
      <c r="F62" s="23" t="s">
        <v>3035</v>
      </c>
      <c r="G62" s="23"/>
      <c r="H62" s="30" t="s">
        <v>123</v>
      </c>
      <c r="I62" s="2"/>
      <c r="J62" s="2"/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2.5" hidden="1" customHeight="1">
      <c r="A63" s="23" t="s">
        <v>831</v>
      </c>
      <c r="B63" s="23" t="s">
        <v>937</v>
      </c>
      <c r="C63" s="23" t="s">
        <v>3024</v>
      </c>
      <c r="D63" s="23" t="s">
        <v>3089</v>
      </c>
      <c r="E63" s="23" t="s">
        <v>3091</v>
      </c>
      <c r="F63" s="23" t="s">
        <v>3032</v>
      </c>
      <c r="G63" s="23"/>
      <c r="H63" s="30" t="s">
        <v>131</v>
      </c>
      <c r="I63" s="2"/>
      <c r="J63" s="2"/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2.5" hidden="1" customHeight="1">
      <c r="A64" s="23" t="s">
        <v>850</v>
      </c>
      <c r="B64" s="23" t="s">
        <v>936</v>
      </c>
      <c r="C64" s="23" t="s">
        <v>3024</v>
      </c>
      <c r="D64" s="23" t="s">
        <v>3089</v>
      </c>
      <c r="E64" s="23" t="s">
        <v>3092</v>
      </c>
      <c r="F64" s="23" t="s">
        <v>3032</v>
      </c>
      <c r="G64" s="23"/>
      <c r="H64" s="30" t="s">
        <v>131</v>
      </c>
      <c r="I64" s="2"/>
      <c r="J64" s="2"/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2.5" hidden="1" customHeight="1">
      <c r="A65" s="23" t="s">
        <v>865</v>
      </c>
      <c r="B65" s="23" t="s">
        <v>935</v>
      </c>
      <c r="C65" s="23" t="s">
        <v>3024</v>
      </c>
      <c r="D65" s="23" t="s">
        <v>3089</v>
      </c>
      <c r="E65" s="23" t="s">
        <v>3093</v>
      </c>
      <c r="F65" s="23" t="s">
        <v>3032</v>
      </c>
      <c r="G65" s="23"/>
      <c r="H65" s="30" t="s">
        <v>131</v>
      </c>
      <c r="I65" s="2"/>
      <c r="J65" s="2"/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2.5" hidden="1" customHeight="1">
      <c r="A66" s="23" t="s">
        <v>887</v>
      </c>
      <c r="B66" s="23" t="s">
        <v>938</v>
      </c>
      <c r="C66" s="23" t="s">
        <v>3024</v>
      </c>
      <c r="D66" s="23" t="s">
        <v>3089</v>
      </c>
      <c r="E66" s="23" t="s">
        <v>3094</v>
      </c>
      <c r="F66" s="23" t="s">
        <v>3032</v>
      </c>
      <c r="G66" s="23"/>
      <c r="H66" s="30" t="s">
        <v>131</v>
      </c>
      <c r="I66" s="2"/>
      <c r="J66" s="2"/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22.5" hidden="1" customHeight="1">
      <c r="A67" s="23" t="s">
        <v>895</v>
      </c>
      <c r="B67" s="23" t="s">
        <v>806</v>
      </c>
      <c r="C67" s="23" t="s">
        <v>3024</v>
      </c>
      <c r="D67" s="23" t="s">
        <v>3089</v>
      </c>
      <c r="E67" s="23" t="s">
        <v>3095</v>
      </c>
      <c r="F67" s="23" t="s">
        <v>3032</v>
      </c>
      <c r="G67" s="23"/>
      <c r="H67" s="30" t="s">
        <v>131</v>
      </c>
      <c r="I67" s="2"/>
      <c r="J67" s="2"/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22.5" hidden="1" customHeight="1">
      <c r="A68" s="23" t="s">
        <v>904</v>
      </c>
      <c r="B68" s="23" t="s">
        <v>810</v>
      </c>
      <c r="C68" s="23" t="s">
        <v>3024</v>
      </c>
      <c r="D68" s="23" t="s">
        <v>3089</v>
      </c>
      <c r="E68" s="23" t="s">
        <v>3096</v>
      </c>
      <c r="F68" s="23" t="s">
        <v>3032</v>
      </c>
      <c r="G68" s="23"/>
      <c r="H68" s="30" t="s">
        <v>131</v>
      </c>
      <c r="I68" s="2"/>
      <c r="J68" s="2"/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22.5" hidden="1" customHeight="1">
      <c r="A69" s="23" t="s">
        <v>725</v>
      </c>
      <c r="B69" s="23" t="s">
        <v>804</v>
      </c>
      <c r="C69" s="23" t="s">
        <v>3024</v>
      </c>
      <c r="D69" s="23" t="s">
        <v>3089</v>
      </c>
      <c r="E69" s="23" t="s">
        <v>3097</v>
      </c>
      <c r="F69" s="23" t="s">
        <v>3027</v>
      </c>
      <c r="G69" s="23"/>
      <c r="H69" s="30" t="s">
        <v>131</v>
      </c>
      <c r="I69" s="2"/>
      <c r="J69" s="2"/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22.5" hidden="1" customHeight="1">
      <c r="A70" s="23" t="s">
        <v>963</v>
      </c>
      <c r="B70" s="23" t="s">
        <v>809</v>
      </c>
      <c r="C70" s="23" t="s">
        <v>3024</v>
      </c>
      <c r="D70" s="23" t="s">
        <v>3089</v>
      </c>
      <c r="E70" s="23" t="s">
        <v>3098</v>
      </c>
      <c r="F70" s="23" t="s">
        <v>3035</v>
      </c>
      <c r="G70" s="23"/>
      <c r="H70" s="30" t="s">
        <v>123</v>
      </c>
      <c r="I70" s="2"/>
      <c r="J70" s="2"/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22.5" hidden="1" customHeight="1">
      <c r="A71" s="23" t="s">
        <v>131</v>
      </c>
      <c r="B71" s="23" t="s">
        <v>934</v>
      </c>
      <c r="C71" s="23" t="s">
        <v>3024</v>
      </c>
      <c r="D71" s="23" t="s">
        <v>3099</v>
      </c>
      <c r="E71" s="23" t="s">
        <v>3100</v>
      </c>
      <c r="F71" s="23" t="s">
        <v>3032</v>
      </c>
      <c r="G71" s="23"/>
      <c r="H71" s="30" t="s">
        <v>131</v>
      </c>
      <c r="I71" s="2"/>
      <c r="J71" s="2"/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22.5" hidden="1" customHeight="1">
      <c r="A72" s="23" t="s">
        <v>840</v>
      </c>
      <c r="B72" s="23" t="s">
        <v>937</v>
      </c>
      <c r="C72" s="23" t="s">
        <v>3024</v>
      </c>
      <c r="D72" s="23" t="s">
        <v>3099</v>
      </c>
      <c r="E72" s="23" t="s">
        <v>3101</v>
      </c>
      <c r="F72" s="23" t="s">
        <v>3027</v>
      </c>
      <c r="G72" s="23"/>
      <c r="H72" s="30" t="s">
        <v>131</v>
      </c>
      <c r="I72" s="2"/>
      <c r="J72" s="2"/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22.5" hidden="1" customHeight="1">
      <c r="A73" s="23" t="s">
        <v>752</v>
      </c>
      <c r="B73" s="23" t="s">
        <v>936</v>
      </c>
      <c r="C73" s="23" t="s">
        <v>3024</v>
      </c>
      <c r="D73" s="23" t="s">
        <v>3099</v>
      </c>
      <c r="E73" s="23" t="s">
        <v>3102</v>
      </c>
      <c r="F73" s="23" t="s">
        <v>3032</v>
      </c>
      <c r="G73" s="23"/>
      <c r="H73" s="30" t="s">
        <v>131</v>
      </c>
      <c r="I73" s="2"/>
      <c r="J73" s="2"/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22.5" hidden="1" customHeight="1">
      <c r="A74" s="23" t="s">
        <v>860</v>
      </c>
      <c r="B74" s="23" t="s">
        <v>935</v>
      </c>
      <c r="C74" s="23" t="s">
        <v>3024</v>
      </c>
      <c r="D74" s="23" t="s">
        <v>3099</v>
      </c>
      <c r="E74" s="23" t="s">
        <v>3103</v>
      </c>
      <c r="F74" s="23" t="s">
        <v>3032</v>
      </c>
      <c r="G74" s="23"/>
      <c r="H74" s="30" t="s">
        <v>131</v>
      </c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22.5" hidden="1" customHeight="1">
      <c r="A75" s="23" t="s">
        <v>879</v>
      </c>
      <c r="B75" s="23" t="s">
        <v>938</v>
      </c>
      <c r="C75" s="23" t="s">
        <v>3024</v>
      </c>
      <c r="D75" s="23" t="s">
        <v>3099</v>
      </c>
      <c r="E75" s="23" t="s">
        <v>3104</v>
      </c>
      <c r="F75" s="23" t="s">
        <v>3032</v>
      </c>
      <c r="G75" s="23"/>
      <c r="H75" s="30" t="s">
        <v>131</v>
      </c>
      <c r="I75" s="2"/>
      <c r="J75" s="2"/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22.5" hidden="1" customHeight="1">
      <c r="A76" s="23" t="s">
        <v>769</v>
      </c>
      <c r="B76" s="23" t="s">
        <v>806</v>
      </c>
      <c r="C76" s="23" t="s">
        <v>3024</v>
      </c>
      <c r="D76" s="23" t="s">
        <v>3099</v>
      </c>
      <c r="E76" s="23" t="s">
        <v>3086</v>
      </c>
      <c r="F76" s="23" t="s">
        <v>3027</v>
      </c>
      <c r="G76" s="23"/>
      <c r="H76" s="30" t="s">
        <v>131</v>
      </c>
      <c r="I76" s="2"/>
      <c r="J76" s="2"/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22.5" hidden="1" customHeight="1">
      <c r="A77" s="23" t="s">
        <v>937</v>
      </c>
      <c r="B77" s="23" t="s">
        <v>810</v>
      </c>
      <c r="C77" s="23" t="s">
        <v>3024</v>
      </c>
      <c r="D77" s="23" t="s">
        <v>3099</v>
      </c>
      <c r="E77" s="23" t="s">
        <v>3105</v>
      </c>
      <c r="F77" s="23" t="s">
        <v>3032</v>
      </c>
      <c r="G77" s="23"/>
      <c r="H77" s="30" t="s">
        <v>131</v>
      </c>
      <c r="I77" s="2"/>
      <c r="J77" s="2"/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22.5" hidden="1" customHeight="1">
      <c r="A78" s="23" t="s">
        <v>938</v>
      </c>
      <c r="B78" s="23" t="s">
        <v>804</v>
      </c>
      <c r="C78" s="23" t="s">
        <v>3024</v>
      </c>
      <c r="D78" s="23" t="s">
        <v>3099</v>
      </c>
      <c r="E78" s="23" t="s">
        <v>3106</v>
      </c>
      <c r="F78" s="23" t="s">
        <v>3027</v>
      </c>
      <c r="G78" s="23"/>
      <c r="H78" s="30" t="s">
        <v>131</v>
      </c>
      <c r="I78" s="2"/>
      <c r="J78" s="2"/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22.5" hidden="1" customHeight="1">
      <c r="A79" s="23" t="s">
        <v>962</v>
      </c>
      <c r="B79" s="23" t="s">
        <v>809</v>
      </c>
      <c r="C79" s="23" t="s">
        <v>3024</v>
      </c>
      <c r="D79" s="23" t="s">
        <v>3099</v>
      </c>
      <c r="E79" s="23" t="s">
        <v>3107</v>
      </c>
      <c r="F79" s="23" t="s">
        <v>3035</v>
      </c>
      <c r="G79" s="23"/>
      <c r="H79" s="30" t="s">
        <v>123</v>
      </c>
      <c r="I79" s="2"/>
      <c r="J79" s="2"/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22.5" customHeight="1">
      <c r="A80" s="23" t="s">
        <v>740</v>
      </c>
      <c r="B80" s="23" t="s">
        <v>804</v>
      </c>
      <c r="C80" s="23" t="s">
        <v>3108</v>
      </c>
      <c r="D80" s="23" t="s">
        <v>3109</v>
      </c>
      <c r="E80" s="23" t="s">
        <v>3110</v>
      </c>
      <c r="F80" s="23" t="s">
        <v>3032</v>
      </c>
      <c r="G80" s="23"/>
      <c r="H80" s="30" t="s">
        <v>131</v>
      </c>
      <c r="I80" s="2"/>
      <c r="J80" s="2"/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</sheetData>
  <dataValidations>
    <dataValidation allowBlank="1" showDropDown="1" sqref="A2:G80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13"/>
    <col customWidth="1" min="3" max="3" width="25.13"/>
    <col customWidth="1" min="4" max="4" width="14.13"/>
    <col customWidth="1" min="6" max="6" width="25.13"/>
  </cols>
  <sheetData>
    <row r="1" ht="22.5" customHeight="1">
      <c r="A1" s="18" t="s">
        <v>107</v>
      </c>
      <c r="B1" s="18" t="s">
        <v>0</v>
      </c>
      <c r="C1" s="18" t="s">
        <v>1</v>
      </c>
      <c r="D1" s="18" t="s">
        <v>686</v>
      </c>
      <c r="E1" s="19" t="s">
        <v>687</v>
      </c>
      <c r="F1" s="18" t="s">
        <v>157</v>
      </c>
      <c r="G1" s="20" t="s">
        <v>688</v>
      </c>
    </row>
    <row r="2" ht="22.5" hidden="1" customHeight="1">
      <c r="A2" s="27" t="s">
        <v>831</v>
      </c>
      <c r="B2" s="31" t="s">
        <v>832</v>
      </c>
      <c r="C2" s="31" t="s">
        <v>3111</v>
      </c>
      <c r="D2" s="27" t="s">
        <v>3112</v>
      </c>
      <c r="E2" s="25" t="s">
        <v>148</v>
      </c>
      <c r="F2" s="31" t="s">
        <v>755</v>
      </c>
      <c r="G2" s="25" t="s">
        <v>755</v>
      </c>
    </row>
    <row r="3" ht="22.5" hidden="1" customHeight="1">
      <c r="A3" s="23" t="s">
        <v>801</v>
      </c>
      <c r="B3" s="24" t="s">
        <v>802</v>
      </c>
      <c r="C3" s="24" t="s">
        <v>159</v>
      </c>
      <c r="D3" s="23" t="s">
        <v>3113</v>
      </c>
      <c r="E3" s="21" t="s">
        <v>3114</v>
      </c>
      <c r="F3" s="24" t="s">
        <v>803</v>
      </c>
      <c r="G3" s="21" t="s">
        <v>803</v>
      </c>
    </row>
    <row r="4" ht="22.5" hidden="1" customHeight="1">
      <c r="A4" s="23" t="s">
        <v>732</v>
      </c>
      <c r="B4" s="24" t="s">
        <v>733</v>
      </c>
      <c r="C4" s="24" t="s">
        <v>163</v>
      </c>
      <c r="D4" s="23" t="s">
        <v>864</v>
      </c>
      <c r="E4" s="21" t="s">
        <v>3114</v>
      </c>
      <c r="F4" s="24" t="s">
        <v>735</v>
      </c>
      <c r="G4" s="21" t="s">
        <v>735</v>
      </c>
    </row>
    <row r="5" ht="22.5" hidden="1" customHeight="1">
      <c r="A5" s="23" t="s">
        <v>758</v>
      </c>
      <c r="B5" s="24" t="s">
        <v>759</v>
      </c>
      <c r="C5" s="24" t="s">
        <v>166</v>
      </c>
      <c r="D5" s="23" t="s">
        <v>768</v>
      </c>
      <c r="E5" s="21" t="s">
        <v>3114</v>
      </c>
      <c r="F5" s="24" t="s">
        <v>760</v>
      </c>
      <c r="G5" s="21" t="s">
        <v>760</v>
      </c>
    </row>
    <row r="6" ht="22.5" hidden="1" customHeight="1">
      <c r="A6" s="23" t="s">
        <v>700</v>
      </c>
      <c r="B6" s="24" t="s">
        <v>701</v>
      </c>
      <c r="C6" s="24" t="s">
        <v>3115</v>
      </c>
      <c r="D6" s="23" t="s">
        <v>3116</v>
      </c>
      <c r="E6" s="21" t="s">
        <v>3114</v>
      </c>
      <c r="F6" s="24" t="s">
        <v>702</v>
      </c>
      <c r="G6" s="21" t="s">
        <v>702</v>
      </c>
    </row>
    <row r="7" ht="22.5" hidden="1" customHeight="1">
      <c r="A7" s="23" t="s">
        <v>712</v>
      </c>
      <c r="B7" s="24" t="s">
        <v>713</v>
      </c>
      <c r="C7" s="24" t="s">
        <v>172</v>
      </c>
      <c r="D7" s="23" t="s">
        <v>3117</v>
      </c>
      <c r="E7" s="21" t="s">
        <v>3114</v>
      </c>
      <c r="F7" s="24" t="s">
        <v>714</v>
      </c>
      <c r="G7" s="21" t="s">
        <v>714</v>
      </c>
    </row>
    <row r="8" ht="22.5" hidden="1" customHeight="1">
      <c r="A8" s="23" t="s">
        <v>693</v>
      </c>
      <c r="B8" s="24" t="s">
        <v>694</v>
      </c>
      <c r="C8" s="24" t="s">
        <v>3118</v>
      </c>
      <c r="D8" s="23" t="s">
        <v>3119</v>
      </c>
      <c r="E8" s="21" t="s">
        <v>3114</v>
      </c>
      <c r="F8" s="24" t="s">
        <v>695</v>
      </c>
      <c r="G8" s="21" t="s">
        <v>695</v>
      </c>
    </row>
    <row r="9" ht="22.5" hidden="1" customHeight="1">
      <c r="A9" s="23" t="s">
        <v>787</v>
      </c>
      <c r="B9" s="24" t="s">
        <v>788</v>
      </c>
      <c r="C9" s="24" t="s">
        <v>178</v>
      </c>
      <c r="D9" s="23" t="s">
        <v>3120</v>
      </c>
      <c r="E9" s="21" t="s">
        <v>3114</v>
      </c>
      <c r="F9" s="24" t="s">
        <v>789</v>
      </c>
      <c r="G9" s="21" t="s">
        <v>789</v>
      </c>
    </row>
    <row r="10" ht="22.5" hidden="1" customHeight="1">
      <c r="A10" s="23" t="s">
        <v>790</v>
      </c>
      <c r="B10" s="24" t="s">
        <v>791</v>
      </c>
      <c r="C10" s="24" t="s">
        <v>181</v>
      </c>
      <c r="D10" s="23" t="s">
        <v>795</v>
      </c>
      <c r="E10" s="21" t="s">
        <v>3114</v>
      </c>
      <c r="F10" s="24" t="s">
        <v>792</v>
      </c>
      <c r="G10" s="21" t="s">
        <v>792</v>
      </c>
    </row>
    <row r="11" ht="22.5" hidden="1" customHeight="1">
      <c r="A11" s="23" t="s">
        <v>977</v>
      </c>
      <c r="B11" s="24" t="s">
        <v>3121</v>
      </c>
      <c r="C11" s="24" t="s">
        <v>3122</v>
      </c>
      <c r="D11" s="23" t="s">
        <v>903</v>
      </c>
      <c r="E11" s="21" t="s">
        <v>3114</v>
      </c>
      <c r="F11" s="24" t="s">
        <v>3123</v>
      </c>
      <c r="G11" s="21" t="s">
        <v>3123</v>
      </c>
    </row>
    <row r="12" ht="22.5" hidden="1" customHeight="1">
      <c r="A12" s="23" t="s">
        <v>761</v>
      </c>
      <c r="B12" s="24" t="s">
        <v>762</v>
      </c>
      <c r="C12" s="24" t="s">
        <v>184</v>
      </c>
      <c r="D12" s="23" t="s">
        <v>768</v>
      </c>
      <c r="E12" s="21" t="s">
        <v>3114</v>
      </c>
      <c r="F12" s="24" t="s">
        <v>763</v>
      </c>
      <c r="G12" s="21" t="s">
        <v>763</v>
      </c>
    </row>
    <row r="13" ht="22.5" hidden="1" customHeight="1">
      <c r="A13" s="27" t="s">
        <v>833</v>
      </c>
      <c r="B13" s="27" t="s">
        <v>834</v>
      </c>
      <c r="C13" s="27" t="s">
        <v>3124</v>
      </c>
      <c r="D13" s="27" t="s">
        <v>835</v>
      </c>
      <c r="E13" s="25" t="s">
        <v>151</v>
      </c>
      <c r="F13" s="27" t="s">
        <v>755</v>
      </c>
      <c r="G13" s="25" t="s">
        <v>755</v>
      </c>
    </row>
    <row r="14" ht="22.5" hidden="1" customHeight="1">
      <c r="A14" s="23" t="s">
        <v>953</v>
      </c>
      <c r="B14" s="23" t="s">
        <v>3125</v>
      </c>
      <c r="C14" s="23" t="s">
        <v>3126</v>
      </c>
      <c r="D14" s="23" t="s">
        <v>3127</v>
      </c>
      <c r="E14" s="21" t="s">
        <v>3114</v>
      </c>
      <c r="F14" s="23" t="s">
        <v>3128</v>
      </c>
      <c r="G14" s="21" t="s">
        <v>3128</v>
      </c>
    </row>
    <row r="15" ht="22.5" hidden="1" customHeight="1">
      <c r="A15" s="23" t="s">
        <v>917</v>
      </c>
      <c r="B15" s="23" t="s">
        <v>918</v>
      </c>
      <c r="C15" s="23" t="s">
        <v>3129</v>
      </c>
      <c r="D15" s="23" t="s">
        <v>3127</v>
      </c>
      <c r="E15" s="21" t="s">
        <v>3114</v>
      </c>
      <c r="F15" s="23" t="s">
        <v>919</v>
      </c>
      <c r="G15" s="21" t="s">
        <v>919</v>
      </c>
    </row>
    <row r="16" ht="22.5" hidden="1" customHeight="1">
      <c r="A16" s="23" t="s">
        <v>873</v>
      </c>
      <c r="B16" s="23" t="s">
        <v>874</v>
      </c>
      <c r="C16" s="23" t="s">
        <v>661</v>
      </c>
      <c r="D16" s="23" t="s">
        <v>878</v>
      </c>
      <c r="E16" s="21" t="s">
        <v>3114</v>
      </c>
      <c r="F16" s="23" t="s">
        <v>875</v>
      </c>
      <c r="G16" s="21" t="s">
        <v>875</v>
      </c>
    </row>
    <row r="17" ht="22.5" hidden="1" customHeight="1">
      <c r="A17" s="23" t="s">
        <v>920</v>
      </c>
      <c r="B17" s="23" t="s">
        <v>921</v>
      </c>
      <c r="C17" s="23" t="s">
        <v>3130</v>
      </c>
      <c r="D17" s="23" t="s">
        <v>878</v>
      </c>
      <c r="E17" s="21" t="s">
        <v>3114</v>
      </c>
      <c r="F17" s="23" t="s">
        <v>922</v>
      </c>
      <c r="G17" s="21" t="s">
        <v>922</v>
      </c>
    </row>
    <row r="18" ht="22.5" hidden="1" customHeight="1">
      <c r="A18" s="23" t="s">
        <v>923</v>
      </c>
      <c r="B18" s="23" t="s">
        <v>924</v>
      </c>
      <c r="C18" s="23" t="s">
        <v>3131</v>
      </c>
      <c r="D18" s="23" t="s">
        <v>878</v>
      </c>
      <c r="E18" s="21" t="s">
        <v>3114</v>
      </c>
      <c r="F18" s="23" t="s">
        <v>925</v>
      </c>
      <c r="G18" s="21" t="s">
        <v>925</v>
      </c>
    </row>
    <row r="19" ht="22.5" hidden="1" customHeight="1">
      <c r="A19" s="23" t="s">
        <v>956</v>
      </c>
      <c r="B19" s="23" t="s">
        <v>3132</v>
      </c>
      <c r="C19" s="23" t="s">
        <v>3133</v>
      </c>
      <c r="D19" s="23" t="s">
        <v>864</v>
      </c>
      <c r="E19" s="21" t="s">
        <v>3114</v>
      </c>
      <c r="F19" s="23" t="s">
        <v>3134</v>
      </c>
      <c r="G19" s="21" t="s">
        <v>3134</v>
      </c>
    </row>
    <row r="20" ht="22.5" hidden="1" customHeight="1">
      <c r="A20" s="23" t="s">
        <v>926</v>
      </c>
      <c r="B20" s="23" t="s">
        <v>927</v>
      </c>
      <c r="C20" s="23" t="s">
        <v>3135</v>
      </c>
      <c r="D20" s="23" t="s">
        <v>864</v>
      </c>
      <c r="E20" s="21" t="s">
        <v>3114</v>
      </c>
      <c r="F20" s="23" t="s">
        <v>928</v>
      </c>
      <c r="G20" s="21" t="s">
        <v>928</v>
      </c>
    </row>
    <row r="21" ht="22.5" hidden="1" customHeight="1">
      <c r="A21" s="23" t="s">
        <v>957</v>
      </c>
      <c r="B21" s="23" t="s">
        <v>3136</v>
      </c>
      <c r="C21" s="23" t="s">
        <v>3137</v>
      </c>
      <c r="D21" s="23" t="s">
        <v>864</v>
      </c>
      <c r="E21" s="21" t="s">
        <v>3114</v>
      </c>
      <c r="F21" s="23" t="s">
        <v>3138</v>
      </c>
      <c r="G21" s="21" t="s">
        <v>3138</v>
      </c>
    </row>
    <row r="22" ht="22.5" hidden="1" customHeight="1">
      <c r="A22" s="23" t="s">
        <v>929</v>
      </c>
      <c r="B22" s="23" t="s">
        <v>930</v>
      </c>
      <c r="C22" s="23" t="s">
        <v>3139</v>
      </c>
      <c r="D22" s="23" t="s">
        <v>795</v>
      </c>
      <c r="E22" s="21" t="s">
        <v>3114</v>
      </c>
      <c r="F22" s="23" t="s">
        <v>931</v>
      </c>
      <c r="G22" s="21" t="s">
        <v>931</v>
      </c>
    </row>
    <row r="23" ht="22.5" hidden="1" customHeight="1">
      <c r="A23" s="23" t="s">
        <v>932</v>
      </c>
      <c r="B23" s="23" t="s">
        <v>933</v>
      </c>
      <c r="C23" s="23" t="s">
        <v>3140</v>
      </c>
      <c r="D23" s="23" t="s">
        <v>819</v>
      </c>
      <c r="E23" s="21"/>
      <c r="F23" s="23"/>
      <c r="G23" s="21"/>
    </row>
    <row r="24" ht="22.5" hidden="1" customHeight="1">
      <c r="A24" s="27" t="s">
        <v>811</v>
      </c>
      <c r="B24" s="27" t="s">
        <v>836</v>
      </c>
      <c r="C24" s="27" t="s">
        <v>3141</v>
      </c>
      <c r="D24" s="27" t="s">
        <v>837</v>
      </c>
      <c r="E24" s="25" t="s">
        <v>148</v>
      </c>
      <c r="F24" s="27" t="s">
        <v>755</v>
      </c>
      <c r="G24" s="25" t="s">
        <v>755</v>
      </c>
    </row>
    <row r="25" ht="22.5" customHeight="1">
      <c r="A25" s="23" t="s">
        <v>804</v>
      </c>
      <c r="B25" s="23" t="s">
        <v>25</v>
      </c>
      <c r="C25" s="23" t="s">
        <v>26</v>
      </c>
      <c r="D25" s="23"/>
      <c r="E25" s="23" t="s">
        <v>838</v>
      </c>
      <c r="F25" s="23"/>
      <c r="G25" s="21"/>
    </row>
    <row r="26" ht="22.5" customHeight="1">
      <c r="A26" s="23" t="s">
        <v>806</v>
      </c>
      <c r="B26" s="23" t="s">
        <v>11</v>
      </c>
      <c r="C26" s="23" t="s">
        <v>12</v>
      </c>
      <c r="D26" s="23"/>
      <c r="E26" s="23" t="s">
        <v>838</v>
      </c>
      <c r="F26" s="23"/>
      <c r="G26" s="21"/>
    </row>
    <row r="27" ht="22.5" customHeight="1">
      <c r="A27" s="23" t="s">
        <v>809</v>
      </c>
      <c r="B27" s="23" t="s">
        <v>17</v>
      </c>
      <c r="C27" s="23" t="s">
        <v>18</v>
      </c>
      <c r="D27" s="23"/>
      <c r="E27" s="23" t="s">
        <v>838</v>
      </c>
      <c r="F27" s="23"/>
      <c r="G27" s="21"/>
    </row>
    <row r="28" ht="22.5" customHeight="1">
      <c r="A28" s="23" t="s">
        <v>934</v>
      </c>
      <c r="B28" s="23" t="s">
        <v>59</v>
      </c>
      <c r="C28" s="23" t="s">
        <v>60</v>
      </c>
      <c r="D28" s="23"/>
      <c r="E28" s="23" t="s">
        <v>838</v>
      </c>
      <c r="F28" s="23"/>
      <c r="G28" s="21"/>
    </row>
    <row r="29" ht="22.5" customHeight="1">
      <c r="A29" s="23" t="s">
        <v>942</v>
      </c>
      <c r="B29" s="23" t="s">
        <v>66</v>
      </c>
      <c r="C29" s="23" t="s">
        <v>67</v>
      </c>
      <c r="D29" s="23"/>
      <c r="E29" s="23" t="s">
        <v>838</v>
      </c>
      <c r="F29" s="23"/>
      <c r="G29" s="21"/>
    </row>
    <row r="30" ht="22.5" hidden="1" customHeight="1">
      <c r="A30" s="27" t="s">
        <v>838</v>
      </c>
      <c r="B30" s="27" t="s">
        <v>839</v>
      </c>
      <c r="C30" s="27" t="s">
        <v>3142</v>
      </c>
      <c r="D30" s="27" t="s">
        <v>837</v>
      </c>
      <c r="E30" s="25" t="s">
        <v>148</v>
      </c>
      <c r="F30" s="27" t="s">
        <v>755</v>
      </c>
      <c r="G30" s="25" t="s">
        <v>755</v>
      </c>
    </row>
    <row r="31" ht="22.5" hidden="1" customHeight="1">
      <c r="A31" s="27" t="s">
        <v>840</v>
      </c>
      <c r="B31" s="27" t="s">
        <v>841</v>
      </c>
      <c r="C31" s="27" t="s">
        <v>3143</v>
      </c>
      <c r="D31" s="27" t="s">
        <v>837</v>
      </c>
      <c r="E31" s="25" t="s">
        <v>148</v>
      </c>
      <c r="F31" s="27" t="s">
        <v>755</v>
      </c>
      <c r="G31" s="25" t="s">
        <v>755</v>
      </c>
    </row>
    <row r="32" ht="22.5" hidden="1" customHeight="1">
      <c r="A32" s="23" t="s">
        <v>842</v>
      </c>
      <c r="B32" s="23" t="s">
        <v>843</v>
      </c>
      <c r="C32" s="23" t="s">
        <v>3144</v>
      </c>
      <c r="D32" s="23" t="s">
        <v>837</v>
      </c>
      <c r="E32" s="21" t="s">
        <v>131</v>
      </c>
      <c r="F32" s="23" t="s">
        <v>755</v>
      </c>
      <c r="G32" s="21" t="s">
        <v>755</v>
      </c>
    </row>
    <row r="33" ht="22.5" hidden="1" customHeight="1">
      <c r="A33" s="23" t="s">
        <v>844</v>
      </c>
      <c r="B33" s="23" t="s">
        <v>845</v>
      </c>
      <c r="C33" s="23" t="s">
        <v>3145</v>
      </c>
      <c r="D33" s="23" t="s">
        <v>837</v>
      </c>
      <c r="E33" s="21" t="s">
        <v>148</v>
      </c>
      <c r="F33" s="23" t="s">
        <v>755</v>
      </c>
      <c r="G33" s="21" t="s">
        <v>755</v>
      </c>
    </row>
    <row r="34" ht="22.5" hidden="1" customHeight="1">
      <c r="A34" s="23" t="s">
        <v>846</v>
      </c>
      <c r="B34" s="23" t="s">
        <v>847</v>
      </c>
      <c r="C34" s="23" t="s">
        <v>3146</v>
      </c>
      <c r="D34" s="23" t="s">
        <v>837</v>
      </c>
      <c r="E34" s="21" t="s">
        <v>131</v>
      </c>
      <c r="F34" s="23" t="s">
        <v>755</v>
      </c>
      <c r="G34" s="21" t="s">
        <v>755</v>
      </c>
    </row>
    <row r="35" ht="22.5" hidden="1" customHeight="1">
      <c r="A35" s="23" t="s">
        <v>848</v>
      </c>
      <c r="B35" s="23" t="s">
        <v>849</v>
      </c>
      <c r="C35" s="23" t="s">
        <v>3147</v>
      </c>
      <c r="D35" s="23" t="s">
        <v>837</v>
      </c>
      <c r="E35" s="21" t="s">
        <v>131</v>
      </c>
      <c r="F35" s="23" t="s">
        <v>755</v>
      </c>
      <c r="G35" s="21" t="s">
        <v>755</v>
      </c>
    </row>
    <row r="36" ht="22.5" hidden="1" customHeight="1">
      <c r="A36" s="23" t="s">
        <v>850</v>
      </c>
      <c r="B36" s="23" t="s">
        <v>851</v>
      </c>
      <c r="C36" s="23" t="s">
        <v>3148</v>
      </c>
      <c r="D36" s="23" t="s">
        <v>852</v>
      </c>
      <c r="E36" s="21" t="s">
        <v>137</v>
      </c>
      <c r="F36" s="23" t="s">
        <v>755</v>
      </c>
      <c r="G36" s="21" t="s">
        <v>755</v>
      </c>
    </row>
    <row r="37" ht="22.5" hidden="1" customHeight="1">
      <c r="A37" s="27" t="s">
        <v>116</v>
      </c>
      <c r="B37" s="27" t="s">
        <v>813</v>
      </c>
      <c r="C37" s="27" t="s">
        <v>3149</v>
      </c>
      <c r="D37" s="27" t="s">
        <v>819</v>
      </c>
      <c r="E37" s="25" t="s">
        <v>151</v>
      </c>
      <c r="F37" s="27" t="s">
        <v>814</v>
      </c>
      <c r="G37" s="25" t="s">
        <v>814</v>
      </c>
    </row>
    <row r="38" ht="22.5" hidden="1" customHeight="1">
      <c r="A38" s="23" t="s">
        <v>853</v>
      </c>
      <c r="B38" s="23" t="s">
        <v>854</v>
      </c>
      <c r="C38" s="23" t="s">
        <v>3150</v>
      </c>
      <c r="D38" s="23" t="s">
        <v>852</v>
      </c>
      <c r="E38" s="21" t="s">
        <v>137</v>
      </c>
      <c r="F38" s="23" t="s">
        <v>755</v>
      </c>
      <c r="G38" s="21" t="s">
        <v>755</v>
      </c>
    </row>
    <row r="39" ht="22.5" hidden="1" customHeight="1">
      <c r="A39" s="23" t="s">
        <v>855</v>
      </c>
      <c r="B39" s="23" t="s">
        <v>856</v>
      </c>
      <c r="C39" s="23" t="s">
        <v>3151</v>
      </c>
      <c r="D39" s="23" t="s">
        <v>859</v>
      </c>
      <c r="E39" s="21" t="s">
        <v>137</v>
      </c>
      <c r="F39" s="23" t="s">
        <v>755</v>
      </c>
      <c r="G39" s="21" t="s">
        <v>755</v>
      </c>
    </row>
    <row r="40" ht="22.5" hidden="1" customHeight="1">
      <c r="A40" s="23" t="s">
        <v>793</v>
      </c>
      <c r="B40" s="23" t="s">
        <v>794</v>
      </c>
      <c r="C40" s="23" t="s">
        <v>193</v>
      </c>
      <c r="D40" s="23" t="s">
        <v>795</v>
      </c>
      <c r="E40" s="21" t="s">
        <v>148</v>
      </c>
      <c r="F40" s="23" t="s">
        <v>755</v>
      </c>
      <c r="G40" s="21" t="s">
        <v>755</v>
      </c>
    </row>
    <row r="41" ht="22.5" hidden="1" customHeight="1">
      <c r="A41" s="23" t="s">
        <v>752</v>
      </c>
      <c r="B41" s="23" t="s">
        <v>753</v>
      </c>
      <c r="C41" s="23" t="s">
        <v>196</v>
      </c>
      <c r="D41" s="23" t="s">
        <v>754</v>
      </c>
      <c r="E41" s="21" t="s">
        <v>148</v>
      </c>
      <c r="F41" s="23" t="s">
        <v>755</v>
      </c>
      <c r="G41" s="21" t="s">
        <v>755</v>
      </c>
    </row>
    <row r="42" ht="22.5" hidden="1" customHeight="1">
      <c r="A42" s="23" t="s">
        <v>857</v>
      </c>
      <c r="B42" s="23" t="s">
        <v>858</v>
      </c>
      <c r="C42" s="23" t="s">
        <v>3152</v>
      </c>
      <c r="D42" s="23" t="s">
        <v>859</v>
      </c>
      <c r="E42" s="21" t="s">
        <v>137</v>
      </c>
      <c r="F42" s="23" t="s">
        <v>755</v>
      </c>
      <c r="G42" s="21" t="s">
        <v>755</v>
      </c>
    </row>
    <row r="43" ht="22.5" hidden="1" customHeight="1">
      <c r="A43" s="23" t="s">
        <v>860</v>
      </c>
      <c r="B43" s="23" t="s">
        <v>861</v>
      </c>
      <c r="C43" s="23" t="s">
        <v>3153</v>
      </c>
      <c r="D43" s="23" t="s">
        <v>859</v>
      </c>
      <c r="E43" s="21" t="s">
        <v>734</v>
      </c>
      <c r="F43" s="23" t="s">
        <v>755</v>
      </c>
      <c r="G43" s="21" t="s">
        <v>755</v>
      </c>
    </row>
    <row r="44" ht="22.5" hidden="1" customHeight="1">
      <c r="A44" s="23" t="s">
        <v>862</v>
      </c>
      <c r="B44" s="23" t="s">
        <v>863</v>
      </c>
      <c r="C44" s="23" t="s">
        <v>3154</v>
      </c>
      <c r="D44" s="23" t="s">
        <v>864</v>
      </c>
      <c r="E44" s="21" t="s">
        <v>151</v>
      </c>
      <c r="F44" s="23" t="s">
        <v>755</v>
      </c>
      <c r="G44" s="21" t="s">
        <v>755</v>
      </c>
    </row>
    <row r="45" ht="22.5" hidden="1" customHeight="1">
      <c r="A45" s="23" t="s">
        <v>865</v>
      </c>
      <c r="B45" s="23" t="s">
        <v>866</v>
      </c>
      <c r="C45" s="23" t="s">
        <v>3155</v>
      </c>
      <c r="D45" s="23" t="s">
        <v>864</v>
      </c>
      <c r="E45" s="21" t="s">
        <v>144</v>
      </c>
      <c r="F45" s="23" t="s">
        <v>755</v>
      </c>
      <c r="G45" s="21" t="s">
        <v>755</v>
      </c>
    </row>
    <row r="46" ht="22.5" hidden="1" customHeight="1">
      <c r="A46" s="23" t="s">
        <v>764</v>
      </c>
      <c r="B46" s="23" t="s">
        <v>765</v>
      </c>
      <c r="C46" s="23" t="s">
        <v>199</v>
      </c>
      <c r="D46" s="23" t="s">
        <v>768</v>
      </c>
      <c r="E46" s="21" t="s">
        <v>734</v>
      </c>
      <c r="F46" s="23" t="s">
        <v>755</v>
      </c>
      <c r="G46" s="21" t="s">
        <v>755</v>
      </c>
    </row>
    <row r="47" ht="22.5" hidden="1" customHeight="1">
      <c r="A47" s="27" t="s">
        <v>123</v>
      </c>
      <c r="B47" s="27" t="s">
        <v>815</v>
      </c>
      <c r="C47" s="27" t="s">
        <v>3156</v>
      </c>
      <c r="D47" s="27" t="s">
        <v>819</v>
      </c>
      <c r="E47" s="25" t="s">
        <v>148</v>
      </c>
      <c r="F47" s="27" t="s">
        <v>816</v>
      </c>
      <c r="G47" s="25" t="s">
        <v>817</v>
      </c>
    </row>
    <row r="48" ht="22.5" hidden="1" customHeight="1">
      <c r="A48" s="23" t="s">
        <v>867</v>
      </c>
      <c r="B48" s="23" t="s">
        <v>868</v>
      </c>
      <c r="C48" s="23" t="s">
        <v>3157</v>
      </c>
      <c r="D48" s="23" t="s">
        <v>864</v>
      </c>
      <c r="E48" s="21" t="s">
        <v>144</v>
      </c>
      <c r="F48" s="23" t="s">
        <v>755</v>
      </c>
      <c r="G48" s="21" t="s">
        <v>755</v>
      </c>
    </row>
    <row r="49" ht="22.5" hidden="1" customHeight="1">
      <c r="A49" s="23" t="s">
        <v>869</v>
      </c>
      <c r="B49" s="23" t="s">
        <v>870</v>
      </c>
      <c r="C49" s="23" t="s">
        <v>3158</v>
      </c>
      <c r="D49" s="23" t="s">
        <v>864</v>
      </c>
      <c r="E49" s="21" t="s">
        <v>144</v>
      </c>
      <c r="F49" s="23" t="s">
        <v>755</v>
      </c>
      <c r="G49" s="21" t="s">
        <v>755</v>
      </c>
    </row>
    <row r="50" ht="22.5" hidden="1" customHeight="1">
      <c r="A50" s="23" t="s">
        <v>951</v>
      </c>
      <c r="B50" s="23" t="s">
        <v>3159</v>
      </c>
      <c r="C50" s="23" t="s">
        <v>202</v>
      </c>
      <c r="D50" s="23" t="s">
        <v>768</v>
      </c>
      <c r="E50" s="21" t="s">
        <v>131</v>
      </c>
      <c r="F50" s="23" t="s">
        <v>755</v>
      </c>
      <c r="G50" s="21" t="s">
        <v>755</v>
      </c>
    </row>
    <row r="51" ht="22.5" hidden="1" customHeight="1">
      <c r="A51" s="23" t="s">
        <v>871</v>
      </c>
      <c r="B51" s="23" t="s">
        <v>872</v>
      </c>
      <c r="C51" s="23" t="s">
        <v>3160</v>
      </c>
      <c r="D51" s="23" t="s">
        <v>864</v>
      </c>
      <c r="E51" s="21" t="s">
        <v>144</v>
      </c>
      <c r="F51" s="23" t="s">
        <v>755</v>
      </c>
      <c r="G51" s="21" t="s">
        <v>755</v>
      </c>
    </row>
    <row r="52" ht="22.5" hidden="1" customHeight="1">
      <c r="A52" s="23" t="s">
        <v>876</v>
      </c>
      <c r="B52" s="23" t="s">
        <v>877</v>
      </c>
      <c r="C52" s="23" t="s">
        <v>3161</v>
      </c>
      <c r="D52" s="23" t="s">
        <v>878</v>
      </c>
      <c r="E52" s="21" t="s">
        <v>734</v>
      </c>
      <c r="F52" s="23" t="s">
        <v>755</v>
      </c>
      <c r="G52" s="21" t="s">
        <v>755</v>
      </c>
    </row>
    <row r="53" ht="22.5" hidden="1" customHeight="1">
      <c r="A53" s="23" t="s">
        <v>879</v>
      </c>
      <c r="B53" s="23" t="s">
        <v>880</v>
      </c>
      <c r="C53" s="23" t="s">
        <v>3162</v>
      </c>
      <c r="D53" s="23" t="s">
        <v>878</v>
      </c>
      <c r="E53" s="21" t="s">
        <v>137</v>
      </c>
      <c r="F53" s="23" t="s">
        <v>755</v>
      </c>
      <c r="G53" s="21" t="s">
        <v>755</v>
      </c>
    </row>
    <row r="54" ht="22.5" hidden="1" customHeight="1">
      <c r="A54" s="23" t="s">
        <v>881</v>
      </c>
      <c r="B54" s="23" t="s">
        <v>882</v>
      </c>
      <c r="C54" s="23" t="s">
        <v>3163</v>
      </c>
      <c r="D54" s="23" t="s">
        <v>878</v>
      </c>
      <c r="E54" s="21" t="s">
        <v>123</v>
      </c>
      <c r="F54" s="23" t="s">
        <v>755</v>
      </c>
      <c r="G54" s="21" t="s">
        <v>755</v>
      </c>
    </row>
    <row r="55" ht="22.5" hidden="1" customHeight="1">
      <c r="A55" s="23" t="s">
        <v>883</v>
      </c>
      <c r="B55" s="23" t="s">
        <v>884</v>
      </c>
      <c r="C55" s="23" t="s">
        <v>3164</v>
      </c>
      <c r="D55" s="23" t="s">
        <v>878</v>
      </c>
      <c r="E55" s="21" t="s">
        <v>123</v>
      </c>
      <c r="F55" s="23" t="s">
        <v>755</v>
      </c>
      <c r="G55" s="21" t="s">
        <v>755</v>
      </c>
    </row>
    <row r="56" ht="22.5" hidden="1" customHeight="1">
      <c r="A56" s="23" t="s">
        <v>885</v>
      </c>
      <c r="B56" s="23" t="s">
        <v>886</v>
      </c>
      <c r="C56" s="23" t="s">
        <v>3165</v>
      </c>
      <c r="D56" s="23" t="s">
        <v>878</v>
      </c>
      <c r="E56" s="21" t="s">
        <v>137</v>
      </c>
      <c r="F56" s="23" t="s">
        <v>755</v>
      </c>
      <c r="G56" s="21" t="s">
        <v>755</v>
      </c>
    </row>
    <row r="57" ht="22.5" hidden="1" customHeight="1">
      <c r="A57" s="23" t="s">
        <v>887</v>
      </c>
      <c r="B57" s="23" t="s">
        <v>888</v>
      </c>
      <c r="C57" s="23" t="s">
        <v>3166</v>
      </c>
      <c r="D57" s="23" t="s">
        <v>3127</v>
      </c>
      <c r="E57" s="21" t="s">
        <v>137</v>
      </c>
      <c r="F57" s="23" t="s">
        <v>755</v>
      </c>
      <c r="G57" s="21" t="s">
        <v>755</v>
      </c>
    </row>
    <row r="58" ht="22.5" hidden="1" customHeight="1">
      <c r="A58" s="27" t="s">
        <v>131</v>
      </c>
      <c r="B58" s="27" t="s">
        <v>818</v>
      </c>
      <c r="C58" s="27" t="s">
        <v>3167</v>
      </c>
      <c r="D58" s="27" t="s">
        <v>819</v>
      </c>
      <c r="E58" s="25" t="s">
        <v>137</v>
      </c>
      <c r="F58" s="27" t="s">
        <v>820</v>
      </c>
      <c r="G58" s="25" t="s">
        <v>821</v>
      </c>
    </row>
    <row r="59" ht="22.5" hidden="1" customHeight="1">
      <c r="A59" s="23" t="s">
        <v>796</v>
      </c>
      <c r="B59" s="23" t="s">
        <v>797</v>
      </c>
      <c r="C59" s="23" t="s">
        <v>205</v>
      </c>
      <c r="D59" s="23" t="s">
        <v>795</v>
      </c>
      <c r="E59" s="21" t="s">
        <v>148</v>
      </c>
      <c r="F59" s="23" t="s">
        <v>755</v>
      </c>
      <c r="G59" s="21" t="s">
        <v>755</v>
      </c>
    </row>
    <row r="60" ht="22.5" hidden="1" customHeight="1">
      <c r="A60" s="23" t="s">
        <v>766</v>
      </c>
      <c r="B60" s="23" t="s">
        <v>767</v>
      </c>
      <c r="C60" s="23" t="s">
        <v>208</v>
      </c>
      <c r="D60" s="23" t="s">
        <v>768</v>
      </c>
      <c r="E60" s="21" t="s">
        <v>148</v>
      </c>
      <c r="F60" s="23" t="s">
        <v>755</v>
      </c>
      <c r="G60" s="21" t="s">
        <v>755</v>
      </c>
    </row>
    <row r="61" ht="22.5" hidden="1" customHeight="1">
      <c r="A61" s="23" t="s">
        <v>756</v>
      </c>
      <c r="B61" s="23" t="s">
        <v>757</v>
      </c>
      <c r="C61" s="23" t="s">
        <v>211</v>
      </c>
      <c r="D61" s="23" t="s">
        <v>754</v>
      </c>
      <c r="E61" s="21" t="s">
        <v>148</v>
      </c>
      <c r="F61" s="23" t="s">
        <v>755</v>
      </c>
      <c r="G61" s="21" t="s">
        <v>755</v>
      </c>
    </row>
    <row r="62" ht="22.5" hidden="1" customHeight="1">
      <c r="A62" s="23" t="s">
        <v>892</v>
      </c>
      <c r="B62" s="23" t="s">
        <v>893</v>
      </c>
      <c r="C62" s="23" t="s">
        <v>3168</v>
      </c>
      <c r="D62" s="23" t="s">
        <v>894</v>
      </c>
      <c r="E62" s="21" t="s">
        <v>148</v>
      </c>
      <c r="F62" s="23" t="s">
        <v>755</v>
      </c>
      <c r="G62" s="21" t="s">
        <v>755</v>
      </c>
    </row>
    <row r="63" ht="22.5" customHeight="1">
      <c r="A63" s="23" t="s">
        <v>935</v>
      </c>
      <c r="B63" s="23" t="s">
        <v>40</v>
      </c>
      <c r="C63" s="23" t="s">
        <v>41</v>
      </c>
      <c r="D63" s="23"/>
      <c r="E63" s="23" t="s">
        <v>838</v>
      </c>
      <c r="F63" s="23" t="s">
        <v>755</v>
      </c>
      <c r="G63" s="21" t="s">
        <v>755</v>
      </c>
    </row>
    <row r="64" ht="22.5" hidden="1" customHeight="1">
      <c r="A64" s="23" t="s">
        <v>769</v>
      </c>
      <c r="B64" s="23" t="s">
        <v>770</v>
      </c>
      <c r="C64" s="23" t="s">
        <v>214</v>
      </c>
      <c r="D64" s="23" t="s">
        <v>768</v>
      </c>
      <c r="E64" s="21" t="s">
        <v>131</v>
      </c>
      <c r="F64" s="23" t="s">
        <v>755</v>
      </c>
      <c r="G64" s="21" t="s">
        <v>755</v>
      </c>
    </row>
    <row r="65" ht="22.5" hidden="1" customHeight="1">
      <c r="A65" s="23" t="s">
        <v>895</v>
      </c>
      <c r="B65" s="23" t="s">
        <v>896</v>
      </c>
      <c r="C65" s="23" t="s">
        <v>3169</v>
      </c>
      <c r="D65" s="23" t="s">
        <v>894</v>
      </c>
      <c r="E65" s="21" t="s">
        <v>148</v>
      </c>
      <c r="F65" s="23" t="s">
        <v>755</v>
      </c>
      <c r="G65" s="21" t="s">
        <v>755</v>
      </c>
    </row>
    <row r="66" ht="22.5" hidden="1" customHeight="1">
      <c r="A66" s="23" t="s">
        <v>897</v>
      </c>
      <c r="B66" s="23" t="s">
        <v>898</v>
      </c>
      <c r="C66" s="23" t="s">
        <v>3170</v>
      </c>
      <c r="D66" s="23" t="s">
        <v>894</v>
      </c>
      <c r="E66" s="21" t="s">
        <v>148</v>
      </c>
      <c r="F66" s="23" t="s">
        <v>755</v>
      </c>
      <c r="G66" s="21" t="s">
        <v>755</v>
      </c>
    </row>
    <row r="67" ht="22.5" hidden="1" customHeight="1">
      <c r="A67" s="23" t="s">
        <v>889</v>
      </c>
      <c r="B67" s="23" t="s">
        <v>890</v>
      </c>
      <c r="C67" s="23" t="s">
        <v>3171</v>
      </c>
      <c r="D67" s="23" t="s">
        <v>891</v>
      </c>
      <c r="E67" s="21" t="s">
        <v>144</v>
      </c>
      <c r="F67" s="23" t="s">
        <v>755</v>
      </c>
      <c r="G67" s="21" t="s">
        <v>755</v>
      </c>
    </row>
    <row r="68" ht="22.5" hidden="1" customHeight="1">
      <c r="A68" s="23" t="s">
        <v>899</v>
      </c>
      <c r="B68" s="23" t="s">
        <v>900</v>
      </c>
      <c r="C68" s="23" t="s">
        <v>3172</v>
      </c>
      <c r="D68" s="23" t="s">
        <v>894</v>
      </c>
      <c r="E68" s="21" t="s">
        <v>148</v>
      </c>
      <c r="F68" s="23" t="s">
        <v>755</v>
      </c>
      <c r="G68" s="21" t="s">
        <v>755</v>
      </c>
    </row>
    <row r="69" ht="22.5" hidden="1" customHeight="1">
      <c r="A69" s="27" t="s">
        <v>137</v>
      </c>
      <c r="B69" s="27" t="s">
        <v>822</v>
      </c>
      <c r="C69" s="27" t="s">
        <v>3173</v>
      </c>
      <c r="D69" s="27" t="s">
        <v>819</v>
      </c>
      <c r="E69" s="25" t="s">
        <v>137</v>
      </c>
      <c r="F69" s="27" t="s">
        <v>823</v>
      </c>
      <c r="G69" s="25" t="s">
        <v>823</v>
      </c>
    </row>
    <row r="70" ht="22.5" hidden="1" customHeight="1">
      <c r="A70" s="23" t="s">
        <v>952</v>
      </c>
      <c r="B70" s="23" t="s">
        <v>3174</v>
      </c>
      <c r="C70" s="23" t="s">
        <v>3175</v>
      </c>
      <c r="D70" s="23" t="s">
        <v>3176</v>
      </c>
      <c r="E70" s="21" t="s">
        <v>148</v>
      </c>
      <c r="F70" s="23" t="s">
        <v>755</v>
      </c>
      <c r="G70" s="21" t="s">
        <v>755</v>
      </c>
    </row>
    <row r="71" ht="22.5" hidden="1" customHeight="1">
      <c r="A71" s="23" t="s">
        <v>901</v>
      </c>
      <c r="B71" s="23" t="s">
        <v>902</v>
      </c>
      <c r="C71" s="23" t="s">
        <v>3177</v>
      </c>
      <c r="D71" s="23" t="s">
        <v>903</v>
      </c>
      <c r="E71" s="21" t="s">
        <v>144</v>
      </c>
      <c r="F71" s="23" t="s">
        <v>755</v>
      </c>
      <c r="G71" s="21" t="s">
        <v>755</v>
      </c>
    </row>
    <row r="72" ht="22.5" hidden="1" customHeight="1">
      <c r="A72" s="23" t="s">
        <v>904</v>
      </c>
      <c r="B72" s="23" t="s">
        <v>905</v>
      </c>
      <c r="C72" s="23" t="s">
        <v>3178</v>
      </c>
      <c r="D72" s="23" t="s">
        <v>903</v>
      </c>
      <c r="E72" s="21" t="s">
        <v>131</v>
      </c>
      <c r="F72" s="23" t="s">
        <v>755</v>
      </c>
      <c r="G72" s="21" t="s">
        <v>755</v>
      </c>
    </row>
    <row r="73" ht="22.5" hidden="1" customHeight="1">
      <c r="A73" s="23" t="s">
        <v>906</v>
      </c>
      <c r="B73" s="23" t="s">
        <v>907</v>
      </c>
      <c r="C73" s="23" t="s">
        <v>3179</v>
      </c>
      <c r="D73" s="23" t="s">
        <v>903</v>
      </c>
      <c r="E73" s="21" t="s">
        <v>131</v>
      </c>
      <c r="F73" s="23" t="s">
        <v>755</v>
      </c>
      <c r="G73" s="21" t="s">
        <v>755</v>
      </c>
    </row>
    <row r="74" ht="22.5" hidden="1" customHeight="1">
      <c r="A74" s="23" t="s">
        <v>908</v>
      </c>
      <c r="B74" s="23" t="s">
        <v>909</v>
      </c>
      <c r="C74" s="23" t="s">
        <v>3180</v>
      </c>
      <c r="D74" s="23" t="s">
        <v>903</v>
      </c>
      <c r="E74" s="21" t="s">
        <v>131</v>
      </c>
      <c r="F74" s="23" t="s">
        <v>755</v>
      </c>
      <c r="G74" s="21" t="s">
        <v>755</v>
      </c>
    </row>
    <row r="75" ht="22.5" customHeight="1">
      <c r="A75" s="23" t="s">
        <v>936</v>
      </c>
      <c r="B75" s="23" t="s">
        <v>53</v>
      </c>
      <c r="C75" s="23" t="s">
        <v>54</v>
      </c>
      <c r="D75" s="23"/>
      <c r="E75" s="23" t="s">
        <v>838</v>
      </c>
      <c r="F75" s="23" t="s">
        <v>755</v>
      </c>
      <c r="G75" s="21" t="s">
        <v>755</v>
      </c>
    </row>
    <row r="76" ht="22.5" hidden="1" customHeight="1">
      <c r="A76" s="23" t="s">
        <v>910</v>
      </c>
      <c r="B76" s="23" t="s">
        <v>911</v>
      </c>
      <c r="C76" s="23" t="s">
        <v>3181</v>
      </c>
      <c r="D76" s="23" t="s">
        <v>903</v>
      </c>
      <c r="E76" s="21" t="s">
        <v>131</v>
      </c>
      <c r="F76" s="23" t="s">
        <v>755</v>
      </c>
      <c r="G76" s="21" t="s">
        <v>755</v>
      </c>
    </row>
    <row r="77" ht="22.5" customHeight="1">
      <c r="A77" s="23" t="s">
        <v>937</v>
      </c>
      <c r="B77" s="23" t="s">
        <v>72</v>
      </c>
      <c r="C77" s="23" t="s">
        <v>73</v>
      </c>
      <c r="D77" s="23"/>
      <c r="E77" s="23" t="s">
        <v>838</v>
      </c>
      <c r="F77" s="23" t="s">
        <v>755</v>
      </c>
      <c r="G77" s="21" t="s">
        <v>755</v>
      </c>
    </row>
    <row r="78" ht="22.5" hidden="1" customHeight="1">
      <c r="A78" s="27" t="s">
        <v>144</v>
      </c>
      <c r="B78" s="27" t="s">
        <v>824</v>
      </c>
      <c r="C78" s="27" t="s">
        <v>3182</v>
      </c>
      <c r="D78" s="27" t="s">
        <v>825</v>
      </c>
      <c r="E78" s="25" t="s">
        <v>137</v>
      </c>
      <c r="F78" s="27" t="s">
        <v>826</v>
      </c>
      <c r="G78" s="25" t="s">
        <v>826</v>
      </c>
    </row>
    <row r="79" ht="22.5" hidden="1" customHeight="1">
      <c r="A79" s="23" t="s">
        <v>810</v>
      </c>
      <c r="B79" s="23" t="s">
        <v>33</v>
      </c>
      <c r="C79" s="23" t="s">
        <v>34</v>
      </c>
      <c r="D79" s="23" t="s">
        <v>795</v>
      </c>
      <c r="E79" s="21" t="s">
        <v>151</v>
      </c>
      <c r="F79" s="23" t="s">
        <v>755</v>
      </c>
      <c r="G79" s="21" t="s">
        <v>755</v>
      </c>
    </row>
    <row r="80" ht="22.5" hidden="1" customHeight="1">
      <c r="A80" s="23" t="s">
        <v>912</v>
      </c>
      <c r="B80" s="23" t="s">
        <v>913</v>
      </c>
      <c r="C80" s="23" t="s">
        <v>3183</v>
      </c>
      <c r="D80" s="23" t="s">
        <v>795</v>
      </c>
      <c r="E80" s="21" t="s">
        <v>148</v>
      </c>
      <c r="F80" s="23" t="s">
        <v>755</v>
      </c>
      <c r="G80" s="21" t="s">
        <v>755</v>
      </c>
    </row>
    <row r="81" ht="22.5" hidden="1" customHeight="1">
      <c r="A81" s="23" t="s">
        <v>771</v>
      </c>
      <c r="B81" s="23" t="s">
        <v>772</v>
      </c>
      <c r="C81" s="23" t="s">
        <v>219</v>
      </c>
      <c r="D81" s="23" t="s">
        <v>768</v>
      </c>
      <c r="E81" s="21" t="s">
        <v>734</v>
      </c>
      <c r="F81" s="23" t="s">
        <v>755</v>
      </c>
      <c r="G81" s="21" t="s">
        <v>755</v>
      </c>
    </row>
    <row r="82" ht="22.5" customHeight="1">
      <c r="A82" s="23" t="s">
        <v>938</v>
      </c>
      <c r="B82" s="23" t="s">
        <v>47</v>
      </c>
      <c r="C82" s="23" t="s">
        <v>48</v>
      </c>
      <c r="D82" s="23"/>
      <c r="E82" s="23" t="s">
        <v>838</v>
      </c>
      <c r="F82" s="23" t="s">
        <v>755</v>
      </c>
      <c r="G82" s="21" t="s">
        <v>755</v>
      </c>
    </row>
    <row r="83" ht="22.5" hidden="1" customHeight="1">
      <c r="A83" s="23" t="s">
        <v>773</v>
      </c>
      <c r="B83" s="23" t="s">
        <v>774</v>
      </c>
      <c r="C83" s="23" t="s">
        <v>222</v>
      </c>
      <c r="D83" s="23" t="s">
        <v>768</v>
      </c>
      <c r="E83" s="21" t="s">
        <v>148</v>
      </c>
      <c r="F83" s="23" t="s">
        <v>755</v>
      </c>
      <c r="G83" s="21" t="s">
        <v>755</v>
      </c>
    </row>
    <row r="84" ht="22.5" hidden="1" customHeight="1">
      <c r="A84" s="23" t="s">
        <v>914</v>
      </c>
      <c r="B84" s="23" t="s">
        <v>915</v>
      </c>
      <c r="C84" s="23" t="s">
        <v>3184</v>
      </c>
      <c r="D84" s="23" t="s">
        <v>916</v>
      </c>
      <c r="E84" s="21" t="s">
        <v>144</v>
      </c>
      <c r="F84" s="23" t="s">
        <v>755</v>
      </c>
      <c r="G84" s="21" t="s">
        <v>755</v>
      </c>
    </row>
    <row r="85" ht="22.5" hidden="1" customHeight="1">
      <c r="A85" s="23" t="s">
        <v>719</v>
      </c>
      <c r="B85" s="23" t="s">
        <v>720</v>
      </c>
      <c r="C85" s="23" t="s">
        <v>225</v>
      </c>
      <c r="D85" s="23" t="s">
        <v>3185</v>
      </c>
      <c r="E85" s="21" t="s">
        <v>3114</v>
      </c>
      <c r="F85" s="23" t="s">
        <v>721</v>
      </c>
      <c r="G85" s="21" t="s">
        <v>721</v>
      </c>
    </row>
    <row r="86" ht="22.5" hidden="1" customHeight="1">
      <c r="A86" s="23" t="s">
        <v>725</v>
      </c>
      <c r="B86" s="23" t="s">
        <v>726</v>
      </c>
      <c r="C86" s="23" t="s">
        <v>228</v>
      </c>
      <c r="D86" s="23" t="s">
        <v>3186</v>
      </c>
      <c r="E86" s="21" t="s">
        <v>3114</v>
      </c>
      <c r="F86" s="23" t="s">
        <v>727</v>
      </c>
      <c r="G86" s="21" t="s">
        <v>727</v>
      </c>
    </row>
    <row r="87" ht="22.5" hidden="1" customHeight="1">
      <c r="A87" s="23" t="s">
        <v>708</v>
      </c>
      <c r="B87" s="23" t="s">
        <v>709</v>
      </c>
      <c r="C87" s="23" t="s">
        <v>231</v>
      </c>
      <c r="D87" s="23" t="s">
        <v>3187</v>
      </c>
      <c r="E87" s="21" t="s">
        <v>3114</v>
      </c>
      <c r="F87" s="23" t="s">
        <v>710</v>
      </c>
      <c r="G87" s="21" t="s">
        <v>710</v>
      </c>
    </row>
    <row r="88" ht="22.5" hidden="1" customHeight="1">
      <c r="A88" s="23" t="s">
        <v>960</v>
      </c>
      <c r="B88" s="23" t="s">
        <v>3188</v>
      </c>
      <c r="C88" s="23" t="s">
        <v>3189</v>
      </c>
      <c r="D88" s="23" t="s">
        <v>864</v>
      </c>
      <c r="E88" s="21" t="s">
        <v>3114</v>
      </c>
      <c r="F88" s="23" t="s">
        <v>3190</v>
      </c>
      <c r="G88" s="21" t="s">
        <v>3190</v>
      </c>
    </row>
    <row r="89" ht="22.5" hidden="1" customHeight="1">
      <c r="A89" s="23" t="s">
        <v>798</v>
      </c>
      <c r="B89" s="23" t="s">
        <v>799</v>
      </c>
      <c r="C89" s="23" t="s">
        <v>234</v>
      </c>
      <c r="D89" s="23" t="s">
        <v>795</v>
      </c>
      <c r="E89" s="21" t="s">
        <v>3114</v>
      </c>
      <c r="F89" s="23" t="s">
        <v>800</v>
      </c>
      <c r="G89" s="21" t="s">
        <v>800</v>
      </c>
    </row>
    <row r="90" ht="22.5" hidden="1" customHeight="1">
      <c r="A90" s="23" t="s">
        <v>962</v>
      </c>
      <c r="B90" s="23" t="s">
        <v>3191</v>
      </c>
      <c r="C90" s="23" t="s">
        <v>3192</v>
      </c>
      <c r="D90" s="23" t="s">
        <v>795</v>
      </c>
      <c r="E90" s="21" t="s">
        <v>3114</v>
      </c>
      <c r="F90" s="23" t="s">
        <v>3193</v>
      </c>
      <c r="G90" s="21" t="s">
        <v>3193</v>
      </c>
    </row>
    <row r="91" ht="22.5" hidden="1" customHeight="1">
      <c r="A91" s="23" t="s">
        <v>781</v>
      </c>
      <c r="B91" s="23" t="s">
        <v>782</v>
      </c>
      <c r="C91" s="23" t="s">
        <v>237</v>
      </c>
      <c r="D91" s="23" t="s">
        <v>903</v>
      </c>
      <c r="E91" s="21" t="s">
        <v>3114</v>
      </c>
      <c r="F91" s="23" t="s">
        <v>783</v>
      </c>
      <c r="G91" s="21" t="s">
        <v>783</v>
      </c>
    </row>
    <row r="92" ht="22.5" hidden="1" customHeight="1">
      <c r="A92" s="23" t="s">
        <v>784</v>
      </c>
      <c r="B92" s="23" t="s">
        <v>785</v>
      </c>
      <c r="C92" s="23" t="s">
        <v>240</v>
      </c>
      <c r="D92" s="23" t="s">
        <v>903</v>
      </c>
      <c r="E92" s="21" t="s">
        <v>3114</v>
      </c>
      <c r="F92" s="23" t="s">
        <v>786</v>
      </c>
      <c r="G92" s="21" t="s">
        <v>786</v>
      </c>
    </row>
    <row r="93" ht="22.5" hidden="1" customHeight="1">
      <c r="A93" s="23" t="s">
        <v>737</v>
      </c>
      <c r="B93" s="23" t="s">
        <v>738</v>
      </c>
      <c r="C93" s="23" t="s">
        <v>243</v>
      </c>
      <c r="D93" s="23" t="s">
        <v>864</v>
      </c>
      <c r="E93" s="21" t="s">
        <v>3114</v>
      </c>
      <c r="F93" s="23" t="s">
        <v>739</v>
      </c>
      <c r="G93" s="21" t="s">
        <v>739</v>
      </c>
    </row>
    <row r="94" ht="22.5" hidden="1" customHeight="1">
      <c r="A94" s="23" t="s">
        <v>746</v>
      </c>
      <c r="B94" s="23" t="s">
        <v>747</v>
      </c>
      <c r="C94" s="23" t="s">
        <v>246</v>
      </c>
      <c r="D94" s="23" t="s">
        <v>3194</v>
      </c>
      <c r="E94" s="21" t="s">
        <v>3114</v>
      </c>
      <c r="F94" s="23" t="s">
        <v>748</v>
      </c>
      <c r="G94" s="21" t="s">
        <v>748</v>
      </c>
    </row>
    <row r="95" ht="22.5" hidden="1" customHeight="1">
      <c r="A95" s="23" t="s">
        <v>722</v>
      </c>
      <c r="B95" s="23" t="s">
        <v>723</v>
      </c>
      <c r="C95" s="23" t="s">
        <v>249</v>
      </c>
      <c r="D95" s="23" t="s">
        <v>835</v>
      </c>
      <c r="E95" s="21" t="s">
        <v>3114</v>
      </c>
      <c r="F95" s="23" t="s">
        <v>724</v>
      </c>
      <c r="G95" s="21" t="s">
        <v>724</v>
      </c>
    </row>
    <row r="96" ht="22.5" hidden="1" customHeight="1">
      <c r="A96" s="23" t="s">
        <v>704</v>
      </c>
      <c r="B96" s="23" t="s">
        <v>705</v>
      </c>
      <c r="C96" s="23" t="s">
        <v>3195</v>
      </c>
      <c r="D96" s="23" t="s">
        <v>3116</v>
      </c>
      <c r="E96" s="21" t="s">
        <v>3114</v>
      </c>
      <c r="F96" s="23" t="s">
        <v>706</v>
      </c>
      <c r="G96" s="21" t="s">
        <v>706</v>
      </c>
    </row>
    <row r="97" ht="22.5" hidden="1" customHeight="1">
      <c r="A97" s="27" t="s">
        <v>151</v>
      </c>
      <c r="B97" s="27" t="s">
        <v>827</v>
      </c>
      <c r="C97" s="27" t="s">
        <v>3196</v>
      </c>
      <c r="D97" s="27" t="s">
        <v>828</v>
      </c>
      <c r="E97" s="25" t="s">
        <v>151</v>
      </c>
      <c r="F97" s="27" t="s">
        <v>829</v>
      </c>
      <c r="G97" s="25" t="s">
        <v>829</v>
      </c>
    </row>
    <row r="98" ht="22.5" hidden="1" customHeight="1">
      <c r="A98" s="23" t="s">
        <v>740</v>
      </c>
      <c r="B98" s="23" t="s">
        <v>741</v>
      </c>
      <c r="C98" s="23" t="s">
        <v>255</v>
      </c>
      <c r="D98" s="23" t="s">
        <v>864</v>
      </c>
      <c r="E98" s="21" t="s">
        <v>3114</v>
      </c>
      <c r="F98" s="23" t="s">
        <v>742</v>
      </c>
      <c r="G98" s="21" t="s">
        <v>742</v>
      </c>
    </row>
    <row r="99" ht="22.5" hidden="1" customHeight="1">
      <c r="A99" s="23" t="s">
        <v>964</v>
      </c>
      <c r="B99" s="23" t="s">
        <v>3197</v>
      </c>
      <c r="C99" s="23" t="s">
        <v>3198</v>
      </c>
      <c r="D99" s="23" t="s">
        <v>835</v>
      </c>
      <c r="E99" s="21" t="s">
        <v>3114</v>
      </c>
      <c r="F99" s="23" t="s">
        <v>3199</v>
      </c>
      <c r="G99" s="21" t="s">
        <v>3199</v>
      </c>
    </row>
    <row r="100" ht="22.5" hidden="1" customHeight="1">
      <c r="A100" s="23" t="s">
        <v>729</v>
      </c>
      <c r="B100" s="23" t="s">
        <v>730</v>
      </c>
      <c r="C100" s="23" t="s">
        <v>258</v>
      </c>
      <c r="D100" s="23" t="s">
        <v>3186</v>
      </c>
      <c r="E100" s="21" t="s">
        <v>3114</v>
      </c>
      <c r="F100" s="23" t="s">
        <v>731</v>
      </c>
      <c r="G100" s="21" t="s">
        <v>731</v>
      </c>
    </row>
    <row r="101" ht="22.5" hidden="1" customHeight="1">
      <c r="A101" s="23" t="s">
        <v>965</v>
      </c>
      <c r="B101" s="23" t="s">
        <v>3200</v>
      </c>
      <c r="C101" s="23" t="s">
        <v>3201</v>
      </c>
      <c r="D101" s="23" t="s">
        <v>3202</v>
      </c>
      <c r="E101" s="21" t="s">
        <v>3114</v>
      </c>
      <c r="F101" s="23" t="s">
        <v>3203</v>
      </c>
      <c r="G101" s="21" t="s">
        <v>3203</v>
      </c>
    </row>
    <row r="102" ht="22.5" hidden="1" customHeight="1">
      <c r="A102" s="23" t="s">
        <v>696</v>
      </c>
      <c r="B102" s="23" t="s">
        <v>697</v>
      </c>
      <c r="C102" s="23" t="s">
        <v>3204</v>
      </c>
      <c r="D102" s="23" t="s">
        <v>3119</v>
      </c>
      <c r="E102" s="21" t="s">
        <v>3114</v>
      </c>
      <c r="F102" s="23" t="s">
        <v>698</v>
      </c>
      <c r="G102" s="21" t="s">
        <v>698</v>
      </c>
    </row>
    <row r="103" ht="22.5" hidden="1" customHeight="1">
      <c r="A103" s="23" t="s">
        <v>966</v>
      </c>
      <c r="B103" s="23" t="s">
        <v>3205</v>
      </c>
      <c r="C103" s="23" t="s">
        <v>3206</v>
      </c>
      <c r="D103" s="23" t="s">
        <v>3207</v>
      </c>
      <c r="E103" s="21" t="s">
        <v>3114</v>
      </c>
      <c r="F103" s="23" t="s">
        <v>3208</v>
      </c>
      <c r="G103" s="21" t="s">
        <v>3208</v>
      </c>
    </row>
    <row r="104" ht="22.5" hidden="1" customHeight="1">
      <c r="A104" s="23" t="s">
        <v>939</v>
      </c>
      <c r="B104" s="23" t="s">
        <v>940</v>
      </c>
      <c r="C104" s="23" t="s">
        <v>3209</v>
      </c>
      <c r="D104" s="23" t="s">
        <v>859</v>
      </c>
      <c r="E104" s="21" t="s">
        <v>3114</v>
      </c>
      <c r="F104" s="23" t="s">
        <v>941</v>
      </c>
      <c r="G104" s="21" t="s">
        <v>941</v>
      </c>
    </row>
    <row r="105" ht="22.5" hidden="1" customHeight="1">
      <c r="A105" s="23" t="s">
        <v>749</v>
      </c>
      <c r="B105" s="23" t="s">
        <v>750</v>
      </c>
      <c r="C105" s="23" t="s">
        <v>264</v>
      </c>
      <c r="D105" s="23" t="s">
        <v>3113</v>
      </c>
      <c r="E105" s="21" t="s">
        <v>3114</v>
      </c>
      <c r="F105" s="23" t="s">
        <v>751</v>
      </c>
      <c r="G105" s="21" t="s">
        <v>751</v>
      </c>
    </row>
    <row r="106" ht="22.5" hidden="1" customHeight="1">
      <c r="A106" s="23" t="s">
        <v>775</v>
      </c>
      <c r="B106" s="23" t="s">
        <v>776</v>
      </c>
      <c r="C106" s="23" t="s">
        <v>267</v>
      </c>
      <c r="D106" s="23" t="s">
        <v>768</v>
      </c>
      <c r="E106" s="21" t="s">
        <v>3114</v>
      </c>
      <c r="F106" s="23" t="s">
        <v>777</v>
      </c>
      <c r="G106" s="21" t="s">
        <v>777</v>
      </c>
    </row>
    <row r="107" ht="22.5" hidden="1" customHeight="1">
      <c r="A107" s="27" t="s">
        <v>734</v>
      </c>
      <c r="B107" s="27" t="s">
        <v>830</v>
      </c>
      <c r="C107" s="27" t="s">
        <v>3210</v>
      </c>
      <c r="D107" s="27" t="s">
        <v>3211</v>
      </c>
      <c r="E107" s="25" t="s">
        <v>144</v>
      </c>
      <c r="F107" s="27" t="s">
        <v>755</v>
      </c>
      <c r="G107" s="25" t="s">
        <v>755</v>
      </c>
    </row>
    <row r="108" ht="22.5" hidden="1" customHeight="1">
      <c r="A108" s="23" t="s">
        <v>778</v>
      </c>
      <c r="B108" s="23" t="s">
        <v>779</v>
      </c>
      <c r="C108" s="23" t="s">
        <v>270</v>
      </c>
      <c r="D108" s="23" t="s">
        <v>768</v>
      </c>
      <c r="E108" s="21" t="s">
        <v>3114</v>
      </c>
      <c r="F108" s="23" t="s">
        <v>780</v>
      </c>
      <c r="G108" s="21" t="s">
        <v>780</v>
      </c>
    </row>
    <row r="109" ht="22.5" hidden="1" customHeight="1">
      <c r="A109" s="23" t="s">
        <v>969</v>
      </c>
      <c r="B109" s="23" t="s">
        <v>3212</v>
      </c>
      <c r="C109" s="23" t="s">
        <v>273</v>
      </c>
      <c r="D109" s="23" t="s">
        <v>3207</v>
      </c>
      <c r="E109" s="21" t="s">
        <v>3114</v>
      </c>
      <c r="F109" s="23" t="s">
        <v>3213</v>
      </c>
      <c r="G109" s="21" t="s">
        <v>3213</v>
      </c>
    </row>
    <row r="110" ht="22.5" hidden="1" customHeight="1">
      <c r="A110" s="23" t="s">
        <v>715</v>
      </c>
      <c r="B110" s="23" t="s">
        <v>716</v>
      </c>
      <c r="C110" s="23" t="s">
        <v>276</v>
      </c>
      <c r="D110" s="23" t="s">
        <v>3117</v>
      </c>
      <c r="E110" s="21" t="s">
        <v>3114</v>
      </c>
      <c r="F110" s="23" t="s">
        <v>717</v>
      </c>
      <c r="G110" s="21" t="s">
        <v>717</v>
      </c>
    </row>
    <row r="111" ht="22.5" hidden="1" customHeight="1">
      <c r="A111" s="23" t="s">
        <v>972</v>
      </c>
      <c r="B111" s="23" t="s">
        <v>3214</v>
      </c>
      <c r="C111" s="23" t="s">
        <v>3215</v>
      </c>
      <c r="D111" s="23" t="s">
        <v>3127</v>
      </c>
      <c r="E111" s="21" t="s">
        <v>3114</v>
      </c>
      <c r="F111" s="23" t="s">
        <v>3216</v>
      </c>
      <c r="G111" s="21" t="s">
        <v>3216</v>
      </c>
    </row>
    <row r="112" ht="22.5" hidden="1" customHeight="1">
      <c r="A112" s="23" t="s">
        <v>973</v>
      </c>
      <c r="B112" s="23" t="s">
        <v>3217</v>
      </c>
      <c r="C112" s="23" t="s">
        <v>3218</v>
      </c>
      <c r="D112" s="23" t="s">
        <v>3127</v>
      </c>
      <c r="E112" s="21" t="s">
        <v>3114</v>
      </c>
      <c r="F112" s="23" t="s">
        <v>3219</v>
      </c>
      <c r="G112" s="21" t="s">
        <v>3219</v>
      </c>
    </row>
    <row r="113" ht="22.5" hidden="1" customHeight="1">
      <c r="A113" s="23" t="s">
        <v>743</v>
      </c>
      <c r="B113" s="23" t="s">
        <v>744</v>
      </c>
      <c r="C113" s="23" t="s">
        <v>279</v>
      </c>
      <c r="D113" s="23" t="s">
        <v>864</v>
      </c>
      <c r="E113" s="21" t="s">
        <v>3114</v>
      </c>
      <c r="F113" s="23" t="s">
        <v>745</v>
      </c>
      <c r="G113" s="21" t="s">
        <v>745</v>
      </c>
    </row>
    <row r="114" ht="22.5" hidden="1" customHeight="1">
      <c r="A114" s="23" t="s">
        <v>974</v>
      </c>
      <c r="B114" s="23" t="s">
        <v>3220</v>
      </c>
      <c r="C114" s="23" t="s">
        <v>282</v>
      </c>
      <c r="D114" s="23" t="s">
        <v>3221</v>
      </c>
      <c r="E114" s="21" t="s">
        <v>3114</v>
      </c>
      <c r="F114" s="23" t="s">
        <v>3222</v>
      </c>
      <c r="G114" s="21" t="s">
        <v>3222</v>
      </c>
    </row>
    <row r="115" ht="22.5" hidden="1" customHeight="1">
      <c r="A115" s="23" t="s">
        <v>975</v>
      </c>
      <c r="B115" s="23" t="s">
        <v>3223</v>
      </c>
      <c r="C115" s="23" t="s">
        <v>285</v>
      </c>
      <c r="D115" s="23" t="s">
        <v>3113</v>
      </c>
      <c r="E115" s="21" t="s">
        <v>3114</v>
      </c>
      <c r="F115" s="23" t="s">
        <v>3224</v>
      </c>
      <c r="G115" s="21" t="s">
        <v>3224</v>
      </c>
    </row>
  </sheetData>
  <dataValidations>
    <dataValidation allowBlank="1" showDropDown="1" sqref="B2:C115 F2:F115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9.0"/>
    <col customWidth="1" min="5" max="5" width="14.0"/>
    <col customWidth="1" min="6" max="6" width="13.38"/>
    <col customWidth="1" min="7" max="7" width="12.75"/>
    <col customWidth="1" min="12" max="12" width="18.75"/>
    <col customWidth="1" min="13" max="13" width="16.25"/>
    <col customWidth="1" min="14" max="14" width="17.38"/>
  </cols>
  <sheetData>
    <row r="1">
      <c r="A1" s="3" t="s">
        <v>3225</v>
      </c>
      <c r="B1" s="3" t="s">
        <v>3226</v>
      </c>
      <c r="C1" s="3" t="s">
        <v>3227</v>
      </c>
      <c r="D1" s="3" t="s">
        <v>3228</v>
      </c>
      <c r="E1" s="3" t="s">
        <v>3229</v>
      </c>
      <c r="F1" s="3" t="s">
        <v>3230</v>
      </c>
      <c r="G1" s="3" t="s">
        <v>3231</v>
      </c>
      <c r="H1" s="3" t="s">
        <v>3232</v>
      </c>
      <c r="I1" s="3" t="s">
        <v>3233</v>
      </c>
      <c r="J1" s="3" t="s">
        <v>3234</v>
      </c>
      <c r="K1" s="3" t="s">
        <v>3235</v>
      </c>
      <c r="L1" s="3" t="s">
        <v>3236</v>
      </c>
      <c r="M1" s="3" t="s">
        <v>3237</v>
      </c>
      <c r="N1" s="3" t="s">
        <v>3238</v>
      </c>
      <c r="O1" s="3" t="s">
        <v>3239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3240</v>
      </c>
      <c r="B2" s="4" t="s">
        <v>3241</v>
      </c>
      <c r="C2" s="3" t="s">
        <v>3242</v>
      </c>
      <c r="D2" s="3" t="s">
        <v>3243</v>
      </c>
      <c r="E2" s="3" t="s">
        <v>3244</v>
      </c>
      <c r="F2" s="3" t="s">
        <v>3244</v>
      </c>
      <c r="G2" s="2"/>
      <c r="H2" s="3" t="s">
        <v>3245</v>
      </c>
      <c r="I2" s="3" t="s">
        <v>3246</v>
      </c>
      <c r="J2" s="3" t="s">
        <v>3247</v>
      </c>
      <c r="K2" s="3" t="s">
        <v>3248</v>
      </c>
      <c r="L2" s="3" t="s">
        <v>3249</v>
      </c>
      <c r="M2" s="3" t="s">
        <v>3250</v>
      </c>
      <c r="N2" s="3" t="s">
        <v>3250</v>
      </c>
      <c r="O2" s="3" t="s">
        <v>3251</v>
      </c>
      <c r="P2" s="2"/>
      <c r="Q2" s="2"/>
      <c r="R2" s="2"/>
      <c r="S2" s="2"/>
      <c r="T2" s="2"/>
      <c r="U2" s="2"/>
      <c r="V2" s="3" t="s">
        <v>3252</v>
      </c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107</v>
      </c>
      <c r="B1" s="3" t="s">
        <v>3253</v>
      </c>
      <c r="C1" s="3" t="s">
        <v>669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807</v>
      </c>
      <c r="B2" s="3" t="s">
        <v>808</v>
      </c>
      <c r="C2" s="3" t="s">
        <v>807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116</v>
      </c>
      <c r="B3" s="3" t="s">
        <v>805</v>
      </c>
      <c r="C3" s="3" t="s">
        <v>807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123</v>
      </c>
      <c r="B4" s="3" t="s">
        <v>718</v>
      </c>
      <c r="C4" s="3" t="s">
        <v>807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131</v>
      </c>
      <c r="B5" s="3" t="s">
        <v>711</v>
      </c>
      <c r="C5" s="3" t="s">
        <v>807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137</v>
      </c>
      <c r="B6" s="3" t="s">
        <v>707</v>
      </c>
      <c r="C6" s="3" t="s">
        <v>807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144</v>
      </c>
      <c r="B7" s="3" t="s">
        <v>699</v>
      </c>
      <c r="C7" s="3" t="s">
        <v>807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148</v>
      </c>
      <c r="B8" s="3" t="s">
        <v>728</v>
      </c>
      <c r="C8" s="3" t="s">
        <v>807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151</v>
      </c>
      <c r="B9" s="3" t="s">
        <v>703</v>
      </c>
      <c r="C9" s="3" t="s">
        <v>807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734</v>
      </c>
      <c r="B10" s="3" t="s">
        <v>736</v>
      </c>
      <c r="C10" s="3" t="s">
        <v>807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831</v>
      </c>
      <c r="B11" s="3" t="s">
        <v>3254</v>
      </c>
      <c r="C11" s="3" t="s">
        <v>807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833</v>
      </c>
      <c r="B12" s="3" t="s">
        <v>3255</v>
      </c>
      <c r="C12" s="3" t="s">
        <v>807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811</v>
      </c>
      <c r="B13" s="3" t="s">
        <v>812</v>
      </c>
      <c r="C13" s="3" t="s">
        <v>807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838</v>
      </c>
      <c r="B14" s="3" t="s">
        <v>3256</v>
      </c>
      <c r="C14" s="3" t="s">
        <v>807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107</v>
      </c>
      <c r="B1" s="33" t="s">
        <v>0</v>
      </c>
      <c r="C1" s="33" t="s">
        <v>1</v>
      </c>
      <c r="D1" s="33" t="s">
        <v>686</v>
      </c>
      <c r="E1" s="33" t="s">
        <v>687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 t="s">
        <v>933</v>
      </c>
      <c r="C2" s="3" t="s">
        <v>3140</v>
      </c>
      <c r="D2" s="3" t="s">
        <v>819</v>
      </c>
      <c r="E2" s="3" t="s">
        <v>123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3" t="s">
        <v>813</v>
      </c>
      <c r="C3" s="3" t="s">
        <v>3149</v>
      </c>
      <c r="D3" s="3" t="s">
        <v>819</v>
      </c>
      <c r="E3" s="3" t="s">
        <v>151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 t="s">
        <v>815</v>
      </c>
      <c r="C4" s="3" t="s">
        <v>3156</v>
      </c>
      <c r="D4" s="3" t="s">
        <v>819</v>
      </c>
      <c r="E4" s="3" t="s">
        <v>148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3" t="s">
        <v>818</v>
      </c>
      <c r="C5" s="3" t="s">
        <v>3167</v>
      </c>
      <c r="D5" s="3" t="s">
        <v>819</v>
      </c>
      <c r="E5" s="3" t="s">
        <v>137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/>
      <c r="B6" s="3" t="s">
        <v>822</v>
      </c>
      <c r="C6" s="3" t="s">
        <v>3173</v>
      </c>
      <c r="D6" s="3" t="s">
        <v>819</v>
      </c>
      <c r="E6" s="3" t="s">
        <v>137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3" t="s">
        <v>824</v>
      </c>
      <c r="C7" s="3" t="s">
        <v>3182</v>
      </c>
      <c r="D7" s="3" t="s">
        <v>825</v>
      </c>
      <c r="E7" s="3" t="s">
        <v>137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3" t="s">
        <v>827</v>
      </c>
      <c r="C8" s="3" t="s">
        <v>3196</v>
      </c>
      <c r="D8" s="3" t="s">
        <v>828</v>
      </c>
      <c r="E8" s="3" t="s">
        <v>151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/>
      <c r="B9" s="3" t="s">
        <v>830</v>
      </c>
      <c r="C9" s="3" t="s">
        <v>3210</v>
      </c>
      <c r="D9" s="3" t="s">
        <v>3211</v>
      </c>
      <c r="E9" s="3" t="s">
        <v>144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 t="s">
        <v>832</v>
      </c>
      <c r="C10" s="3" t="s">
        <v>3111</v>
      </c>
      <c r="D10" s="3" t="s">
        <v>3112</v>
      </c>
      <c r="E10" s="3" t="s">
        <v>148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/>
      <c r="B11" s="3" t="s">
        <v>834</v>
      </c>
      <c r="C11" s="3" t="s">
        <v>3124</v>
      </c>
      <c r="D11" s="3" t="s">
        <v>835</v>
      </c>
      <c r="E11" s="3" t="s">
        <v>151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/>
      <c r="B12" s="3" t="s">
        <v>836</v>
      </c>
      <c r="C12" s="3" t="s">
        <v>3141</v>
      </c>
      <c r="D12" s="3" t="s">
        <v>837</v>
      </c>
      <c r="E12" s="3" t="s">
        <v>148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/>
      <c r="B13" s="3" t="s">
        <v>839</v>
      </c>
      <c r="C13" s="3" t="s">
        <v>3142</v>
      </c>
      <c r="D13" s="3" t="s">
        <v>837</v>
      </c>
      <c r="E13" s="3" t="s">
        <v>148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 t="s">
        <v>841</v>
      </c>
      <c r="C14" s="3" t="s">
        <v>3143</v>
      </c>
      <c r="D14" s="3" t="s">
        <v>837</v>
      </c>
      <c r="E14" s="3" t="s">
        <v>148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 t="s">
        <v>843</v>
      </c>
      <c r="C15" s="3" t="s">
        <v>3144</v>
      </c>
      <c r="D15" s="3" t="s">
        <v>837</v>
      </c>
      <c r="E15" s="3" t="s">
        <v>131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 t="s">
        <v>845</v>
      </c>
      <c r="C16" s="3" t="s">
        <v>3145</v>
      </c>
      <c r="D16" s="3" t="s">
        <v>837</v>
      </c>
      <c r="E16" s="3" t="s">
        <v>148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 t="s">
        <v>847</v>
      </c>
      <c r="C17" s="3" t="s">
        <v>3146</v>
      </c>
      <c r="D17" s="3" t="s">
        <v>837</v>
      </c>
      <c r="E17" s="3" t="s">
        <v>131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 t="s">
        <v>849</v>
      </c>
      <c r="C18" s="3" t="s">
        <v>3147</v>
      </c>
      <c r="D18" s="3" t="s">
        <v>837</v>
      </c>
      <c r="E18" s="3" t="s">
        <v>131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/>
      <c r="B19" s="3" t="s">
        <v>851</v>
      </c>
      <c r="C19" s="3" t="s">
        <v>3148</v>
      </c>
      <c r="D19" s="3" t="s">
        <v>852</v>
      </c>
      <c r="E19" s="3" t="s">
        <v>137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/>
      <c r="B20" s="3" t="s">
        <v>759</v>
      </c>
      <c r="C20" s="3" t="s">
        <v>166</v>
      </c>
      <c r="D20" s="3" t="s">
        <v>768</v>
      </c>
      <c r="E20" s="3" t="s">
        <v>123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/>
      <c r="B21" s="3" t="s">
        <v>854</v>
      </c>
      <c r="C21" s="3" t="s">
        <v>3150</v>
      </c>
      <c r="D21" s="3" t="s">
        <v>852</v>
      </c>
      <c r="E21" s="3" t="s">
        <v>137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/>
      <c r="B22" s="3" t="s">
        <v>856</v>
      </c>
      <c r="C22" s="3" t="s">
        <v>3151</v>
      </c>
      <c r="D22" s="3" t="s">
        <v>859</v>
      </c>
      <c r="E22" s="3" t="s">
        <v>137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/>
      <c r="B23" s="3" t="s">
        <v>794</v>
      </c>
      <c r="C23" s="3" t="s">
        <v>193</v>
      </c>
      <c r="D23" s="3" t="s">
        <v>795</v>
      </c>
      <c r="E23" s="3" t="s">
        <v>148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/>
      <c r="B24" s="3" t="s">
        <v>753</v>
      </c>
      <c r="C24" s="3" t="s">
        <v>196</v>
      </c>
      <c r="D24" s="3" t="s">
        <v>754</v>
      </c>
      <c r="E24" s="3" t="s">
        <v>148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/>
      <c r="B25" s="3" t="s">
        <v>858</v>
      </c>
      <c r="C25" s="3" t="s">
        <v>3152</v>
      </c>
      <c r="D25" s="3" t="s">
        <v>859</v>
      </c>
      <c r="E25" s="3" t="s">
        <v>137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3" t="s">
        <v>861</v>
      </c>
      <c r="C26" s="3" t="s">
        <v>3153</v>
      </c>
      <c r="D26" s="3" t="s">
        <v>859</v>
      </c>
      <c r="E26" s="3" t="s">
        <v>734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  <c r="B27" s="3" t="s">
        <v>863</v>
      </c>
      <c r="C27" s="3" t="s">
        <v>3154</v>
      </c>
      <c r="D27" s="3" t="s">
        <v>864</v>
      </c>
      <c r="E27" s="3" t="s">
        <v>151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/>
      <c r="B28" s="3" t="s">
        <v>866</v>
      </c>
      <c r="C28" s="3" t="s">
        <v>3155</v>
      </c>
      <c r="D28" s="3" t="s">
        <v>864</v>
      </c>
      <c r="E28" s="3" t="s">
        <v>144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/>
      <c r="B29" s="3" t="s">
        <v>765</v>
      </c>
      <c r="C29" s="3" t="s">
        <v>199</v>
      </c>
      <c r="D29" s="3" t="s">
        <v>768</v>
      </c>
      <c r="E29" s="3" t="s">
        <v>734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/>
      <c r="B30" s="3" t="s">
        <v>868</v>
      </c>
      <c r="C30" s="3" t="s">
        <v>3157</v>
      </c>
      <c r="D30" s="3" t="s">
        <v>864</v>
      </c>
      <c r="E30" s="3" t="s">
        <v>144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3" t="s">
        <v>870</v>
      </c>
      <c r="C31" s="3" t="s">
        <v>3158</v>
      </c>
      <c r="D31" s="3" t="s">
        <v>864</v>
      </c>
      <c r="E31" s="3" t="s">
        <v>144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3" t="s">
        <v>3159</v>
      </c>
      <c r="C32" s="3" t="s">
        <v>202</v>
      </c>
      <c r="D32" s="3" t="s">
        <v>768</v>
      </c>
      <c r="E32" s="3" t="s">
        <v>131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3" t="s">
        <v>872</v>
      </c>
      <c r="C33" s="3" t="s">
        <v>3160</v>
      </c>
      <c r="D33" s="3" t="s">
        <v>864</v>
      </c>
      <c r="E33" s="3" t="s">
        <v>144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3" t="s">
        <v>877</v>
      </c>
      <c r="C34" s="3" t="s">
        <v>3161</v>
      </c>
      <c r="D34" s="3" t="s">
        <v>878</v>
      </c>
      <c r="E34" s="3" t="s">
        <v>734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3" t="s">
        <v>880</v>
      </c>
      <c r="C35" s="3" t="s">
        <v>3162</v>
      </c>
      <c r="D35" s="3" t="s">
        <v>878</v>
      </c>
      <c r="E35" s="3" t="s">
        <v>137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3" t="s">
        <v>882</v>
      </c>
      <c r="C36" s="3" t="s">
        <v>3163</v>
      </c>
      <c r="D36" s="3" t="s">
        <v>878</v>
      </c>
      <c r="E36" s="3" t="s">
        <v>123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3" t="s">
        <v>884</v>
      </c>
      <c r="C37" s="3" t="s">
        <v>3164</v>
      </c>
      <c r="D37" s="3" t="s">
        <v>878</v>
      </c>
      <c r="E37" s="3" t="s">
        <v>123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3" t="s">
        <v>886</v>
      </c>
      <c r="C38" s="3" t="s">
        <v>3165</v>
      </c>
      <c r="D38" s="3" t="s">
        <v>878</v>
      </c>
      <c r="E38" s="3" t="s">
        <v>137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3" t="s">
        <v>888</v>
      </c>
      <c r="C39" s="3" t="s">
        <v>3166</v>
      </c>
      <c r="D39" s="3" t="s">
        <v>3127</v>
      </c>
      <c r="E39" s="3" t="s">
        <v>137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3" t="s">
        <v>797</v>
      </c>
      <c r="C40" s="3" t="s">
        <v>205</v>
      </c>
      <c r="D40" s="3" t="s">
        <v>795</v>
      </c>
      <c r="E40" s="3" t="s">
        <v>148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3" t="s">
        <v>767</v>
      </c>
      <c r="C41" s="3" t="s">
        <v>208</v>
      </c>
      <c r="D41" s="3" t="s">
        <v>768</v>
      </c>
      <c r="E41" s="3" t="s">
        <v>148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3" t="s">
        <v>757</v>
      </c>
      <c r="C42" s="3" t="s">
        <v>211</v>
      </c>
      <c r="D42" s="3" t="s">
        <v>754</v>
      </c>
      <c r="E42" s="3" t="s">
        <v>148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3" t="s">
        <v>893</v>
      </c>
      <c r="C43" s="3" t="s">
        <v>3168</v>
      </c>
      <c r="D43" s="3" t="s">
        <v>894</v>
      </c>
      <c r="E43" s="3" t="s">
        <v>148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3" t="s">
        <v>40</v>
      </c>
      <c r="C44" s="3" t="s">
        <v>41</v>
      </c>
      <c r="D44" s="3" t="s">
        <v>894</v>
      </c>
      <c r="E44" s="3" t="s">
        <v>151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3" t="s">
        <v>770</v>
      </c>
      <c r="C45" s="3" t="s">
        <v>214</v>
      </c>
      <c r="D45" s="3" t="s">
        <v>768</v>
      </c>
      <c r="E45" s="3" t="s">
        <v>131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3" t="s">
        <v>896</v>
      </c>
      <c r="C46" s="3" t="s">
        <v>3169</v>
      </c>
      <c r="D46" s="3" t="s">
        <v>894</v>
      </c>
      <c r="E46" s="3" t="s">
        <v>148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3" t="s">
        <v>898</v>
      </c>
      <c r="C47" s="3" t="s">
        <v>3170</v>
      </c>
      <c r="D47" s="3" t="s">
        <v>894</v>
      </c>
      <c r="E47" s="3" t="s">
        <v>148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3" t="s">
        <v>890</v>
      </c>
      <c r="C48" s="3" t="s">
        <v>3171</v>
      </c>
      <c r="D48" s="3" t="s">
        <v>891</v>
      </c>
      <c r="E48" s="3" t="s">
        <v>144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3" t="s">
        <v>900</v>
      </c>
      <c r="C49" s="3" t="s">
        <v>3172</v>
      </c>
      <c r="D49" s="3" t="s">
        <v>894</v>
      </c>
      <c r="E49" s="3" t="s">
        <v>148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3" t="s">
        <v>3174</v>
      </c>
      <c r="C50" s="3" t="s">
        <v>3175</v>
      </c>
      <c r="D50" s="3" t="s">
        <v>3176</v>
      </c>
      <c r="E50" s="3" t="s">
        <v>148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3" t="s">
        <v>902</v>
      </c>
      <c r="C51" s="3" t="s">
        <v>3177</v>
      </c>
      <c r="D51" s="3" t="s">
        <v>903</v>
      </c>
      <c r="E51" s="3" t="s">
        <v>144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3" t="s">
        <v>3257</v>
      </c>
      <c r="C52" s="3" t="s">
        <v>3258</v>
      </c>
      <c r="D52" s="3" t="s">
        <v>903</v>
      </c>
      <c r="E52" s="3" t="s">
        <v>123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3" t="s">
        <v>3259</v>
      </c>
      <c r="C53" s="3" t="s">
        <v>3260</v>
      </c>
      <c r="D53" s="3" t="s">
        <v>903</v>
      </c>
      <c r="E53" s="3" t="s">
        <v>123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3" t="s">
        <v>905</v>
      </c>
      <c r="C54" s="3" t="s">
        <v>3178</v>
      </c>
      <c r="D54" s="3" t="s">
        <v>903</v>
      </c>
      <c r="E54" s="3" t="s">
        <v>131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/>
      <c r="B55" s="3" t="s">
        <v>907</v>
      </c>
      <c r="C55" s="3" t="s">
        <v>3179</v>
      </c>
      <c r="D55" s="3" t="s">
        <v>903</v>
      </c>
      <c r="E55" s="3" t="s">
        <v>131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3" t="s">
        <v>909</v>
      </c>
      <c r="C56" s="3" t="s">
        <v>3180</v>
      </c>
      <c r="D56" s="3" t="s">
        <v>903</v>
      </c>
      <c r="E56" s="3" t="s">
        <v>131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/>
      <c r="B57" s="3" t="s">
        <v>53</v>
      </c>
      <c r="C57" s="3" t="s">
        <v>54</v>
      </c>
      <c r="D57" s="3" t="s">
        <v>903</v>
      </c>
      <c r="E57" s="3" t="s">
        <v>144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3" t="s">
        <v>911</v>
      </c>
      <c r="C58" s="3" t="s">
        <v>3181</v>
      </c>
      <c r="D58" s="3" t="s">
        <v>903</v>
      </c>
      <c r="E58" s="3" t="s">
        <v>131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3" t="s">
        <v>72</v>
      </c>
      <c r="C59" s="3" t="s">
        <v>73</v>
      </c>
      <c r="D59" s="3" t="s">
        <v>795</v>
      </c>
      <c r="E59" s="3" t="s">
        <v>116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3" t="s">
        <v>33</v>
      </c>
      <c r="C60" s="3" t="s">
        <v>34</v>
      </c>
      <c r="D60" s="3" t="s">
        <v>795</v>
      </c>
      <c r="E60" s="3" t="s">
        <v>151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3" t="s">
        <v>913</v>
      </c>
      <c r="C61" s="3" t="s">
        <v>3183</v>
      </c>
      <c r="D61" s="3" t="s">
        <v>795</v>
      </c>
      <c r="E61" s="3" t="s">
        <v>148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3" t="s">
        <v>772</v>
      </c>
      <c r="C62" s="3" t="s">
        <v>219</v>
      </c>
      <c r="D62" s="3" t="s">
        <v>768</v>
      </c>
      <c r="E62" s="3" t="s">
        <v>734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/>
      <c r="B63" s="3" t="s">
        <v>47</v>
      </c>
      <c r="C63" s="3" t="s">
        <v>48</v>
      </c>
      <c r="D63" s="3" t="s">
        <v>795</v>
      </c>
      <c r="E63" s="3" t="s">
        <v>148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3" t="s">
        <v>774</v>
      </c>
      <c r="C64" s="3" t="s">
        <v>222</v>
      </c>
      <c r="D64" s="3" t="s">
        <v>768</v>
      </c>
      <c r="E64" s="3" t="s">
        <v>148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/>
      <c r="B65" s="3" t="s">
        <v>915</v>
      </c>
      <c r="C65" s="3" t="s">
        <v>3184</v>
      </c>
      <c r="D65" s="3" t="s">
        <v>916</v>
      </c>
      <c r="E65" s="3" t="s">
        <v>144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15.75"/>
    <col customWidth="1" min="4" max="4" width="11.0"/>
    <col customWidth="1" min="5" max="5" width="11.38"/>
    <col customWidth="1" min="6" max="6" width="48.75"/>
  </cols>
  <sheetData>
    <row r="1">
      <c r="A1" s="1" t="s">
        <v>3261</v>
      </c>
      <c r="B1" s="1" t="s">
        <v>3262</v>
      </c>
      <c r="C1" s="1" t="s">
        <v>91</v>
      </c>
      <c r="D1" s="1" t="s">
        <v>3263</v>
      </c>
      <c r="E1" s="1" t="s">
        <v>3264</v>
      </c>
      <c r="F1" s="1" t="s">
        <v>3265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807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f t="shared" ref="A3:A2743" si="1">A2+1</f>
        <v>2</v>
      </c>
      <c r="B3" s="3" t="s">
        <v>13</v>
      </c>
      <c r="C3" s="3" t="s">
        <v>14</v>
      </c>
      <c r="D3" s="3" t="s">
        <v>8</v>
      </c>
      <c r="E3" s="3" t="s">
        <v>9</v>
      </c>
      <c r="F3" s="4" t="s">
        <v>15</v>
      </c>
      <c r="G3" s="2"/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f t="shared" si="1"/>
        <v>3</v>
      </c>
      <c r="B4" s="3" t="s">
        <v>21</v>
      </c>
      <c r="C4" s="3" t="s">
        <v>22</v>
      </c>
      <c r="D4" s="3" t="s">
        <v>8</v>
      </c>
      <c r="E4" s="3" t="s">
        <v>9</v>
      </c>
      <c r="F4" s="4" t="s">
        <v>23</v>
      </c>
      <c r="G4" s="2"/>
      <c r="H4" s="3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f t="shared" si="1"/>
        <v>4</v>
      </c>
      <c r="B5" s="3" t="s">
        <v>29</v>
      </c>
      <c r="C5" s="3" t="s">
        <v>30</v>
      </c>
      <c r="D5" s="3" t="s">
        <v>8</v>
      </c>
      <c r="E5" s="3" t="s">
        <v>9</v>
      </c>
      <c r="F5" s="4" t="s">
        <v>31</v>
      </c>
      <c r="G5" s="2"/>
      <c r="H5" s="3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f t="shared" si="1"/>
        <v>5</v>
      </c>
      <c r="B6" s="3" t="s">
        <v>37</v>
      </c>
      <c r="C6" s="3" t="s">
        <v>38</v>
      </c>
      <c r="D6" s="3" t="s">
        <v>8</v>
      </c>
      <c r="E6" s="3" t="s">
        <v>9</v>
      </c>
      <c r="F6" s="3" t="s">
        <v>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f t="shared" si="1"/>
        <v>6</v>
      </c>
      <c r="B7" s="3" t="s">
        <v>44</v>
      </c>
      <c r="C7" s="3" t="s">
        <v>45</v>
      </c>
      <c r="D7" s="3" t="s">
        <v>8</v>
      </c>
      <c r="E7" s="3" t="s">
        <v>9</v>
      </c>
      <c r="F7" s="3" t="s">
        <v>46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f t="shared" si="1"/>
        <v>7</v>
      </c>
      <c r="B8" s="3" t="s">
        <v>50</v>
      </c>
      <c r="C8" s="3" t="s">
        <v>51</v>
      </c>
      <c r="D8" s="3" t="s">
        <v>8</v>
      </c>
      <c r="E8" s="3" t="s">
        <v>9</v>
      </c>
      <c r="F8" s="3" t="s">
        <v>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f t="shared" si="1"/>
        <v>8</v>
      </c>
      <c r="B9" s="3" t="s">
        <v>56</v>
      </c>
      <c r="C9" s="3" t="s">
        <v>57</v>
      </c>
      <c r="D9" s="3" t="s">
        <v>8</v>
      </c>
      <c r="E9" s="3" t="s">
        <v>9</v>
      </c>
      <c r="F9" s="3" t="s">
        <v>58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f t="shared" si="1"/>
        <v>9</v>
      </c>
      <c r="B10" s="3" t="s">
        <v>63</v>
      </c>
      <c r="C10" s="3" t="s">
        <v>64</v>
      </c>
      <c r="D10" s="3" t="s">
        <v>8</v>
      </c>
      <c r="E10" s="3" t="s">
        <v>9</v>
      </c>
      <c r="F10" s="3" t="s">
        <v>65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f t="shared" si="1"/>
        <v>10</v>
      </c>
      <c r="B11" s="3" t="s">
        <v>69</v>
      </c>
      <c r="C11" s="3" t="s">
        <v>70</v>
      </c>
      <c r="D11" s="3" t="s">
        <v>8</v>
      </c>
      <c r="E11" s="3" t="s">
        <v>9</v>
      </c>
      <c r="F11" s="3" t="s">
        <v>71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f t="shared" si="1"/>
        <v>11</v>
      </c>
      <c r="B12" s="3" t="s">
        <v>75</v>
      </c>
      <c r="C12" s="3" t="s">
        <v>76</v>
      </c>
      <c r="D12" s="3" t="s">
        <v>8</v>
      </c>
      <c r="E12" s="3" t="s">
        <v>9</v>
      </c>
      <c r="F12" s="3" t="s">
        <v>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f t="shared" si="1"/>
        <v>12</v>
      </c>
      <c r="B13" s="3" t="s">
        <v>78</v>
      </c>
      <c r="C13" s="3" t="s">
        <v>79</v>
      </c>
      <c r="D13" s="3" t="s">
        <v>8</v>
      </c>
      <c r="E13" s="3" t="s">
        <v>9</v>
      </c>
      <c r="F13" s="3" t="s">
        <v>80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f t="shared" si="1"/>
        <v>13</v>
      </c>
      <c r="B14" s="3" t="s">
        <v>81</v>
      </c>
      <c r="C14" s="3" t="s">
        <v>82</v>
      </c>
      <c r="D14" s="3" t="s">
        <v>8</v>
      </c>
      <c r="E14" s="3" t="s">
        <v>9</v>
      </c>
      <c r="F14" s="3" t="s">
        <v>83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f t="shared" si="1"/>
        <v>14</v>
      </c>
      <c r="B15" s="3" t="s">
        <v>84</v>
      </c>
      <c r="C15" s="3" t="s">
        <v>85</v>
      </c>
      <c r="D15" s="3" t="s">
        <v>8</v>
      </c>
      <c r="E15" s="3" t="s">
        <v>9</v>
      </c>
      <c r="F15" s="3" t="s">
        <v>86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f t="shared" si="1"/>
        <v>15</v>
      </c>
      <c r="B16" s="3" t="s">
        <v>87</v>
      </c>
      <c r="C16" s="3" t="s">
        <v>88</v>
      </c>
      <c r="D16" s="3" t="s">
        <v>8</v>
      </c>
      <c r="E16" s="3" t="s">
        <v>9</v>
      </c>
      <c r="F16" s="3" t="s">
        <v>89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f t="shared" si="1"/>
        <v>16</v>
      </c>
      <c r="B17" s="3" t="s">
        <v>3266</v>
      </c>
      <c r="C17" s="3" t="s">
        <v>3267</v>
      </c>
      <c r="D17" s="3" t="s">
        <v>3268</v>
      </c>
      <c r="E17" s="3" t="s">
        <v>3269</v>
      </c>
      <c r="F17" s="2" t="s">
        <v>3270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f t="shared" si="1"/>
        <v>17</v>
      </c>
      <c r="B18" s="3" t="s">
        <v>3271</v>
      </c>
      <c r="C18" s="3" t="s">
        <v>3272</v>
      </c>
      <c r="D18" s="3" t="s">
        <v>3268</v>
      </c>
      <c r="E18" s="3" t="s">
        <v>3269</v>
      </c>
      <c r="F18" s="2" t="s">
        <v>3273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f t="shared" si="1"/>
        <v>18</v>
      </c>
      <c r="B19" s="3" t="s">
        <v>3274</v>
      </c>
      <c r="C19" s="3" t="s">
        <v>3275</v>
      </c>
      <c r="D19" s="3" t="s">
        <v>3268</v>
      </c>
      <c r="E19" s="3" t="s">
        <v>3269</v>
      </c>
      <c r="F19" s="2" t="s">
        <v>3276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f t="shared" si="1"/>
        <v>19</v>
      </c>
      <c r="B20" s="3" t="s">
        <v>3277</v>
      </c>
      <c r="C20" s="3" t="s">
        <v>3278</v>
      </c>
      <c r="D20" s="3" t="s">
        <v>3268</v>
      </c>
      <c r="E20" s="3" t="s">
        <v>3269</v>
      </c>
      <c r="F20" s="2" t="s">
        <v>3279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f t="shared" si="1"/>
        <v>20</v>
      </c>
      <c r="B21" s="3" t="s">
        <v>3280</v>
      </c>
      <c r="C21" s="3" t="s">
        <v>3281</v>
      </c>
      <c r="D21" s="3" t="s">
        <v>3268</v>
      </c>
      <c r="E21" s="3" t="s">
        <v>3269</v>
      </c>
      <c r="F21" s="2" t="s">
        <v>3282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f t="shared" si="1"/>
        <v>21</v>
      </c>
      <c r="B22" s="3" t="s">
        <v>3283</v>
      </c>
      <c r="C22" s="3" t="s">
        <v>3284</v>
      </c>
      <c r="D22" s="3" t="s">
        <v>3268</v>
      </c>
      <c r="E22" s="3" t="s">
        <v>3269</v>
      </c>
      <c r="F22" s="2" t="s">
        <v>3285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f t="shared" si="1"/>
        <v>22</v>
      </c>
      <c r="B23" s="3" t="s">
        <v>3286</v>
      </c>
      <c r="C23" s="3" t="s">
        <v>3287</v>
      </c>
      <c r="D23" s="3" t="s">
        <v>3268</v>
      </c>
      <c r="E23" s="3" t="s">
        <v>3269</v>
      </c>
      <c r="F23" s="2" t="s">
        <v>3288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f t="shared" si="1"/>
        <v>23</v>
      </c>
      <c r="B24" s="3" t="s">
        <v>3289</v>
      </c>
      <c r="C24" s="3" t="s">
        <v>3290</v>
      </c>
      <c r="D24" s="3" t="s">
        <v>3268</v>
      </c>
      <c r="E24" s="3" t="s">
        <v>3269</v>
      </c>
      <c r="F24" s="2" t="s">
        <v>3291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f t="shared" si="1"/>
        <v>24</v>
      </c>
      <c r="B25" s="3" t="s">
        <v>3292</v>
      </c>
      <c r="C25" s="3" t="s">
        <v>3293</v>
      </c>
      <c r="D25" s="3" t="s">
        <v>3268</v>
      </c>
      <c r="E25" s="3" t="s">
        <v>3269</v>
      </c>
      <c r="F25" s="2" t="s">
        <v>3294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f t="shared" si="1"/>
        <v>25</v>
      </c>
      <c r="B26" s="3" t="s">
        <v>3295</v>
      </c>
      <c r="C26" s="3" t="s">
        <v>3296</v>
      </c>
      <c r="D26" s="3" t="s">
        <v>3268</v>
      </c>
      <c r="E26" s="3" t="s">
        <v>3269</v>
      </c>
      <c r="F26" s="2" t="s">
        <v>3297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f t="shared" si="1"/>
        <v>26</v>
      </c>
      <c r="B27" s="3" t="s">
        <v>3298</v>
      </c>
      <c r="C27" s="3" t="s">
        <v>3299</v>
      </c>
      <c r="D27" s="3" t="s">
        <v>3268</v>
      </c>
      <c r="E27" s="3" t="s">
        <v>3269</v>
      </c>
      <c r="F27" s="2" t="s">
        <v>3300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f t="shared" si="1"/>
        <v>27</v>
      </c>
      <c r="B28" s="3" t="s">
        <v>3301</v>
      </c>
      <c r="C28" s="3" t="s">
        <v>3302</v>
      </c>
      <c r="D28" s="3" t="s">
        <v>3268</v>
      </c>
      <c r="E28" s="3" t="s">
        <v>3269</v>
      </c>
      <c r="F28" s="2" t="s">
        <v>3303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f t="shared" si="1"/>
        <v>28</v>
      </c>
      <c r="B29" s="3" t="s">
        <v>3304</v>
      </c>
      <c r="C29" s="3" t="s">
        <v>3305</v>
      </c>
      <c r="D29" s="3" t="s">
        <v>3268</v>
      </c>
      <c r="E29" s="3" t="s">
        <v>3269</v>
      </c>
      <c r="F29" s="2" t="s">
        <v>3306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f t="shared" si="1"/>
        <v>29</v>
      </c>
      <c r="B30" s="3" t="s">
        <v>3307</v>
      </c>
      <c r="C30" s="3" t="s">
        <v>3308</v>
      </c>
      <c r="D30" s="3" t="s">
        <v>3268</v>
      </c>
      <c r="E30" s="3" t="s">
        <v>3269</v>
      </c>
      <c r="F30" s="2" t="s">
        <v>3309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f t="shared" si="1"/>
        <v>30</v>
      </c>
      <c r="B31" s="3" t="s">
        <v>3310</v>
      </c>
      <c r="C31" s="3" t="s">
        <v>3311</v>
      </c>
      <c r="D31" s="3" t="s">
        <v>3268</v>
      </c>
      <c r="E31" s="3" t="s">
        <v>3269</v>
      </c>
      <c r="F31" s="2" t="s">
        <v>3312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f t="shared" si="1"/>
        <v>31</v>
      </c>
      <c r="B32" s="3" t="s">
        <v>3313</v>
      </c>
      <c r="C32" s="3" t="s">
        <v>3314</v>
      </c>
      <c r="D32" s="3" t="s">
        <v>3268</v>
      </c>
      <c r="E32" s="3" t="s">
        <v>3269</v>
      </c>
      <c r="F32" s="2" t="s">
        <v>3315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f t="shared" si="1"/>
        <v>32</v>
      </c>
      <c r="B33" s="3" t="s">
        <v>3316</v>
      </c>
      <c r="C33" s="3" t="s">
        <v>3317</v>
      </c>
      <c r="D33" s="3" t="s">
        <v>3268</v>
      </c>
      <c r="E33" s="3" t="s">
        <v>3269</v>
      </c>
      <c r="F33" s="2" t="s">
        <v>3318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f t="shared" si="1"/>
        <v>33</v>
      </c>
      <c r="B34" s="3" t="s">
        <v>3319</v>
      </c>
      <c r="C34" s="3" t="s">
        <v>3320</v>
      </c>
      <c r="D34" s="3" t="s">
        <v>3268</v>
      </c>
      <c r="E34" s="3" t="s">
        <v>3269</v>
      </c>
      <c r="F34" s="2" t="s">
        <v>3321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f t="shared" si="1"/>
        <v>34</v>
      </c>
      <c r="B35" s="3" t="s">
        <v>3322</v>
      </c>
      <c r="C35" s="3" t="s">
        <v>3323</v>
      </c>
      <c r="D35" s="3" t="s">
        <v>3268</v>
      </c>
      <c r="E35" s="3" t="s">
        <v>3269</v>
      </c>
      <c r="F35" s="2" t="s">
        <v>3324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f t="shared" si="1"/>
        <v>35</v>
      </c>
      <c r="B36" s="3" t="s">
        <v>3325</v>
      </c>
      <c r="C36" s="3" t="s">
        <v>3326</v>
      </c>
      <c r="D36" s="3" t="s">
        <v>3268</v>
      </c>
      <c r="E36" s="3" t="s">
        <v>3269</v>
      </c>
      <c r="F36" s="2" t="s">
        <v>3327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f t="shared" si="1"/>
        <v>36</v>
      </c>
      <c r="B37" s="3" t="s">
        <v>3328</v>
      </c>
      <c r="C37" s="3" t="s">
        <v>3329</v>
      </c>
      <c r="D37" s="3" t="s">
        <v>3268</v>
      </c>
      <c r="E37" s="3" t="s">
        <v>3269</v>
      </c>
      <c r="F37" s="2" t="s">
        <v>3330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f t="shared" si="1"/>
        <v>37</v>
      </c>
      <c r="B38" s="3" t="s">
        <v>3331</v>
      </c>
      <c r="C38" s="3" t="s">
        <v>3332</v>
      </c>
      <c r="D38" s="3" t="s">
        <v>3268</v>
      </c>
      <c r="E38" s="3" t="s">
        <v>3269</v>
      </c>
      <c r="F38" s="2" t="s">
        <v>3333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f t="shared" si="1"/>
        <v>38</v>
      </c>
      <c r="B39" s="3" t="s">
        <v>3334</v>
      </c>
      <c r="C39" s="3" t="s">
        <v>3335</v>
      </c>
      <c r="D39" s="3" t="s">
        <v>3268</v>
      </c>
      <c r="E39" s="3" t="s">
        <v>3269</v>
      </c>
      <c r="F39" s="2" t="s">
        <v>3336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f t="shared" si="1"/>
        <v>39</v>
      </c>
      <c r="B40" s="3" t="s">
        <v>3337</v>
      </c>
      <c r="C40" s="3" t="s">
        <v>3338</v>
      </c>
      <c r="D40" s="3" t="s">
        <v>3268</v>
      </c>
      <c r="E40" s="3" t="s">
        <v>3269</v>
      </c>
      <c r="F40" s="2" t="s">
        <v>3339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f t="shared" si="1"/>
        <v>40</v>
      </c>
      <c r="B41" s="3" t="s">
        <v>3340</v>
      </c>
      <c r="C41" s="3" t="s">
        <v>3341</v>
      </c>
      <c r="D41" s="3" t="s">
        <v>3268</v>
      </c>
      <c r="E41" s="3" t="s">
        <v>3269</v>
      </c>
      <c r="F41" s="2" t="s">
        <v>3342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f t="shared" si="1"/>
        <v>41</v>
      </c>
      <c r="B42" s="3" t="s">
        <v>3343</v>
      </c>
      <c r="C42" s="3" t="s">
        <v>3344</v>
      </c>
      <c r="D42" s="3" t="s">
        <v>3268</v>
      </c>
      <c r="E42" s="3" t="s">
        <v>3269</v>
      </c>
      <c r="F42" s="2" t="s">
        <v>3345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f t="shared" si="1"/>
        <v>42</v>
      </c>
      <c r="B43" s="3" t="s">
        <v>3346</v>
      </c>
      <c r="C43" s="3" t="s">
        <v>3347</v>
      </c>
      <c r="D43" s="3" t="s">
        <v>3268</v>
      </c>
      <c r="E43" s="3" t="s">
        <v>3269</v>
      </c>
      <c r="F43" s="2" t="s">
        <v>3348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f t="shared" si="1"/>
        <v>43</v>
      </c>
      <c r="B44" s="3" t="s">
        <v>3349</v>
      </c>
      <c r="C44" s="3" t="s">
        <v>3350</v>
      </c>
      <c r="D44" s="3" t="s">
        <v>3268</v>
      </c>
      <c r="E44" s="3" t="s">
        <v>3269</v>
      </c>
      <c r="F44" s="2" t="s">
        <v>3351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f t="shared" si="1"/>
        <v>44</v>
      </c>
      <c r="B45" s="3" t="s">
        <v>3352</v>
      </c>
      <c r="C45" s="3" t="s">
        <v>3353</v>
      </c>
      <c r="D45" s="3" t="s">
        <v>3268</v>
      </c>
      <c r="E45" s="3" t="s">
        <v>3269</v>
      </c>
      <c r="F45" s="2" t="s">
        <v>3354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f t="shared" si="1"/>
        <v>45</v>
      </c>
      <c r="B46" s="3" t="s">
        <v>3355</v>
      </c>
      <c r="C46" s="3" t="s">
        <v>3356</v>
      </c>
      <c r="D46" s="3" t="s">
        <v>3268</v>
      </c>
      <c r="E46" s="3" t="s">
        <v>3269</v>
      </c>
      <c r="F46" s="2" t="s">
        <v>3357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f t="shared" si="1"/>
        <v>46</v>
      </c>
      <c r="B47" s="3" t="s">
        <v>3358</v>
      </c>
      <c r="C47" s="3" t="s">
        <v>3359</v>
      </c>
      <c r="D47" s="3" t="s">
        <v>3268</v>
      </c>
      <c r="E47" s="3" t="s">
        <v>3269</v>
      </c>
      <c r="F47" s="2" t="s">
        <v>3360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f t="shared" si="1"/>
        <v>47</v>
      </c>
      <c r="B48" s="3" t="s">
        <v>3361</v>
      </c>
      <c r="C48" s="3" t="s">
        <v>3362</v>
      </c>
      <c r="D48" s="3" t="s">
        <v>3268</v>
      </c>
      <c r="E48" s="3" t="s">
        <v>3269</v>
      </c>
      <c r="F48" s="2" t="s">
        <v>3363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f t="shared" si="1"/>
        <v>48</v>
      </c>
      <c r="B49" s="3" t="s">
        <v>3364</v>
      </c>
      <c r="C49" s="3" t="s">
        <v>3365</v>
      </c>
      <c r="D49" s="3" t="s">
        <v>3268</v>
      </c>
      <c r="E49" s="3" t="s">
        <v>3269</v>
      </c>
      <c r="F49" s="2" t="s">
        <v>3366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f t="shared" si="1"/>
        <v>49</v>
      </c>
      <c r="B50" s="3" t="s">
        <v>3367</v>
      </c>
      <c r="C50" s="3" t="s">
        <v>3368</v>
      </c>
      <c r="D50" s="3" t="s">
        <v>3268</v>
      </c>
      <c r="E50" s="3" t="s">
        <v>3269</v>
      </c>
      <c r="F50" s="2" t="s">
        <v>3369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f t="shared" si="1"/>
        <v>50</v>
      </c>
      <c r="B51" s="3" t="s">
        <v>3370</v>
      </c>
      <c r="C51" s="3" t="s">
        <v>3371</v>
      </c>
      <c r="D51" s="3" t="s">
        <v>3268</v>
      </c>
      <c r="E51" s="3" t="s">
        <v>3269</v>
      </c>
      <c r="F51" s="2" t="s">
        <v>3372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f t="shared" si="1"/>
        <v>51</v>
      </c>
      <c r="B52" s="3" t="s">
        <v>3373</v>
      </c>
      <c r="C52" s="3" t="s">
        <v>3374</v>
      </c>
      <c r="D52" s="3" t="s">
        <v>3268</v>
      </c>
      <c r="E52" s="3" t="s">
        <v>3269</v>
      </c>
      <c r="F52" s="2" t="s">
        <v>3375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f t="shared" si="1"/>
        <v>52</v>
      </c>
      <c r="B53" s="3" t="s">
        <v>3376</v>
      </c>
      <c r="C53" s="3" t="s">
        <v>3377</v>
      </c>
      <c r="D53" s="3" t="s">
        <v>3268</v>
      </c>
      <c r="E53" s="3" t="s">
        <v>3269</v>
      </c>
      <c r="F53" s="2" t="s">
        <v>3378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f t="shared" si="1"/>
        <v>53</v>
      </c>
      <c r="B54" s="3" t="s">
        <v>3379</v>
      </c>
      <c r="C54" s="3" t="s">
        <v>3380</v>
      </c>
      <c r="D54" s="3" t="s">
        <v>3268</v>
      </c>
      <c r="E54" s="3" t="s">
        <v>3269</v>
      </c>
      <c r="F54" s="2" t="s">
        <v>3381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f t="shared" si="1"/>
        <v>54</v>
      </c>
      <c r="B55" s="3" t="s">
        <v>3382</v>
      </c>
      <c r="C55" s="3" t="s">
        <v>3383</v>
      </c>
      <c r="D55" s="3" t="s">
        <v>3384</v>
      </c>
      <c r="E55" s="3" t="s">
        <v>3385</v>
      </c>
      <c r="F55" s="2" t="s">
        <v>3386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f t="shared" si="1"/>
        <v>55</v>
      </c>
      <c r="B56" s="3" t="s">
        <v>3387</v>
      </c>
      <c r="C56" s="3" t="s">
        <v>3388</v>
      </c>
      <c r="D56" s="3" t="s">
        <v>3384</v>
      </c>
      <c r="E56" s="3" t="s">
        <v>3385</v>
      </c>
      <c r="F56" s="2" t="s">
        <v>3389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f t="shared" si="1"/>
        <v>56</v>
      </c>
      <c r="B57" s="3" t="s">
        <v>3390</v>
      </c>
      <c r="C57" s="3" t="s">
        <v>3391</v>
      </c>
      <c r="D57" s="3" t="s">
        <v>3384</v>
      </c>
      <c r="E57" s="3" t="s">
        <v>3385</v>
      </c>
      <c r="F57" s="2" t="s">
        <v>3392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f t="shared" si="1"/>
        <v>57</v>
      </c>
      <c r="B58" s="3" t="s">
        <v>3393</v>
      </c>
      <c r="C58" s="3" t="s">
        <v>3394</v>
      </c>
      <c r="D58" s="3" t="s">
        <v>3384</v>
      </c>
      <c r="E58" s="3" t="s">
        <v>3385</v>
      </c>
      <c r="F58" s="2" t="s">
        <v>3395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f t="shared" si="1"/>
        <v>58</v>
      </c>
      <c r="B59" s="3" t="s">
        <v>3396</v>
      </c>
      <c r="C59" s="3" t="s">
        <v>3397</v>
      </c>
      <c r="D59" s="3" t="s">
        <v>3384</v>
      </c>
      <c r="E59" s="3" t="s">
        <v>3385</v>
      </c>
      <c r="F59" s="2" t="s">
        <v>3398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f t="shared" si="1"/>
        <v>59</v>
      </c>
      <c r="B60" s="3" t="s">
        <v>3399</v>
      </c>
      <c r="C60" s="3" t="s">
        <v>3400</v>
      </c>
      <c r="D60" s="3" t="s">
        <v>3384</v>
      </c>
      <c r="E60" s="3" t="s">
        <v>3385</v>
      </c>
      <c r="F60" s="2" t="s">
        <v>3401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f t="shared" si="1"/>
        <v>60</v>
      </c>
      <c r="B61" s="3" t="s">
        <v>3402</v>
      </c>
      <c r="C61" s="3" t="s">
        <v>3403</v>
      </c>
      <c r="D61" s="3" t="s">
        <v>3384</v>
      </c>
      <c r="E61" s="3" t="s">
        <v>3385</v>
      </c>
      <c r="F61" s="2" t="s">
        <v>3404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f t="shared" si="1"/>
        <v>61</v>
      </c>
      <c r="B62" s="3" t="s">
        <v>3405</v>
      </c>
      <c r="C62" s="3" t="s">
        <v>3406</v>
      </c>
      <c r="D62" s="3" t="s">
        <v>3384</v>
      </c>
      <c r="E62" s="3" t="s">
        <v>3385</v>
      </c>
      <c r="F62" s="2" t="s">
        <v>3407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f t="shared" si="1"/>
        <v>62</v>
      </c>
      <c r="B63" s="3" t="s">
        <v>3408</v>
      </c>
      <c r="C63" s="3" t="s">
        <v>3409</v>
      </c>
      <c r="D63" s="3" t="s">
        <v>3384</v>
      </c>
      <c r="E63" s="3" t="s">
        <v>3385</v>
      </c>
      <c r="F63" s="2" t="s">
        <v>3410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f t="shared" si="1"/>
        <v>63</v>
      </c>
      <c r="B64" s="3" t="s">
        <v>3411</v>
      </c>
      <c r="C64" s="3" t="s">
        <v>3412</v>
      </c>
      <c r="D64" s="3" t="s">
        <v>3384</v>
      </c>
      <c r="E64" s="3" t="s">
        <v>3385</v>
      </c>
      <c r="F64" s="2" t="s">
        <v>3413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f t="shared" si="1"/>
        <v>64</v>
      </c>
      <c r="B65" s="3" t="s">
        <v>3414</v>
      </c>
      <c r="C65" s="3" t="s">
        <v>3415</v>
      </c>
      <c r="D65" s="3" t="s">
        <v>3384</v>
      </c>
      <c r="E65" s="3" t="s">
        <v>3385</v>
      </c>
      <c r="F65" s="2" t="s">
        <v>3416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f t="shared" si="1"/>
        <v>65</v>
      </c>
      <c r="B66" s="3" t="s">
        <v>3417</v>
      </c>
      <c r="C66" s="3" t="s">
        <v>3418</v>
      </c>
      <c r="D66" s="3" t="s">
        <v>3384</v>
      </c>
      <c r="E66" s="3" t="s">
        <v>3385</v>
      </c>
      <c r="F66" s="2" t="s">
        <v>3419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f t="shared" si="1"/>
        <v>66</v>
      </c>
      <c r="B67" s="3" t="s">
        <v>3420</v>
      </c>
      <c r="C67" s="3" t="s">
        <v>3421</v>
      </c>
      <c r="D67" s="3" t="s">
        <v>3384</v>
      </c>
      <c r="E67" s="3" t="s">
        <v>3385</v>
      </c>
      <c r="F67" s="2" t="s">
        <v>3422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f t="shared" si="1"/>
        <v>67</v>
      </c>
      <c r="B68" s="3" t="s">
        <v>3423</v>
      </c>
      <c r="C68" s="3" t="s">
        <v>3424</v>
      </c>
      <c r="D68" s="3" t="s">
        <v>3384</v>
      </c>
      <c r="E68" s="3" t="s">
        <v>3385</v>
      </c>
      <c r="F68" s="2" t="s">
        <v>3425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f t="shared" si="1"/>
        <v>68</v>
      </c>
      <c r="B69" s="3" t="s">
        <v>3426</v>
      </c>
      <c r="C69" s="3" t="s">
        <v>3427</v>
      </c>
      <c r="D69" s="3" t="s">
        <v>3384</v>
      </c>
      <c r="E69" s="3" t="s">
        <v>3385</v>
      </c>
      <c r="F69" s="2" t="s">
        <v>3428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f t="shared" si="1"/>
        <v>69</v>
      </c>
      <c r="B70" s="3" t="s">
        <v>3429</v>
      </c>
      <c r="C70" s="3" t="s">
        <v>3430</v>
      </c>
      <c r="D70" s="3" t="s">
        <v>3384</v>
      </c>
      <c r="E70" s="3" t="s">
        <v>3385</v>
      </c>
      <c r="F70" s="2" t="s">
        <v>3431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f t="shared" si="1"/>
        <v>70</v>
      </c>
      <c r="B71" s="3" t="s">
        <v>3432</v>
      </c>
      <c r="C71" s="3" t="s">
        <v>3433</v>
      </c>
      <c r="D71" s="3" t="s">
        <v>3384</v>
      </c>
      <c r="E71" s="3" t="s">
        <v>3385</v>
      </c>
      <c r="F71" s="2" t="s">
        <v>3434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f t="shared" si="1"/>
        <v>71</v>
      </c>
      <c r="B72" s="3" t="s">
        <v>3435</v>
      </c>
      <c r="C72" s="3" t="s">
        <v>3436</v>
      </c>
      <c r="D72" s="3" t="s">
        <v>3384</v>
      </c>
      <c r="E72" s="3" t="s">
        <v>3385</v>
      </c>
      <c r="F72" s="2" t="s">
        <v>3437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f t="shared" si="1"/>
        <v>72</v>
      </c>
      <c r="B73" s="3" t="s">
        <v>3438</v>
      </c>
      <c r="C73" s="3" t="s">
        <v>3439</v>
      </c>
      <c r="D73" s="3" t="s">
        <v>3384</v>
      </c>
      <c r="E73" s="3" t="s">
        <v>3385</v>
      </c>
      <c r="F73" s="2" t="s">
        <v>3440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f t="shared" si="1"/>
        <v>73</v>
      </c>
      <c r="B74" s="3" t="s">
        <v>3441</v>
      </c>
      <c r="C74" s="3" t="s">
        <v>3442</v>
      </c>
      <c r="D74" s="3" t="s">
        <v>3384</v>
      </c>
      <c r="E74" s="3" t="s">
        <v>3385</v>
      </c>
      <c r="F74" s="2" t="s">
        <v>3443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f t="shared" si="1"/>
        <v>74</v>
      </c>
      <c r="B75" s="3" t="s">
        <v>3444</v>
      </c>
      <c r="C75" s="3" t="s">
        <v>3445</v>
      </c>
      <c r="D75" s="3" t="s">
        <v>3384</v>
      </c>
      <c r="E75" s="3" t="s">
        <v>3385</v>
      </c>
      <c r="F75" s="2" t="s">
        <v>3446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f t="shared" si="1"/>
        <v>75</v>
      </c>
      <c r="B76" s="3" t="s">
        <v>3447</v>
      </c>
      <c r="C76" s="3" t="s">
        <v>3448</v>
      </c>
      <c r="D76" s="3" t="s">
        <v>3384</v>
      </c>
      <c r="E76" s="3" t="s">
        <v>3385</v>
      </c>
      <c r="F76" s="2" t="s">
        <v>3449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f t="shared" si="1"/>
        <v>76</v>
      </c>
      <c r="B77" s="3" t="s">
        <v>3450</v>
      </c>
      <c r="C77" s="3" t="s">
        <v>3451</v>
      </c>
      <c r="D77" s="3" t="s">
        <v>3384</v>
      </c>
      <c r="E77" s="3" t="s">
        <v>3385</v>
      </c>
      <c r="F77" s="2" t="s">
        <v>3452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f t="shared" si="1"/>
        <v>77</v>
      </c>
      <c r="B78" s="3" t="s">
        <v>3453</v>
      </c>
      <c r="C78" s="3" t="s">
        <v>3454</v>
      </c>
      <c r="D78" s="3" t="s">
        <v>3384</v>
      </c>
      <c r="E78" s="3" t="s">
        <v>3385</v>
      </c>
      <c r="F78" s="2" t="s">
        <v>3455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f t="shared" si="1"/>
        <v>78</v>
      </c>
      <c r="B79" s="3" t="s">
        <v>3456</v>
      </c>
      <c r="C79" s="3" t="s">
        <v>3457</v>
      </c>
      <c r="D79" s="3" t="s">
        <v>3384</v>
      </c>
      <c r="E79" s="3" t="s">
        <v>3385</v>
      </c>
      <c r="F79" s="2" t="s">
        <v>3458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f t="shared" si="1"/>
        <v>79</v>
      </c>
      <c r="B80" s="3" t="s">
        <v>3459</v>
      </c>
      <c r="C80" s="3" t="s">
        <v>3460</v>
      </c>
      <c r="D80" s="3" t="s">
        <v>3384</v>
      </c>
      <c r="E80" s="3" t="s">
        <v>3385</v>
      </c>
      <c r="F80" s="2" t="s">
        <v>3461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f t="shared" si="1"/>
        <v>80</v>
      </c>
      <c r="B81" s="3" t="s">
        <v>3462</v>
      </c>
      <c r="C81" s="3" t="s">
        <v>3463</v>
      </c>
      <c r="D81" s="3" t="s">
        <v>3384</v>
      </c>
      <c r="E81" s="3" t="s">
        <v>3385</v>
      </c>
      <c r="F81" s="2" t="s">
        <v>3464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f t="shared" si="1"/>
        <v>81</v>
      </c>
      <c r="B82" s="3" t="s">
        <v>3465</v>
      </c>
      <c r="C82" s="3" t="s">
        <v>3466</v>
      </c>
      <c r="D82" s="3" t="s">
        <v>3384</v>
      </c>
      <c r="E82" s="3" t="s">
        <v>3385</v>
      </c>
      <c r="F82" s="2" t="s">
        <v>3467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f t="shared" si="1"/>
        <v>82</v>
      </c>
      <c r="B83" s="3" t="s">
        <v>3468</v>
      </c>
      <c r="C83" s="3" t="s">
        <v>3469</v>
      </c>
      <c r="D83" s="3" t="s">
        <v>3384</v>
      </c>
      <c r="E83" s="3" t="s">
        <v>3385</v>
      </c>
      <c r="F83" s="2" t="s">
        <v>3470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f t="shared" si="1"/>
        <v>83</v>
      </c>
      <c r="B84" s="3" t="s">
        <v>3471</v>
      </c>
      <c r="C84" s="3" t="s">
        <v>3472</v>
      </c>
      <c r="D84" s="3" t="s">
        <v>3384</v>
      </c>
      <c r="E84" s="3" t="s">
        <v>3385</v>
      </c>
      <c r="F84" s="2" t="s">
        <v>3473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f t="shared" si="1"/>
        <v>84</v>
      </c>
      <c r="B85" s="3" t="s">
        <v>3474</v>
      </c>
      <c r="C85" s="3" t="s">
        <v>3475</v>
      </c>
      <c r="D85" s="3" t="s">
        <v>3384</v>
      </c>
      <c r="E85" s="3" t="s">
        <v>3385</v>
      </c>
      <c r="F85" s="2" t="s">
        <v>3476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f t="shared" si="1"/>
        <v>85</v>
      </c>
      <c r="B86" s="3" t="s">
        <v>3477</v>
      </c>
      <c r="C86" s="3" t="s">
        <v>3478</v>
      </c>
      <c r="D86" s="3" t="s">
        <v>3384</v>
      </c>
      <c r="E86" s="3" t="s">
        <v>3385</v>
      </c>
      <c r="F86" s="2" t="s">
        <v>3479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f t="shared" si="1"/>
        <v>86</v>
      </c>
      <c r="B87" s="3" t="s">
        <v>3480</v>
      </c>
      <c r="C87" s="3" t="s">
        <v>3481</v>
      </c>
      <c r="D87" s="3" t="s">
        <v>3384</v>
      </c>
      <c r="E87" s="3" t="s">
        <v>3385</v>
      </c>
      <c r="F87" s="2" t="s">
        <v>3482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f t="shared" si="1"/>
        <v>87</v>
      </c>
      <c r="B88" s="3" t="s">
        <v>3483</v>
      </c>
      <c r="C88" s="3" t="s">
        <v>3484</v>
      </c>
      <c r="D88" s="3" t="s">
        <v>3384</v>
      </c>
      <c r="E88" s="3" t="s">
        <v>3385</v>
      </c>
      <c r="F88" s="2" t="s">
        <v>3485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f t="shared" si="1"/>
        <v>88</v>
      </c>
      <c r="B89" s="3" t="s">
        <v>3486</v>
      </c>
      <c r="C89" s="3" t="s">
        <v>3487</v>
      </c>
      <c r="D89" s="3" t="s">
        <v>3384</v>
      </c>
      <c r="E89" s="3" t="s">
        <v>3385</v>
      </c>
      <c r="F89" s="2" t="s">
        <v>3488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f t="shared" si="1"/>
        <v>89</v>
      </c>
      <c r="B90" s="3" t="s">
        <v>3489</v>
      </c>
      <c r="C90" s="3" t="s">
        <v>3490</v>
      </c>
      <c r="D90" s="3" t="s">
        <v>3384</v>
      </c>
      <c r="E90" s="3" t="s">
        <v>3385</v>
      </c>
      <c r="F90" s="2" t="s">
        <v>3491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f t="shared" si="1"/>
        <v>90</v>
      </c>
      <c r="B91" s="3" t="s">
        <v>3492</v>
      </c>
      <c r="C91" s="3" t="s">
        <v>3493</v>
      </c>
      <c r="D91" s="3" t="s">
        <v>3384</v>
      </c>
      <c r="E91" s="3" t="s">
        <v>3385</v>
      </c>
      <c r="F91" s="2" t="s">
        <v>3494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f t="shared" si="1"/>
        <v>91</v>
      </c>
      <c r="B92" s="3" t="s">
        <v>3495</v>
      </c>
      <c r="C92" s="3" t="s">
        <v>3496</v>
      </c>
      <c r="D92" s="3" t="s">
        <v>3384</v>
      </c>
      <c r="E92" s="3" t="s">
        <v>3385</v>
      </c>
      <c r="F92" s="2" t="s">
        <v>3497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f t="shared" si="1"/>
        <v>92</v>
      </c>
      <c r="B93" s="3" t="s">
        <v>3498</v>
      </c>
      <c r="C93" s="3" t="s">
        <v>3499</v>
      </c>
      <c r="D93" s="3" t="s">
        <v>3384</v>
      </c>
      <c r="E93" s="3" t="s">
        <v>3385</v>
      </c>
      <c r="F93" s="2" t="s">
        <v>3500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f t="shared" si="1"/>
        <v>93</v>
      </c>
      <c r="B94" s="3" t="s">
        <v>3501</v>
      </c>
      <c r="C94" s="3" t="s">
        <v>3502</v>
      </c>
      <c r="D94" s="3" t="s">
        <v>3384</v>
      </c>
      <c r="E94" s="3" t="s">
        <v>3385</v>
      </c>
      <c r="F94" s="2" t="s">
        <v>3503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f t="shared" si="1"/>
        <v>94</v>
      </c>
      <c r="B95" s="3" t="s">
        <v>3504</v>
      </c>
      <c r="C95" s="3" t="s">
        <v>3505</v>
      </c>
      <c r="D95" s="3" t="s">
        <v>3384</v>
      </c>
      <c r="E95" s="3" t="s">
        <v>3385</v>
      </c>
      <c r="F95" s="2" t="s">
        <v>3506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f t="shared" si="1"/>
        <v>95</v>
      </c>
      <c r="B96" s="3" t="s">
        <v>3507</v>
      </c>
      <c r="C96" s="3" t="s">
        <v>3508</v>
      </c>
      <c r="D96" s="3" t="s">
        <v>3509</v>
      </c>
      <c r="E96" s="3" t="s">
        <v>3510</v>
      </c>
      <c r="F96" s="2" t="s">
        <v>3511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f t="shared" si="1"/>
        <v>96</v>
      </c>
      <c r="B97" s="3" t="s">
        <v>3512</v>
      </c>
      <c r="C97" s="3" t="s">
        <v>3513</v>
      </c>
      <c r="D97" s="3" t="s">
        <v>3509</v>
      </c>
      <c r="E97" s="3" t="s">
        <v>3510</v>
      </c>
      <c r="F97" s="2" t="s">
        <v>3514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f t="shared" si="1"/>
        <v>97</v>
      </c>
      <c r="B98" s="3" t="s">
        <v>3515</v>
      </c>
      <c r="C98" s="3" t="s">
        <v>3516</v>
      </c>
      <c r="D98" s="3" t="s">
        <v>3509</v>
      </c>
      <c r="E98" s="3" t="s">
        <v>3510</v>
      </c>
      <c r="F98" s="2" t="s">
        <v>3517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f t="shared" si="1"/>
        <v>98</v>
      </c>
      <c r="B99" s="3" t="s">
        <v>3518</v>
      </c>
      <c r="C99" s="3" t="s">
        <v>3519</v>
      </c>
      <c r="D99" s="3" t="s">
        <v>3509</v>
      </c>
      <c r="E99" s="3" t="s">
        <v>3510</v>
      </c>
      <c r="F99" s="2" t="s">
        <v>3520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f t="shared" si="1"/>
        <v>99</v>
      </c>
      <c r="B100" s="3" t="s">
        <v>3521</v>
      </c>
      <c r="C100" s="3" t="s">
        <v>3522</v>
      </c>
      <c r="D100" s="3" t="s">
        <v>3509</v>
      </c>
      <c r="E100" s="3" t="s">
        <v>3510</v>
      </c>
      <c r="F100" s="2" t="s">
        <v>3523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f t="shared" si="1"/>
        <v>100</v>
      </c>
      <c r="B101" s="3" t="s">
        <v>3524</v>
      </c>
      <c r="C101" s="3" t="s">
        <v>3525</v>
      </c>
      <c r="D101" s="3" t="s">
        <v>3509</v>
      </c>
      <c r="E101" s="3" t="s">
        <v>3510</v>
      </c>
      <c r="F101" s="2" t="s">
        <v>3526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f t="shared" si="1"/>
        <v>101</v>
      </c>
      <c r="B102" s="3" t="s">
        <v>3527</v>
      </c>
      <c r="C102" s="3" t="s">
        <v>3528</v>
      </c>
      <c r="D102" s="3" t="s">
        <v>3509</v>
      </c>
      <c r="E102" s="3" t="s">
        <v>3510</v>
      </c>
      <c r="F102" s="2" t="s">
        <v>3529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f t="shared" si="1"/>
        <v>102</v>
      </c>
      <c r="B103" s="3" t="s">
        <v>3530</v>
      </c>
      <c r="C103" s="3" t="s">
        <v>3531</v>
      </c>
      <c r="D103" s="3" t="s">
        <v>3509</v>
      </c>
      <c r="E103" s="3" t="s">
        <v>3510</v>
      </c>
      <c r="F103" s="2" t="s">
        <v>3532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f t="shared" si="1"/>
        <v>103</v>
      </c>
      <c r="B104" s="3" t="s">
        <v>3533</v>
      </c>
      <c r="C104" s="3" t="s">
        <v>3534</v>
      </c>
      <c r="D104" s="3" t="s">
        <v>3509</v>
      </c>
      <c r="E104" s="3" t="s">
        <v>3510</v>
      </c>
      <c r="F104" s="2" t="s">
        <v>3535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f t="shared" si="1"/>
        <v>104</v>
      </c>
      <c r="B105" s="3" t="s">
        <v>3536</v>
      </c>
      <c r="C105" s="3" t="s">
        <v>3537</v>
      </c>
      <c r="D105" s="3" t="s">
        <v>3509</v>
      </c>
      <c r="E105" s="3" t="s">
        <v>3510</v>
      </c>
      <c r="F105" s="2" t="s">
        <v>3538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f t="shared" si="1"/>
        <v>105</v>
      </c>
      <c r="B106" s="3" t="s">
        <v>3539</v>
      </c>
      <c r="C106" s="3" t="s">
        <v>3540</v>
      </c>
      <c r="D106" s="3" t="s">
        <v>3509</v>
      </c>
      <c r="E106" s="3" t="s">
        <v>3510</v>
      </c>
      <c r="F106" s="2" t="s">
        <v>3541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f t="shared" si="1"/>
        <v>106</v>
      </c>
      <c r="B107" s="3" t="s">
        <v>3542</v>
      </c>
      <c r="C107" s="3" t="s">
        <v>3543</v>
      </c>
      <c r="D107" s="3" t="s">
        <v>3509</v>
      </c>
      <c r="E107" s="3" t="s">
        <v>3510</v>
      </c>
      <c r="F107" s="2" t="s">
        <v>3544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f t="shared" si="1"/>
        <v>107</v>
      </c>
      <c r="B108" s="3" t="s">
        <v>3545</v>
      </c>
      <c r="C108" s="3" t="s">
        <v>3546</v>
      </c>
      <c r="D108" s="3" t="s">
        <v>3509</v>
      </c>
      <c r="E108" s="3" t="s">
        <v>3510</v>
      </c>
      <c r="F108" s="2" t="s">
        <v>3547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f t="shared" si="1"/>
        <v>108</v>
      </c>
      <c r="B109" s="3" t="s">
        <v>3548</v>
      </c>
      <c r="C109" s="3" t="s">
        <v>3549</v>
      </c>
      <c r="D109" s="3" t="s">
        <v>3509</v>
      </c>
      <c r="E109" s="3" t="s">
        <v>3510</v>
      </c>
      <c r="F109" s="2" t="s">
        <v>3550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f t="shared" si="1"/>
        <v>109</v>
      </c>
      <c r="B110" s="3" t="s">
        <v>3551</v>
      </c>
      <c r="C110" s="3" t="s">
        <v>3552</v>
      </c>
      <c r="D110" s="3" t="s">
        <v>3509</v>
      </c>
      <c r="E110" s="3" t="s">
        <v>3510</v>
      </c>
      <c r="F110" s="2" t="s">
        <v>3553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f t="shared" si="1"/>
        <v>110</v>
      </c>
      <c r="B111" s="3" t="s">
        <v>3554</v>
      </c>
      <c r="C111" s="3" t="s">
        <v>3555</v>
      </c>
      <c r="D111" s="3" t="s">
        <v>3509</v>
      </c>
      <c r="E111" s="3" t="s">
        <v>3510</v>
      </c>
      <c r="F111" s="2" t="s">
        <v>3556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f t="shared" si="1"/>
        <v>111</v>
      </c>
      <c r="B112" s="3" t="s">
        <v>3557</v>
      </c>
      <c r="C112" s="3" t="s">
        <v>3558</v>
      </c>
      <c r="D112" s="3" t="s">
        <v>3509</v>
      </c>
      <c r="E112" s="3" t="s">
        <v>3510</v>
      </c>
      <c r="F112" s="2" t="s">
        <v>3559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f t="shared" si="1"/>
        <v>112</v>
      </c>
      <c r="B113" s="3" t="s">
        <v>3560</v>
      </c>
      <c r="C113" s="3" t="s">
        <v>3561</v>
      </c>
      <c r="D113" s="3" t="s">
        <v>3509</v>
      </c>
      <c r="E113" s="3" t="s">
        <v>3510</v>
      </c>
      <c r="F113" s="2" t="s">
        <v>3562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f t="shared" si="1"/>
        <v>113</v>
      </c>
      <c r="B114" s="3" t="s">
        <v>3563</v>
      </c>
      <c r="C114" s="3" t="s">
        <v>3564</v>
      </c>
      <c r="D114" s="3" t="s">
        <v>3509</v>
      </c>
      <c r="E114" s="3" t="s">
        <v>3510</v>
      </c>
      <c r="F114" s="2" t="s">
        <v>3565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f t="shared" si="1"/>
        <v>114</v>
      </c>
      <c r="B115" s="3" t="s">
        <v>3566</v>
      </c>
      <c r="C115" s="3" t="s">
        <v>3567</v>
      </c>
      <c r="D115" s="3" t="s">
        <v>3509</v>
      </c>
      <c r="E115" s="3" t="s">
        <v>3510</v>
      </c>
      <c r="F115" s="2" t="s">
        <v>3568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f t="shared" si="1"/>
        <v>115</v>
      </c>
      <c r="B116" s="3" t="s">
        <v>3569</v>
      </c>
      <c r="C116" s="3" t="s">
        <v>3570</v>
      </c>
      <c r="D116" s="3" t="s">
        <v>3509</v>
      </c>
      <c r="E116" s="3" t="s">
        <v>3510</v>
      </c>
      <c r="F116" s="2" t="s">
        <v>3571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f t="shared" si="1"/>
        <v>116</v>
      </c>
      <c r="B117" s="3" t="s">
        <v>3572</v>
      </c>
      <c r="C117" s="3" t="s">
        <v>3573</v>
      </c>
      <c r="D117" s="3" t="s">
        <v>3509</v>
      </c>
      <c r="E117" s="3" t="s">
        <v>3510</v>
      </c>
      <c r="F117" s="2" t="s">
        <v>3574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f t="shared" si="1"/>
        <v>117</v>
      </c>
      <c r="B118" s="3" t="s">
        <v>3575</v>
      </c>
      <c r="C118" s="3" t="s">
        <v>3576</v>
      </c>
      <c r="D118" s="3" t="s">
        <v>3509</v>
      </c>
      <c r="E118" s="3" t="s">
        <v>3510</v>
      </c>
      <c r="F118" s="2" t="s">
        <v>3577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f t="shared" si="1"/>
        <v>118</v>
      </c>
      <c r="B119" s="3" t="s">
        <v>3578</v>
      </c>
      <c r="C119" s="3" t="s">
        <v>3579</v>
      </c>
      <c r="D119" s="3" t="s">
        <v>3509</v>
      </c>
      <c r="E119" s="3" t="s">
        <v>3510</v>
      </c>
      <c r="F119" s="2" t="s">
        <v>3580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f t="shared" si="1"/>
        <v>119</v>
      </c>
      <c r="B120" s="3" t="s">
        <v>3581</v>
      </c>
      <c r="C120" s="3" t="s">
        <v>3582</v>
      </c>
      <c r="D120" s="3" t="s">
        <v>3509</v>
      </c>
      <c r="E120" s="3" t="s">
        <v>3510</v>
      </c>
      <c r="F120" s="2" t="s">
        <v>3583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f t="shared" si="1"/>
        <v>120</v>
      </c>
      <c r="B121" s="3" t="s">
        <v>3584</v>
      </c>
      <c r="C121" s="3" t="s">
        <v>3585</v>
      </c>
      <c r="D121" s="3" t="s">
        <v>3509</v>
      </c>
      <c r="E121" s="3" t="s">
        <v>3510</v>
      </c>
      <c r="F121" s="2" t="s">
        <v>3586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f t="shared" si="1"/>
        <v>121</v>
      </c>
      <c r="B122" s="3" t="s">
        <v>3587</v>
      </c>
      <c r="C122" s="3" t="s">
        <v>3588</v>
      </c>
      <c r="D122" s="3" t="s">
        <v>3509</v>
      </c>
      <c r="E122" s="3" t="s">
        <v>3510</v>
      </c>
      <c r="F122" s="2" t="s">
        <v>3589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f t="shared" si="1"/>
        <v>122</v>
      </c>
      <c r="B123" s="3" t="s">
        <v>3590</v>
      </c>
      <c r="C123" s="3" t="s">
        <v>3591</v>
      </c>
      <c r="D123" s="3" t="s">
        <v>3509</v>
      </c>
      <c r="E123" s="3" t="s">
        <v>3510</v>
      </c>
      <c r="F123" s="2" t="s">
        <v>3592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f t="shared" si="1"/>
        <v>123</v>
      </c>
      <c r="B124" s="3" t="s">
        <v>3593</v>
      </c>
      <c r="C124" s="3" t="s">
        <v>3594</v>
      </c>
      <c r="D124" s="3" t="s">
        <v>3509</v>
      </c>
      <c r="E124" s="3" t="s">
        <v>3510</v>
      </c>
      <c r="F124" s="2" t="s">
        <v>3595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f t="shared" si="1"/>
        <v>124</v>
      </c>
      <c r="B125" s="3" t="s">
        <v>3596</v>
      </c>
      <c r="C125" s="3" t="s">
        <v>3597</v>
      </c>
      <c r="D125" s="3" t="s">
        <v>3509</v>
      </c>
      <c r="E125" s="3" t="s">
        <v>3510</v>
      </c>
      <c r="F125" s="2" t="s">
        <v>3598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f t="shared" si="1"/>
        <v>125</v>
      </c>
      <c r="B126" s="3" t="s">
        <v>3599</v>
      </c>
      <c r="C126" s="3" t="s">
        <v>3600</v>
      </c>
      <c r="D126" s="3" t="s">
        <v>3509</v>
      </c>
      <c r="E126" s="3" t="s">
        <v>3510</v>
      </c>
      <c r="F126" s="2" t="s">
        <v>3601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f t="shared" si="1"/>
        <v>126</v>
      </c>
      <c r="B127" s="3" t="s">
        <v>3602</v>
      </c>
      <c r="C127" s="3" t="s">
        <v>3603</v>
      </c>
      <c r="D127" s="3" t="s">
        <v>3509</v>
      </c>
      <c r="E127" s="3" t="s">
        <v>3510</v>
      </c>
      <c r="F127" s="2" t="s">
        <v>3604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f t="shared" si="1"/>
        <v>127</v>
      </c>
      <c r="B128" s="3" t="s">
        <v>3605</v>
      </c>
      <c r="C128" s="3" t="s">
        <v>3606</v>
      </c>
      <c r="D128" s="3" t="s">
        <v>3509</v>
      </c>
      <c r="E128" s="3" t="s">
        <v>3510</v>
      </c>
      <c r="F128" s="2" t="s">
        <v>3607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f t="shared" si="1"/>
        <v>128</v>
      </c>
      <c r="B129" s="3" t="s">
        <v>3608</v>
      </c>
      <c r="C129" s="3" t="s">
        <v>3609</v>
      </c>
      <c r="D129" s="3" t="s">
        <v>3509</v>
      </c>
      <c r="E129" s="3" t="s">
        <v>3510</v>
      </c>
      <c r="F129" s="2" t="s">
        <v>3610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f t="shared" si="1"/>
        <v>129</v>
      </c>
      <c r="B130" s="3" t="s">
        <v>3611</v>
      </c>
      <c r="C130" s="3" t="s">
        <v>3612</v>
      </c>
      <c r="D130" s="3" t="s">
        <v>3509</v>
      </c>
      <c r="E130" s="3" t="s">
        <v>3510</v>
      </c>
      <c r="F130" s="2" t="s">
        <v>3613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f t="shared" si="1"/>
        <v>130</v>
      </c>
      <c r="B131" s="3" t="s">
        <v>3614</v>
      </c>
      <c r="C131" s="3" t="s">
        <v>3615</v>
      </c>
      <c r="D131" s="3" t="s">
        <v>3509</v>
      </c>
      <c r="E131" s="3" t="s">
        <v>3510</v>
      </c>
      <c r="F131" s="2" t="s">
        <v>3616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f t="shared" si="1"/>
        <v>131</v>
      </c>
      <c r="B132" s="3" t="s">
        <v>3617</v>
      </c>
      <c r="C132" s="3" t="s">
        <v>3618</v>
      </c>
      <c r="D132" s="3" t="s">
        <v>3619</v>
      </c>
      <c r="E132" s="3" t="s">
        <v>3620</v>
      </c>
      <c r="F132" s="2" t="s">
        <v>3621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f t="shared" si="1"/>
        <v>132</v>
      </c>
      <c r="B133" s="3" t="s">
        <v>3622</v>
      </c>
      <c r="C133" s="3" t="s">
        <v>3623</v>
      </c>
      <c r="D133" s="3" t="s">
        <v>3619</v>
      </c>
      <c r="E133" s="3" t="s">
        <v>3620</v>
      </c>
      <c r="F133" s="2" t="s">
        <v>3624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f t="shared" si="1"/>
        <v>133</v>
      </c>
      <c r="B134" s="3" t="s">
        <v>3625</v>
      </c>
      <c r="C134" s="3" t="s">
        <v>3626</v>
      </c>
      <c r="D134" s="3" t="s">
        <v>3619</v>
      </c>
      <c r="E134" s="3" t="s">
        <v>3620</v>
      </c>
      <c r="F134" s="2" t="s">
        <v>3627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f t="shared" si="1"/>
        <v>134</v>
      </c>
      <c r="B135" s="3" t="s">
        <v>3628</v>
      </c>
      <c r="C135" s="3" t="s">
        <v>3629</v>
      </c>
      <c r="D135" s="3" t="s">
        <v>3619</v>
      </c>
      <c r="E135" s="3" t="s">
        <v>3620</v>
      </c>
      <c r="F135" s="2" t="s">
        <v>3630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f t="shared" si="1"/>
        <v>135</v>
      </c>
      <c r="B136" s="3" t="s">
        <v>3631</v>
      </c>
      <c r="C136" s="3" t="s">
        <v>3632</v>
      </c>
      <c r="D136" s="3" t="s">
        <v>3619</v>
      </c>
      <c r="E136" s="3" t="s">
        <v>3620</v>
      </c>
      <c r="F136" s="2" t="s">
        <v>3633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f t="shared" si="1"/>
        <v>136</v>
      </c>
      <c r="B137" s="3" t="s">
        <v>3634</v>
      </c>
      <c r="C137" s="3" t="s">
        <v>3635</v>
      </c>
      <c r="D137" s="3" t="s">
        <v>3619</v>
      </c>
      <c r="E137" s="3" t="s">
        <v>3620</v>
      </c>
      <c r="F137" s="2" t="s">
        <v>3636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f t="shared" si="1"/>
        <v>137</v>
      </c>
      <c r="B138" s="3" t="s">
        <v>3637</v>
      </c>
      <c r="C138" s="3" t="s">
        <v>3638</v>
      </c>
      <c r="D138" s="3" t="s">
        <v>3619</v>
      </c>
      <c r="E138" s="3" t="s">
        <v>3620</v>
      </c>
      <c r="F138" s="2" t="s">
        <v>3639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f t="shared" si="1"/>
        <v>138</v>
      </c>
      <c r="B139" s="3" t="s">
        <v>3640</v>
      </c>
      <c r="C139" s="3" t="s">
        <v>3641</v>
      </c>
      <c r="D139" s="3" t="s">
        <v>3619</v>
      </c>
      <c r="E139" s="3" t="s">
        <v>3620</v>
      </c>
      <c r="F139" s="2" t="s">
        <v>3642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f t="shared" si="1"/>
        <v>139</v>
      </c>
      <c r="B140" s="3" t="s">
        <v>3643</v>
      </c>
      <c r="C140" s="3" t="s">
        <v>3644</v>
      </c>
      <c r="D140" s="3" t="s">
        <v>3619</v>
      </c>
      <c r="E140" s="3" t="s">
        <v>3620</v>
      </c>
      <c r="F140" s="2" t="s">
        <v>3645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f t="shared" si="1"/>
        <v>140</v>
      </c>
      <c r="B141" s="3" t="s">
        <v>3646</v>
      </c>
      <c r="C141" s="3" t="s">
        <v>3647</v>
      </c>
      <c r="D141" s="3" t="s">
        <v>3619</v>
      </c>
      <c r="E141" s="3" t="s">
        <v>3620</v>
      </c>
      <c r="F141" s="2" t="s">
        <v>3648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f t="shared" si="1"/>
        <v>141</v>
      </c>
      <c r="B142" s="3" t="s">
        <v>3649</v>
      </c>
      <c r="C142" s="3" t="s">
        <v>3650</v>
      </c>
      <c r="D142" s="3" t="s">
        <v>3619</v>
      </c>
      <c r="E142" s="3" t="s">
        <v>3620</v>
      </c>
      <c r="F142" s="2" t="s">
        <v>3651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f t="shared" si="1"/>
        <v>142</v>
      </c>
      <c r="B143" s="3" t="s">
        <v>3652</v>
      </c>
      <c r="C143" s="3" t="s">
        <v>3653</v>
      </c>
      <c r="D143" s="3" t="s">
        <v>3619</v>
      </c>
      <c r="E143" s="3" t="s">
        <v>3620</v>
      </c>
      <c r="F143" s="2" t="s">
        <v>3654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f t="shared" si="1"/>
        <v>143</v>
      </c>
      <c r="B144" s="3" t="s">
        <v>3655</v>
      </c>
      <c r="C144" s="3" t="s">
        <v>3656</v>
      </c>
      <c r="D144" s="3" t="s">
        <v>3619</v>
      </c>
      <c r="E144" s="3" t="s">
        <v>3620</v>
      </c>
      <c r="F144" s="2" t="s">
        <v>3657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f t="shared" si="1"/>
        <v>144</v>
      </c>
      <c r="B145" s="3" t="s">
        <v>3658</v>
      </c>
      <c r="C145" s="3" t="s">
        <v>3659</v>
      </c>
      <c r="D145" s="3" t="s">
        <v>3619</v>
      </c>
      <c r="E145" s="3" t="s">
        <v>3620</v>
      </c>
      <c r="F145" s="2" t="s">
        <v>3660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f t="shared" si="1"/>
        <v>145</v>
      </c>
      <c r="B146" s="3" t="s">
        <v>3661</v>
      </c>
      <c r="C146" s="3" t="s">
        <v>3662</v>
      </c>
      <c r="D146" s="3" t="s">
        <v>3619</v>
      </c>
      <c r="E146" s="3" t="s">
        <v>3620</v>
      </c>
      <c r="F146" s="2" t="s">
        <v>3663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f t="shared" si="1"/>
        <v>146</v>
      </c>
      <c r="B147" s="3" t="s">
        <v>3664</v>
      </c>
      <c r="C147" s="3" t="s">
        <v>3665</v>
      </c>
      <c r="D147" s="3" t="s">
        <v>3619</v>
      </c>
      <c r="E147" s="3" t="s">
        <v>3620</v>
      </c>
      <c r="F147" s="2" t="s">
        <v>3666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f t="shared" si="1"/>
        <v>147</v>
      </c>
      <c r="B148" s="3" t="s">
        <v>3667</v>
      </c>
      <c r="C148" s="3" t="s">
        <v>3668</v>
      </c>
      <c r="D148" s="3" t="s">
        <v>3619</v>
      </c>
      <c r="E148" s="3" t="s">
        <v>3620</v>
      </c>
      <c r="F148" s="2" t="s">
        <v>3669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f t="shared" si="1"/>
        <v>148</v>
      </c>
      <c r="B149" s="3" t="s">
        <v>3670</v>
      </c>
      <c r="C149" s="3" t="s">
        <v>3671</v>
      </c>
      <c r="D149" s="3" t="s">
        <v>3619</v>
      </c>
      <c r="E149" s="3" t="s">
        <v>3620</v>
      </c>
      <c r="F149" s="2" t="s">
        <v>3672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f t="shared" si="1"/>
        <v>149</v>
      </c>
      <c r="B150" s="3" t="s">
        <v>3673</v>
      </c>
      <c r="C150" s="3" t="s">
        <v>3674</v>
      </c>
      <c r="D150" s="3" t="s">
        <v>3619</v>
      </c>
      <c r="E150" s="3" t="s">
        <v>3620</v>
      </c>
      <c r="F150" s="2" t="s">
        <v>3675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f t="shared" si="1"/>
        <v>150</v>
      </c>
      <c r="B151" s="3" t="s">
        <v>3676</v>
      </c>
      <c r="C151" s="3" t="s">
        <v>3677</v>
      </c>
      <c r="D151" s="3" t="s">
        <v>3619</v>
      </c>
      <c r="E151" s="3" t="s">
        <v>3620</v>
      </c>
      <c r="F151" s="2" t="s">
        <v>3678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f t="shared" si="1"/>
        <v>151</v>
      </c>
      <c r="B152" s="3" t="s">
        <v>3679</v>
      </c>
      <c r="C152" s="3" t="s">
        <v>3680</v>
      </c>
      <c r="D152" s="3" t="s">
        <v>3619</v>
      </c>
      <c r="E152" s="3" t="s">
        <v>3620</v>
      </c>
      <c r="F152" s="2" t="s">
        <v>3681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f t="shared" si="1"/>
        <v>152</v>
      </c>
      <c r="B153" s="3" t="s">
        <v>3682</v>
      </c>
      <c r="C153" s="3" t="s">
        <v>3683</v>
      </c>
      <c r="D153" s="3" t="s">
        <v>3619</v>
      </c>
      <c r="E153" s="3" t="s">
        <v>3620</v>
      </c>
      <c r="F153" s="2" t="s">
        <v>3684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f t="shared" si="1"/>
        <v>153</v>
      </c>
      <c r="B154" s="3" t="s">
        <v>3685</v>
      </c>
      <c r="C154" s="3" t="s">
        <v>3686</v>
      </c>
      <c r="D154" s="3" t="s">
        <v>3619</v>
      </c>
      <c r="E154" s="3" t="s">
        <v>3620</v>
      </c>
      <c r="F154" s="2" t="s">
        <v>3687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f t="shared" si="1"/>
        <v>154</v>
      </c>
      <c r="B155" s="3" t="s">
        <v>3688</v>
      </c>
      <c r="C155" s="3" t="s">
        <v>3689</v>
      </c>
      <c r="D155" s="3" t="s">
        <v>3619</v>
      </c>
      <c r="E155" s="3" t="s">
        <v>3620</v>
      </c>
      <c r="F155" s="2" t="s">
        <v>3690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f t="shared" si="1"/>
        <v>155</v>
      </c>
      <c r="B156" s="3" t="s">
        <v>3691</v>
      </c>
      <c r="C156" s="3" t="s">
        <v>3692</v>
      </c>
      <c r="D156" s="3" t="s">
        <v>3619</v>
      </c>
      <c r="E156" s="3" t="s">
        <v>3620</v>
      </c>
      <c r="F156" s="2" t="s">
        <v>3693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f t="shared" si="1"/>
        <v>156</v>
      </c>
      <c r="B157" s="3" t="s">
        <v>3694</v>
      </c>
      <c r="C157" s="3" t="s">
        <v>3695</v>
      </c>
      <c r="D157" s="3" t="s">
        <v>3619</v>
      </c>
      <c r="E157" s="3" t="s">
        <v>3620</v>
      </c>
      <c r="F157" s="2" t="s">
        <v>3696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f t="shared" si="1"/>
        <v>157</v>
      </c>
      <c r="B158" s="3" t="s">
        <v>3697</v>
      </c>
      <c r="C158" s="3" t="s">
        <v>3698</v>
      </c>
      <c r="D158" s="3" t="s">
        <v>3619</v>
      </c>
      <c r="E158" s="3" t="s">
        <v>3620</v>
      </c>
      <c r="F158" s="2" t="s">
        <v>3699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f t="shared" si="1"/>
        <v>158</v>
      </c>
      <c r="B159" s="3" t="s">
        <v>3700</v>
      </c>
      <c r="C159" s="3" t="s">
        <v>3701</v>
      </c>
      <c r="D159" s="3" t="s">
        <v>3619</v>
      </c>
      <c r="E159" s="3" t="s">
        <v>3620</v>
      </c>
      <c r="F159" s="2" t="s">
        <v>3702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f t="shared" si="1"/>
        <v>159</v>
      </c>
      <c r="B160" s="3" t="s">
        <v>3703</v>
      </c>
      <c r="C160" s="3" t="s">
        <v>3704</v>
      </c>
      <c r="D160" s="3" t="s">
        <v>3619</v>
      </c>
      <c r="E160" s="3" t="s">
        <v>3620</v>
      </c>
      <c r="F160" s="2" t="s">
        <v>3705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f t="shared" si="1"/>
        <v>160</v>
      </c>
      <c r="B161" s="3" t="s">
        <v>3706</v>
      </c>
      <c r="C161" s="3" t="s">
        <v>3707</v>
      </c>
      <c r="D161" s="3" t="s">
        <v>3619</v>
      </c>
      <c r="E161" s="3" t="s">
        <v>3620</v>
      </c>
      <c r="F161" s="2" t="s">
        <v>3708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f t="shared" si="1"/>
        <v>161</v>
      </c>
      <c r="B162" s="3" t="s">
        <v>3709</v>
      </c>
      <c r="C162" s="3" t="s">
        <v>3710</v>
      </c>
      <c r="D162" s="3" t="s">
        <v>3619</v>
      </c>
      <c r="E162" s="3" t="s">
        <v>3620</v>
      </c>
      <c r="F162" s="2" t="s">
        <v>3711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f t="shared" si="1"/>
        <v>162</v>
      </c>
      <c r="B163" s="3" t="s">
        <v>3712</v>
      </c>
      <c r="C163" s="3" t="s">
        <v>3713</v>
      </c>
      <c r="D163" s="3" t="s">
        <v>3619</v>
      </c>
      <c r="E163" s="3" t="s">
        <v>3620</v>
      </c>
      <c r="F163" s="2" t="s">
        <v>3714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f t="shared" si="1"/>
        <v>163</v>
      </c>
      <c r="B164" s="3" t="s">
        <v>3715</v>
      </c>
      <c r="C164" s="3" t="s">
        <v>3716</v>
      </c>
      <c r="D164" s="3" t="s">
        <v>3619</v>
      </c>
      <c r="E164" s="3" t="s">
        <v>3620</v>
      </c>
      <c r="F164" s="2" t="s">
        <v>3717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f t="shared" si="1"/>
        <v>164</v>
      </c>
      <c r="B165" s="3" t="s">
        <v>3718</v>
      </c>
      <c r="C165" s="3" t="s">
        <v>3719</v>
      </c>
      <c r="D165" s="3" t="s">
        <v>3619</v>
      </c>
      <c r="E165" s="3" t="s">
        <v>3620</v>
      </c>
      <c r="F165" s="2" t="s">
        <v>3720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f t="shared" si="1"/>
        <v>165</v>
      </c>
      <c r="B166" s="3" t="s">
        <v>3721</v>
      </c>
      <c r="C166" s="3" t="s">
        <v>3722</v>
      </c>
      <c r="D166" s="3" t="s">
        <v>3619</v>
      </c>
      <c r="E166" s="3" t="s">
        <v>3620</v>
      </c>
      <c r="F166" s="2" t="s">
        <v>3723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f t="shared" si="1"/>
        <v>166</v>
      </c>
      <c r="B167" s="3" t="s">
        <v>3724</v>
      </c>
      <c r="C167" s="3" t="s">
        <v>3725</v>
      </c>
      <c r="D167" s="3" t="s">
        <v>3619</v>
      </c>
      <c r="E167" s="3" t="s">
        <v>3620</v>
      </c>
      <c r="F167" s="2" t="s">
        <v>3726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f t="shared" si="1"/>
        <v>167</v>
      </c>
      <c r="B168" s="3" t="s">
        <v>3727</v>
      </c>
      <c r="C168" s="3" t="s">
        <v>3728</v>
      </c>
      <c r="D168" s="3" t="s">
        <v>3619</v>
      </c>
      <c r="E168" s="3" t="s">
        <v>3620</v>
      </c>
      <c r="F168" s="2" t="s">
        <v>3729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f t="shared" si="1"/>
        <v>168</v>
      </c>
      <c r="B169" s="3" t="s">
        <v>3730</v>
      </c>
      <c r="C169" s="3" t="s">
        <v>3731</v>
      </c>
      <c r="D169" s="3" t="s">
        <v>3619</v>
      </c>
      <c r="E169" s="3" t="s">
        <v>3620</v>
      </c>
      <c r="F169" s="2" t="s">
        <v>3732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f t="shared" si="1"/>
        <v>169</v>
      </c>
      <c r="B170" s="3" t="s">
        <v>3733</v>
      </c>
      <c r="C170" s="3" t="s">
        <v>3734</v>
      </c>
      <c r="D170" s="3" t="s">
        <v>3619</v>
      </c>
      <c r="E170" s="3" t="s">
        <v>3620</v>
      </c>
      <c r="F170" s="2" t="s">
        <v>3735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f t="shared" si="1"/>
        <v>170</v>
      </c>
      <c r="B171" s="3" t="s">
        <v>3736</v>
      </c>
      <c r="C171" s="3" t="s">
        <v>3737</v>
      </c>
      <c r="D171" s="3" t="s">
        <v>3619</v>
      </c>
      <c r="E171" s="3" t="s">
        <v>3620</v>
      </c>
      <c r="F171" s="2" t="s">
        <v>3738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f t="shared" si="1"/>
        <v>171</v>
      </c>
      <c r="B172" s="3" t="s">
        <v>3739</v>
      </c>
      <c r="C172" s="3" t="s">
        <v>3740</v>
      </c>
      <c r="D172" s="3" t="s">
        <v>3619</v>
      </c>
      <c r="E172" s="3" t="s">
        <v>3620</v>
      </c>
      <c r="F172" s="2" t="s">
        <v>3741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f t="shared" si="1"/>
        <v>172</v>
      </c>
      <c r="B173" s="3" t="s">
        <v>3742</v>
      </c>
      <c r="C173" s="3" t="s">
        <v>3743</v>
      </c>
      <c r="D173" s="3" t="s">
        <v>3619</v>
      </c>
      <c r="E173" s="3" t="s">
        <v>3620</v>
      </c>
      <c r="F173" s="2" t="s">
        <v>3744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f t="shared" si="1"/>
        <v>173</v>
      </c>
      <c r="B174" s="3" t="s">
        <v>3745</v>
      </c>
      <c r="C174" s="3" t="s">
        <v>3746</v>
      </c>
      <c r="D174" s="3" t="s">
        <v>3619</v>
      </c>
      <c r="E174" s="3" t="s">
        <v>3620</v>
      </c>
      <c r="F174" s="2" t="s">
        <v>3747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f t="shared" si="1"/>
        <v>174</v>
      </c>
      <c r="B175" s="3" t="s">
        <v>3748</v>
      </c>
      <c r="C175" s="3" t="s">
        <v>3749</v>
      </c>
      <c r="D175" s="3" t="s">
        <v>3619</v>
      </c>
      <c r="E175" s="3" t="s">
        <v>3620</v>
      </c>
      <c r="F175" s="2" t="s">
        <v>3750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f t="shared" si="1"/>
        <v>175</v>
      </c>
      <c r="B176" s="3" t="s">
        <v>3751</v>
      </c>
      <c r="C176" s="3" t="s">
        <v>3752</v>
      </c>
      <c r="D176" s="3" t="s">
        <v>3753</v>
      </c>
      <c r="E176" s="3" t="s">
        <v>3754</v>
      </c>
      <c r="F176" s="2" t="s">
        <v>3755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f t="shared" si="1"/>
        <v>176</v>
      </c>
      <c r="B177" s="3" t="s">
        <v>3756</v>
      </c>
      <c r="C177" s="3" t="s">
        <v>3757</v>
      </c>
      <c r="D177" s="3" t="s">
        <v>3753</v>
      </c>
      <c r="E177" s="3" t="s">
        <v>3754</v>
      </c>
      <c r="F177" s="2" t="s">
        <v>3758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f t="shared" si="1"/>
        <v>177</v>
      </c>
      <c r="B178" s="3" t="s">
        <v>3759</v>
      </c>
      <c r="C178" s="3" t="s">
        <v>3760</v>
      </c>
      <c r="D178" s="3" t="s">
        <v>3753</v>
      </c>
      <c r="E178" s="3" t="s">
        <v>3754</v>
      </c>
      <c r="F178" s="2" t="s">
        <v>3761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f t="shared" si="1"/>
        <v>178</v>
      </c>
      <c r="B179" s="3" t="s">
        <v>3762</v>
      </c>
      <c r="C179" s="3" t="s">
        <v>3763</v>
      </c>
      <c r="D179" s="3" t="s">
        <v>3753</v>
      </c>
      <c r="E179" s="3" t="s">
        <v>3754</v>
      </c>
      <c r="F179" s="2" t="s">
        <v>3764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f t="shared" si="1"/>
        <v>179</v>
      </c>
      <c r="B180" s="3" t="s">
        <v>3765</v>
      </c>
      <c r="C180" s="3" t="s">
        <v>3766</v>
      </c>
      <c r="D180" s="3" t="s">
        <v>3753</v>
      </c>
      <c r="E180" s="3" t="s">
        <v>3754</v>
      </c>
      <c r="F180" s="2" t="s">
        <v>3767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f t="shared" si="1"/>
        <v>180</v>
      </c>
      <c r="B181" s="3" t="s">
        <v>3768</v>
      </c>
      <c r="C181" s="3" t="s">
        <v>3769</v>
      </c>
      <c r="D181" s="3" t="s">
        <v>3753</v>
      </c>
      <c r="E181" s="3" t="s">
        <v>3754</v>
      </c>
      <c r="F181" s="2" t="s">
        <v>3770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f t="shared" si="1"/>
        <v>181</v>
      </c>
      <c r="B182" s="3" t="s">
        <v>3771</v>
      </c>
      <c r="C182" s="3" t="s">
        <v>3772</v>
      </c>
      <c r="D182" s="3" t="s">
        <v>3753</v>
      </c>
      <c r="E182" s="3" t="s">
        <v>3754</v>
      </c>
      <c r="F182" s="2" t="s">
        <v>3773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f t="shared" si="1"/>
        <v>182</v>
      </c>
      <c r="B183" s="3" t="s">
        <v>3774</v>
      </c>
      <c r="C183" s="3" t="s">
        <v>3775</v>
      </c>
      <c r="D183" s="3" t="s">
        <v>3753</v>
      </c>
      <c r="E183" s="3" t="s">
        <v>3754</v>
      </c>
      <c r="F183" s="2" t="s">
        <v>3776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f t="shared" si="1"/>
        <v>183</v>
      </c>
      <c r="B184" s="3" t="s">
        <v>3777</v>
      </c>
      <c r="C184" s="3" t="s">
        <v>3778</v>
      </c>
      <c r="D184" s="3" t="s">
        <v>3753</v>
      </c>
      <c r="E184" s="3" t="s">
        <v>3754</v>
      </c>
      <c r="F184" s="2" t="s">
        <v>3779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f t="shared" si="1"/>
        <v>184</v>
      </c>
      <c r="B185" s="3" t="s">
        <v>3780</v>
      </c>
      <c r="C185" s="3" t="s">
        <v>3781</v>
      </c>
      <c r="D185" s="3" t="s">
        <v>3753</v>
      </c>
      <c r="E185" s="3" t="s">
        <v>3754</v>
      </c>
      <c r="F185" s="2" t="s">
        <v>3782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f t="shared" si="1"/>
        <v>185</v>
      </c>
      <c r="B186" s="3" t="s">
        <v>3783</v>
      </c>
      <c r="C186" s="3" t="s">
        <v>3784</v>
      </c>
      <c r="D186" s="3" t="s">
        <v>3753</v>
      </c>
      <c r="E186" s="3" t="s">
        <v>3754</v>
      </c>
      <c r="F186" s="2" t="s">
        <v>3785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f t="shared" si="1"/>
        <v>186</v>
      </c>
      <c r="B187" s="3" t="s">
        <v>3786</v>
      </c>
      <c r="C187" s="3" t="s">
        <v>3787</v>
      </c>
      <c r="D187" s="3" t="s">
        <v>3753</v>
      </c>
      <c r="E187" s="3" t="s">
        <v>3754</v>
      </c>
      <c r="F187" s="2" t="s">
        <v>3788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f t="shared" si="1"/>
        <v>187</v>
      </c>
      <c r="B188" s="3" t="s">
        <v>3789</v>
      </c>
      <c r="C188" s="3" t="s">
        <v>3790</v>
      </c>
      <c r="D188" s="3" t="s">
        <v>3753</v>
      </c>
      <c r="E188" s="3" t="s">
        <v>3754</v>
      </c>
      <c r="F188" s="2" t="s">
        <v>3791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f t="shared" si="1"/>
        <v>188</v>
      </c>
      <c r="B189" s="3" t="s">
        <v>3792</v>
      </c>
      <c r="C189" s="3" t="s">
        <v>3793</v>
      </c>
      <c r="D189" s="3" t="s">
        <v>3753</v>
      </c>
      <c r="E189" s="3" t="s">
        <v>3754</v>
      </c>
      <c r="F189" s="2" t="s">
        <v>3794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f t="shared" si="1"/>
        <v>189</v>
      </c>
      <c r="B190" s="3" t="s">
        <v>3795</v>
      </c>
      <c r="C190" s="3" t="s">
        <v>3796</v>
      </c>
      <c r="D190" s="3" t="s">
        <v>3753</v>
      </c>
      <c r="E190" s="3" t="s">
        <v>3754</v>
      </c>
      <c r="F190" s="2" t="s">
        <v>3797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f t="shared" si="1"/>
        <v>190</v>
      </c>
      <c r="B191" s="3" t="s">
        <v>3798</v>
      </c>
      <c r="C191" s="3" t="s">
        <v>3799</v>
      </c>
      <c r="D191" s="3" t="s">
        <v>3753</v>
      </c>
      <c r="E191" s="3" t="s">
        <v>3754</v>
      </c>
      <c r="F191" s="2" t="s">
        <v>3800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f t="shared" si="1"/>
        <v>191</v>
      </c>
      <c r="B192" s="3" t="s">
        <v>3801</v>
      </c>
      <c r="C192" s="3" t="s">
        <v>3802</v>
      </c>
      <c r="D192" s="3" t="s">
        <v>3753</v>
      </c>
      <c r="E192" s="3" t="s">
        <v>3754</v>
      </c>
      <c r="F192" s="2" t="s">
        <v>3803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f t="shared" si="1"/>
        <v>192</v>
      </c>
      <c r="B193" s="3" t="s">
        <v>3804</v>
      </c>
      <c r="C193" s="3" t="s">
        <v>3805</v>
      </c>
      <c r="D193" s="3" t="s">
        <v>3753</v>
      </c>
      <c r="E193" s="3" t="s">
        <v>3754</v>
      </c>
      <c r="F193" s="2" t="s">
        <v>3806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f t="shared" si="1"/>
        <v>193</v>
      </c>
      <c r="B194" s="3" t="s">
        <v>3807</v>
      </c>
      <c r="C194" s="3" t="s">
        <v>3808</v>
      </c>
      <c r="D194" s="3" t="s">
        <v>3753</v>
      </c>
      <c r="E194" s="3" t="s">
        <v>3754</v>
      </c>
      <c r="F194" s="2" t="s">
        <v>3809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f t="shared" si="1"/>
        <v>194</v>
      </c>
      <c r="B195" s="3" t="s">
        <v>3810</v>
      </c>
      <c r="C195" s="3" t="s">
        <v>3811</v>
      </c>
      <c r="D195" s="3" t="s">
        <v>3753</v>
      </c>
      <c r="E195" s="3" t="s">
        <v>3754</v>
      </c>
      <c r="F195" s="2" t="s">
        <v>3812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f t="shared" si="1"/>
        <v>195</v>
      </c>
      <c r="B196" s="3" t="s">
        <v>3813</v>
      </c>
      <c r="C196" s="3" t="s">
        <v>3814</v>
      </c>
      <c r="D196" s="3" t="s">
        <v>3753</v>
      </c>
      <c r="E196" s="3" t="s">
        <v>3754</v>
      </c>
      <c r="F196" s="2" t="s">
        <v>3815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f t="shared" si="1"/>
        <v>196</v>
      </c>
      <c r="B197" s="3" t="s">
        <v>3816</v>
      </c>
      <c r="C197" s="3" t="s">
        <v>3817</v>
      </c>
      <c r="D197" s="3" t="s">
        <v>3753</v>
      </c>
      <c r="E197" s="3" t="s">
        <v>3754</v>
      </c>
      <c r="F197" s="2" t="s">
        <v>3818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f t="shared" si="1"/>
        <v>197</v>
      </c>
      <c r="B198" s="3" t="s">
        <v>3819</v>
      </c>
      <c r="C198" s="3" t="s">
        <v>3820</v>
      </c>
      <c r="D198" s="3" t="s">
        <v>3753</v>
      </c>
      <c r="E198" s="3" t="s">
        <v>3754</v>
      </c>
      <c r="F198" s="2" t="s">
        <v>3821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f t="shared" si="1"/>
        <v>198</v>
      </c>
      <c r="B199" s="3" t="s">
        <v>3822</v>
      </c>
      <c r="C199" s="3" t="s">
        <v>3823</v>
      </c>
      <c r="D199" s="3" t="s">
        <v>3753</v>
      </c>
      <c r="E199" s="3" t="s">
        <v>3754</v>
      </c>
      <c r="F199" s="2" t="s">
        <v>3824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f t="shared" si="1"/>
        <v>199</v>
      </c>
      <c r="B200" s="3" t="s">
        <v>3825</v>
      </c>
      <c r="C200" s="3" t="s">
        <v>3826</v>
      </c>
      <c r="D200" s="3" t="s">
        <v>3753</v>
      </c>
      <c r="E200" s="3" t="s">
        <v>3754</v>
      </c>
      <c r="F200" s="2" t="s">
        <v>3827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f t="shared" si="1"/>
        <v>200</v>
      </c>
      <c r="B201" s="3" t="s">
        <v>3828</v>
      </c>
      <c r="C201" s="3" t="s">
        <v>3829</v>
      </c>
      <c r="D201" s="3" t="s">
        <v>3753</v>
      </c>
      <c r="E201" s="3" t="s">
        <v>3754</v>
      </c>
      <c r="F201" s="2" t="s">
        <v>3830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f t="shared" si="1"/>
        <v>201</v>
      </c>
      <c r="B202" s="3" t="s">
        <v>3831</v>
      </c>
      <c r="C202" s="3" t="s">
        <v>3832</v>
      </c>
      <c r="D202" s="3" t="s">
        <v>3753</v>
      </c>
      <c r="E202" s="3" t="s">
        <v>3754</v>
      </c>
      <c r="F202" s="2" t="s">
        <v>3833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f t="shared" si="1"/>
        <v>202</v>
      </c>
      <c r="B203" s="3" t="s">
        <v>3834</v>
      </c>
      <c r="C203" s="3" t="s">
        <v>3835</v>
      </c>
      <c r="D203" s="3" t="s">
        <v>3753</v>
      </c>
      <c r="E203" s="3" t="s">
        <v>3754</v>
      </c>
      <c r="F203" s="2" t="s">
        <v>3836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f t="shared" si="1"/>
        <v>203</v>
      </c>
      <c r="B204" s="3" t="s">
        <v>3837</v>
      </c>
      <c r="C204" s="3" t="s">
        <v>3838</v>
      </c>
      <c r="D204" s="3" t="s">
        <v>3753</v>
      </c>
      <c r="E204" s="3" t="s">
        <v>3754</v>
      </c>
      <c r="F204" s="2" t="s">
        <v>3839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f t="shared" si="1"/>
        <v>204</v>
      </c>
      <c r="B205" s="3" t="s">
        <v>3840</v>
      </c>
      <c r="C205" s="3" t="s">
        <v>3841</v>
      </c>
      <c r="D205" s="3" t="s">
        <v>3753</v>
      </c>
      <c r="E205" s="3" t="s">
        <v>3754</v>
      </c>
      <c r="F205" s="2" t="s">
        <v>3842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f t="shared" si="1"/>
        <v>205</v>
      </c>
      <c r="B206" s="3" t="s">
        <v>3843</v>
      </c>
      <c r="C206" s="3" t="s">
        <v>3844</v>
      </c>
      <c r="D206" s="3" t="s">
        <v>3753</v>
      </c>
      <c r="E206" s="3" t="s">
        <v>3754</v>
      </c>
      <c r="F206" s="2" t="s">
        <v>3845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f t="shared" si="1"/>
        <v>206</v>
      </c>
      <c r="B207" s="3" t="s">
        <v>3846</v>
      </c>
      <c r="C207" s="3" t="s">
        <v>3847</v>
      </c>
      <c r="D207" s="3" t="s">
        <v>3753</v>
      </c>
      <c r="E207" s="3" t="s">
        <v>3754</v>
      </c>
      <c r="F207" s="2" t="s">
        <v>3848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f t="shared" si="1"/>
        <v>207</v>
      </c>
      <c r="B208" s="3" t="s">
        <v>3849</v>
      </c>
      <c r="C208" s="3" t="s">
        <v>3850</v>
      </c>
      <c r="D208" s="3" t="s">
        <v>3753</v>
      </c>
      <c r="E208" s="3" t="s">
        <v>3754</v>
      </c>
      <c r="F208" s="2" t="s">
        <v>3851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f t="shared" si="1"/>
        <v>208</v>
      </c>
      <c r="B209" s="3" t="s">
        <v>3852</v>
      </c>
      <c r="C209" s="3" t="s">
        <v>3853</v>
      </c>
      <c r="D209" s="3" t="s">
        <v>3753</v>
      </c>
      <c r="E209" s="3" t="s">
        <v>3754</v>
      </c>
      <c r="F209" s="2" t="s">
        <v>3854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f t="shared" si="1"/>
        <v>209</v>
      </c>
      <c r="B210" s="3" t="s">
        <v>3855</v>
      </c>
      <c r="C210" s="3" t="s">
        <v>3856</v>
      </c>
      <c r="D210" s="3" t="s">
        <v>3753</v>
      </c>
      <c r="E210" s="3" t="s">
        <v>3754</v>
      </c>
      <c r="F210" s="2" t="s">
        <v>3857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f t="shared" si="1"/>
        <v>210</v>
      </c>
      <c r="B211" s="3" t="s">
        <v>3858</v>
      </c>
      <c r="C211" s="3" t="s">
        <v>3859</v>
      </c>
      <c r="D211" s="3" t="s">
        <v>3753</v>
      </c>
      <c r="E211" s="3" t="s">
        <v>3754</v>
      </c>
      <c r="F211" s="2" t="s">
        <v>3860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f t="shared" si="1"/>
        <v>211</v>
      </c>
      <c r="B212" s="3" t="s">
        <v>3861</v>
      </c>
      <c r="C212" s="3" t="s">
        <v>3862</v>
      </c>
      <c r="D212" s="3" t="s">
        <v>3863</v>
      </c>
      <c r="E212" s="3" t="s">
        <v>3864</v>
      </c>
      <c r="F212" s="2" t="s">
        <v>3865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f t="shared" si="1"/>
        <v>212</v>
      </c>
      <c r="B213" s="3" t="s">
        <v>3866</v>
      </c>
      <c r="C213" s="3" t="s">
        <v>3867</v>
      </c>
      <c r="D213" s="3" t="s">
        <v>3863</v>
      </c>
      <c r="E213" s="3" t="s">
        <v>3864</v>
      </c>
      <c r="F213" s="2" t="s">
        <v>3868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f t="shared" si="1"/>
        <v>213</v>
      </c>
      <c r="B214" s="3" t="s">
        <v>3869</v>
      </c>
      <c r="C214" s="3" t="s">
        <v>3870</v>
      </c>
      <c r="D214" s="3" t="s">
        <v>3863</v>
      </c>
      <c r="E214" s="3" t="s">
        <v>3864</v>
      </c>
      <c r="F214" s="2" t="s">
        <v>3871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f t="shared" si="1"/>
        <v>214</v>
      </c>
      <c r="B215" s="3" t="s">
        <v>3872</v>
      </c>
      <c r="C215" s="3" t="s">
        <v>3873</v>
      </c>
      <c r="D215" s="3" t="s">
        <v>3863</v>
      </c>
      <c r="E215" s="3" t="s">
        <v>3864</v>
      </c>
      <c r="F215" s="2" t="s">
        <v>3874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f t="shared" si="1"/>
        <v>215</v>
      </c>
      <c r="B216" s="3" t="s">
        <v>3875</v>
      </c>
      <c r="C216" s="3" t="s">
        <v>3876</v>
      </c>
      <c r="D216" s="3" t="s">
        <v>3863</v>
      </c>
      <c r="E216" s="3" t="s">
        <v>3864</v>
      </c>
      <c r="F216" s="2" t="s">
        <v>3877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f t="shared" si="1"/>
        <v>216</v>
      </c>
      <c r="B217" s="3" t="s">
        <v>3878</v>
      </c>
      <c r="C217" s="3" t="s">
        <v>3879</v>
      </c>
      <c r="D217" s="3" t="s">
        <v>3863</v>
      </c>
      <c r="E217" s="3" t="s">
        <v>3864</v>
      </c>
      <c r="F217" s="2" t="s">
        <v>3880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f t="shared" si="1"/>
        <v>217</v>
      </c>
      <c r="B218" s="3" t="s">
        <v>3881</v>
      </c>
      <c r="C218" s="3" t="s">
        <v>3882</v>
      </c>
      <c r="D218" s="3" t="s">
        <v>3863</v>
      </c>
      <c r="E218" s="3" t="s">
        <v>3864</v>
      </c>
      <c r="F218" s="2" t="s">
        <v>3883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f t="shared" si="1"/>
        <v>218</v>
      </c>
      <c r="B219" s="3" t="s">
        <v>3884</v>
      </c>
      <c r="C219" s="3" t="s">
        <v>3885</v>
      </c>
      <c r="D219" s="3" t="s">
        <v>3863</v>
      </c>
      <c r="E219" s="3" t="s">
        <v>3864</v>
      </c>
      <c r="F219" s="2" t="s">
        <v>3886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f t="shared" si="1"/>
        <v>219</v>
      </c>
      <c r="B220" s="3" t="s">
        <v>3887</v>
      </c>
      <c r="C220" s="3" t="s">
        <v>3888</v>
      </c>
      <c r="D220" s="3" t="s">
        <v>3863</v>
      </c>
      <c r="E220" s="3" t="s">
        <v>3864</v>
      </c>
      <c r="F220" s="2" t="s">
        <v>3889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f t="shared" si="1"/>
        <v>220</v>
      </c>
      <c r="B221" s="3" t="s">
        <v>3890</v>
      </c>
      <c r="C221" s="3" t="s">
        <v>3891</v>
      </c>
      <c r="D221" s="3" t="s">
        <v>3863</v>
      </c>
      <c r="E221" s="3" t="s">
        <v>3864</v>
      </c>
      <c r="F221" s="2" t="s">
        <v>3892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f t="shared" si="1"/>
        <v>221</v>
      </c>
      <c r="B222" s="3" t="s">
        <v>3893</v>
      </c>
      <c r="C222" s="3" t="s">
        <v>3894</v>
      </c>
      <c r="D222" s="3" t="s">
        <v>3863</v>
      </c>
      <c r="E222" s="3" t="s">
        <v>3864</v>
      </c>
      <c r="F222" s="2" t="s">
        <v>3895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f t="shared" si="1"/>
        <v>222</v>
      </c>
      <c r="B223" s="3" t="s">
        <v>3896</v>
      </c>
      <c r="C223" s="3" t="s">
        <v>3897</v>
      </c>
      <c r="D223" s="3" t="s">
        <v>3863</v>
      </c>
      <c r="E223" s="3" t="s">
        <v>3864</v>
      </c>
      <c r="F223" s="2" t="s">
        <v>3898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f t="shared" si="1"/>
        <v>223</v>
      </c>
      <c r="B224" s="3" t="s">
        <v>3899</v>
      </c>
      <c r="C224" s="3" t="s">
        <v>3900</v>
      </c>
      <c r="D224" s="3" t="s">
        <v>3863</v>
      </c>
      <c r="E224" s="3" t="s">
        <v>3864</v>
      </c>
      <c r="F224" s="2" t="s">
        <v>3901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f t="shared" si="1"/>
        <v>224</v>
      </c>
      <c r="B225" s="3" t="s">
        <v>3902</v>
      </c>
      <c r="C225" s="3" t="s">
        <v>3903</v>
      </c>
      <c r="D225" s="3" t="s">
        <v>3863</v>
      </c>
      <c r="E225" s="3" t="s">
        <v>3864</v>
      </c>
      <c r="F225" s="2" t="s">
        <v>3904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f t="shared" si="1"/>
        <v>225</v>
      </c>
      <c r="B226" s="3" t="s">
        <v>3905</v>
      </c>
      <c r="C226" s="3" t="s">
        <v>3906</v>
      </c>
      <c r="D226" s="3" t="s">
        <v>3863</v>
      </c>
      <c r="E226" s="3" t="s">
        <v>3864</v>
      </c>
      <c r="F226" s="2" t="s">
        <v>3907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f t="shared" si="1"/>
        <v>226</v>
      </c>
      <c r="B227" s="3" t="s">
        <v>3908</v>
      </c>
      <c r="C227" s="3" t="s">
        <v>3909</v>
      </c>
      <c r="D227" s="3" t="s">
        <v>3863</v>
      </c>
      <c r="E227" s="3" t="s">
        <v>3864</v>
      </c>
      <c r="F227" s="2" t="s">
        <v>3910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f t="shared" si="1"/>
        <v>227</v>
      </c>
      <c r="B228" s="3" t="s">
        <v>3911</v>
      </c>
      <c r="C228" s="3" t="s">
        <v>3912</v>
      </c>
      <c r="D228" s="3" t="s">
        <v>3863</v>
      </c>
      <c r="E228" s="3" t="s">
        <v>3864</v>
      </c>
      <c r="F228" s="2" t="s">
        <v>3913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f t="shared" si="1"/>
        <v>228</v>
      </c>
      <c r="B229" s="3" t="s">
        <v>3914</v>
      </c>
      <c r="C229" s="3" t="s">
        <v>3915</v>
      </c>
      <c r="D229" s="3" t="s">
        <v>3863</v>
      </c>
      <c r="E229" s="3" t="s">
        <v>3864</v>
      </c>
      <c r="F229" s="2" t="s">
        <v>3916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f t="shared" si="1"/>
        <v>229</v>
      </c>
      <c r="B230" s="3" t="s">
        <v>3917</v>
      </c>
      <c r="C230" s="3" t="s">
        <v>3918</v>
      </c>
      <c r="D230" s="3" t="s">
        <v>3863</v>
      </c>
      <c r="E230" s="3" t="s">
        <v>3864</v>
      </c>
      <c r="F230" s="2" t="s">
        <v>3919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f t="shared" si="1"/>
        <v>230</v>
      </c>
      <c r="B231" s="3" t="s">
        <v>3920</v>
      </c>
      <c r="C231" s="3" t="s">
        <v>3921</v>
      </c>
      <c r="D231" s="3" t="s">
        <v>3863</v>
      </c>
      <c r="E231" s="3" t="s">
        <v>3864</v>
      </c>
      <c r="F231" s="2" t="s">
        <v>3922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f t="shared" si="1"/>
        <v>231</v>
      </c>
      <c r="B232" s="3" t="s">
        <v>3923</v>
      </c>
      <c r="C232" s="3" t="s">
        <v>3924</v>
      </c>
      <c r="D232" s="3" t="s">
        <v>3863</v>
      </c>
      <c r="E232" s="3" t="s">
        <v>3864</v>
      </c>
      <c r="F232" s="2" t="s">
        <v>3925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f t="shared" si="1"/>
        <v>232</v>
      </c>
      <c r="B233" s="3" t="s">
        <v>3926</v>
      </c>
      <c r="C233" s="3" t="s">
        <v>3927</v>
      </c>
      <c r="D233" s="3" t="s">
        <v>3863</v>
      </c>
      <c r="E233" s="3" t="s">
        <v>3864</v>
      </c>
      <c r="F233" s="2" t="s">
        <v>3928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f t="shared" si="1"/>
        <v>233</v>
      </c>
      <c r="B234" s="3" t="s">
        <v>3929</v>
      </c>
      <c r="C234" s="3" t="s">
        <v>3930</v>
      </c>
      <c r="D234" s="3" t="s">
        <v>3863</v>
      </c>
      <c r="E234" s="3" t="s">
        <v>3864</v>
      </c>
      <c r="F234" s="2" t="s">
        <v>3931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f t="shared" si="1"/>
        <v>234</v>
      </c>
      <c r="B235" s="3" t="s">
        <v>3932</v>
      </c>
      <c r="C235" s="3" t="s">
        <v>3933</v>
      </c>
      <c r="D235" s="3" t="s">
        <v>3863</v>
      </c>
      <c r="E235" s="3" t="s">
        <v>3864</v>
      </c>
      <c r="F235" s="2" t="s">
        <v>3934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f t="shared" si="1"/>
        <v>235</v>
      </c>
      <c r="B236" s="3" t="s">
        <v>3935</v>
      </c>
      <c r="C236" s="3" t="s">
        <v>3936</v>
      </c>
      <c r="D236" s="3" t="s">
        <v>3863</v>
      </c>
      <c r="E236" s="3" t="s">
        <v>3864</v>
      </c>
      <c r="F236" s="2" t="s">
        <v>3937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f t="shared" si="1"/>
        <v>236</v>
      </c>
      <c r="B237" s="3" t="s">
        <v>3938</v>
      </c>
      <c r="C237" s="3" t="s">
        <v>3939</v>
      </c>
      <c r="D237" s="3" t="s">
        <v>3863</v>
      </c>
      <c r="E237" s="3" t="s">
        <v>3864</v>
      </c>
      <c r="F237" s="2" t="s">
        <v>3940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f t="shared" si="1"/>
        <v>237</v>
      </c>
      <c r="B238" s="3" t="s">
        <v>3941</v>
      </c>
      <c r="C238" s="3" t="s">
        <v>3942</v>
      </c>
      <c r="D238" s="3" t="s">
        <v>3863</v>
      </c>
      <c r="E238" s="3" t="s">
        <v>3864</v>
      </c>
      <c r="F238" s="2" t="s">
        <v>3943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f t="shared" si="1"/>
        <v>238</v>
      </c>
      <c r="B239" s="3" t="s">
        <v>3944</v>
      </c>
      <c r="C239" s="3" t="s">
        <v>3945</v>
      </c>
      <c r="D239" s="3" t="s">
        <v>3863</v>
      </c>
      <c r="E239" s="3" t="s">
        <v>3864</v>
      </c>
      <c r="F239" s="2" t="s">
        <v>3946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f t="shared" si="1"/>
        <v>239</v>
      </c>
      <c r="B240" s="3" t="s">
        <v>3947</v>
      </c>
      <c r="C240" s="3" t="s">
        <v>3948</v>
      </c>
      <c r="D240" s="3" t="s">
        <v>3863</v>
      </c>
      <c r="E240" s="3" t="s">
        <v>3864</v>
      </c>
      <c r="F240" s="2" t="s">
        <v>3949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f t="shared" si="1"/>
        <v>240</v>
      </c>
      <c r="B241" s="3" t="s">
        <v>3950</v>
      </c>
      <c r="C241" s="3" t="s">
        <v>3951</v>
      </c>
      <c r="D241" s="3" t="s">
        <v>3863</v>
      </c>
      <c r="E241" s="3" t="s">
        <v>3864</v>
      </c>
      <c r="F241" s="2" t="s">
        <v>3952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f t="shared" si="1"/>
        <v>241</v>
      </c>
      <c r="B242" s="3" t="s">
        <v>3953</v>
      </c>
      <c r="C242" s="3" t="s">
        <v>3954</v>
      </c>
      <c r="D242" s="3" t="s">
        <v>3863</v>
      </c>
      <c r="E242" s="3" t="s">
        <v>3864</v>
      </c>
      <c r="F242" s="2" t="s">
        <v>3955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f t="shared" si="1"/>
        <v>242</v>
      </c>
      <c r="B243" s="3" t="s">
        <v>3956</v>
      </c>
      <c r="C243" s="3" t="s">
        <v>3957</v>
      </c>
      <c r="D243" s="3" t="s">
        <v>3863</v>
      </c>
      <c r="E243" s="3" t="s">
        <v>3864</v>
      </c>
      <c r="F243" s="2" t="s">
        <v>3958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f t="shared" si="1"/>
        <v>243</v>
      </c>
      <c r="B244" s="3" t="s">
        <v>3959</v>
      </c>
      <c r="C244" s="3" t="s">
        <v>3960</v>
      </c>
      <c r="D244" s="3" t="s">
        <v>3863</v>
      </c>
      <c r="E244" s="3" t="s">
        <v>3864</v>
      </c>
      <c r="F244" s="2" t="s">
        <v>3961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f t="shared" si="1"/>
        <v>244</v>
      </c>
      <c r="B245" s="3" t="s">
        <v>3962</v>
      </c>
      <c r="C245" s="3" t="s">
        <v>3963</v>
      </c>
      <c r="D245" s="3" t="s">
        <v>3863</v>
      </c>
      <c r="E245" s="3" t="s">
        <v>3864</v>
      </c>
      <c r="F245" s="2" t="s">
        <v>3964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f t="shared" si="1"/>
        <v>245</v>
      </c>
      <c r="B246" s="3" t="s">
        <v>3965</v>
      </c>
      <c r="C246" s="3" t="s">
        <v>3966</v>
      </c>
      <c r="D246" s="3" t="s">
        <v>3863</v>
      </c>
      <c r="E246" s="3" t="s">
        <v>3864</v>
      </c>
      <c r="F246" s="2" t="s">
        <v>3967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f t="shared" si="1"/>
        <v>246</v>
      </c>
      <c r="B247" s="3" t="s">
        <v>3968</v>
      </c>
      <c r="C247" s="3" t="s">
        <v>3969</v>
      </c>
      <c r="D247" s="3" t="s">
        <v>3863</v>
      </c>
      <c r="E247" s="3" t="s">
        <v>3864</v>
      </c>
      <c r="F247" s="2" t="s">
        <v>3970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f t="shared" si="1"/>
        <v>247</v>
      </c>
      <c r="B248" s="3" t="s">
        <v>3971</v>
      </c>
      <c r="C248" s="3" t="s">
        <v>3972</v>
      </c>
      <c r="D248" s="3" t="s">
        <v>3863</v>
      </c>
      <c r="E248" s="3" t="s">
        <v>3864</v>
      </c>
      <c r="F248" s="2" t="s">
        <v>3973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f t="shared" si="1"/>
        <v>248</v>
      </c>
      <c r="B249" s="3" t="s">
        <v>3974</v>
      </c>
      <c r="C249" s="3" t="s">
        <v>3975</v>
      </c>
      <c r="D249" s="3" t="s">
        <v>3863</v>
      </c>
      <c r="E249" s="3" t="s">
        <v>3864</v>
      </c>
      <c r="F249" s="2" t="s">
        <v>3976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f t="shared" si="1"/>
        <v>249</v>
      </c>
      <c r="B250" s="3" t="s">
        <v>3977</v>
      </c>
      <c r="C250" s="3" t="s">
        <v>3978</v>
      </c>
      <c r="D250" s="3" t="s">
        <v>3863</v>
      </c>
      <c r="E250" s="3" t="s">
        <v>3864</v>
      </c>
      <c r="F250" s="2" t="s">
        <v>3979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f t="shared" si="1"/>
        <v>250</v>
      </c>
      <c r="B251" s="3" t="s">
        <v>3980</v>
      </c>
      <c r="C251" s="3" t="s">
        <v>3981</v>
      </c>
      <c r="D251" s="3" t="s">
        <v>3863</v>
      </c>
      <c r="E251" s="3" t="s">
        <v>3864</v>
      </c>
      <c r="F251" s="2" t="s">
        <v>3982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f t="shared" si="1"/>
        <v>251</v>
      </c>
      <c r="B252" s="3" t="s">
        <v>3983</v>
      </c>
      <c r="C252" s="3" t="s">
        <v>3984</v>
      </c>
      <c r="D252" s="3" t="s">
        <v>3863</v>
      </c>
      <c r="E252" s="3" t="s">
        <v>3864</v>
      </c>
      <c r="F252" s="2" t="s">
        <v>3985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f t="shared" si="1"/>
        <v>252</v>
      </c>
      <c r="B253" s="3" t="s">
        <v>3986</v>
      </c>
      <c r="C253" s="3" t="s">
        <v>3987</v>
      </c>
      <c r="D253" s="3" t="s">
        <v>3863</v>
      </c>
      <c r="E253" s="3" t="s">
        <v>3864</v>
      </c>
      <c r="F253" s="2" t="s">
        <v>3988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f t="shared" si="1"/>
        <v>253</v>
      </c>
      <c r="B254" s="3" t="s">
        <v>3989</v>
      </c>
      <c r="C254" s="3" t="s">
        <v>3990</v>
      </c>
      <c r="D254" s="3" t="s">
        <v>3991</v>
      </c>
      <c r="E254" s="3" t="s">
        <v>3992</v>
      </c>
      <c r="F254" s="2" t="s">
        <v>3993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f t="shared" si="1"/>
        <v>254</v>
      </c>
      <c r="B255" s="3" t="s">
        <v>3994</v>
      </c>
      <c r="C255" s="3" t="s">
        <v>3995</v>
      </c>
      <c r="D255" s="3" t="s">
        <v>3991</v>
      </c>
      <c r="E255" s="3" t="s">
        <v>3992</v>
      </c>
      <c r="F255" s="2" t="s">
        <v>3996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f t="shared" si="1"/>
        <v>255</v>
      </c>
      <c r="B256" s="3" t="s">
        <v>3997</v>
      </c>
      <c r="C256" s="3" t="s">
        <v>3998</v>
      </c>
      <c r="D256" s="3" t="s">
        <v>3991</v>
      </c>
      <c r="E256" s="3" t="s">
        <v>3992</v>
      </c>
      <c r="F256" s="2" t="s">
        <v>3999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f t="shared" si="1"/>
        <v>256</v>
      </c>
      <c r="B257" s="3" t="s">
        <v>4000</v>
      </c>
      <c r="C257" s="3" t="s">
        <v>4001</v>
      </c>
      <c r="D257" s="3" t="s">
        <v>3991</v>
      </c>
      <c r="E257" s="3" t="s">
        <v>3992</v>
      </c>
      <c r="F257" s="2" t="s">
        <v>4002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f t="shared" si="1"/>
        <v>257</v>
      </c>
      <c r="B258" s="3" t="s">
        <v>4003</v>
      </c>
      <c r="C258" s="3" t="s">
        <v>4004</v>
      </c>
      <c r="D258" s="3" t="s">
        <v>3991</v>
      </c>
      <c r="E258" s="3" t="s">
        <v>3992</v>
      </c>
      <c r="F258" s="2" t="s">
        <v>4005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f t="shared" si="1"/>
        <v>258</v>
      </c>
      <c r="B259" s="3" t="s">
        <v>4006</v>
      </c>
      <c r="C259" s="3" t="s">
        <v>4007</v>
      </c>
      <c r="D259" s="3" t="s">
        <v>3991</v>
      </c>
      <c r="E259" s="3" t="s">
        <v>3992</v>
      </c>
      <c r="F259" s="2" t="s">
        <v>4008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f t="shared" si="1"/>
        <v>259</v>
      </c>
      <c r="B260" s="3" t="s">
        <v>4009</v>
      </c>
      <c r="C260" s="3" t="s">
        <v>4010</v>
      </c>
      <c r="D260" s="3" t="s">
        <v>3991</v>
      </c>
      <c r="E260" s="3" t="s">
        <v>3992</v>
      </c>
      <c r="F260" s="2" t="s">
        <v>4011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f t="shared" si="1"/>
        <v>260</v>
      </c>
      <c r="B261" s="3" t="s">
        <v>4012</v>
      </c>
      <c r="C261" s="3" t="s">
        <v>4013</v>
      </c>
      <c r="D261" s="3" t="s">
        <v>3991</v>
      </c>
      <c r="E261" s="3" t="s">
        <v>3992</v>
      </c>
      <c r="F261" s="2" t="s">
        <v>4014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f t="shared" si="1"/>
        <v>261</v>
      </c>
      <c r="B262" s="3" t="s">
        <v>4015</v>
      </c>
      <c r="C262" s="3" t="s">
        <v>4016</v>
      </c>
      <c r="D262" s="3" t="s">
        <v>3991</v>
      </c>
      <c r="E262" s="3" t="s">
        <v>3992</v>
      </c>
      <c r="F262" s="2" t="s">
        <v>4017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f t="shared" si="1"/>
        <v>262</v>
      </c>
      <c r="B263" s="3" t="s">
        <v>4018</v>
      </c>
      <c r="C263" s="3" t="s">
        <v>4019</v>
      </c>
      <c r="D263" s="3" t="s">
        <v>3991</v>
      </c>
      <c r="E263" s="3" t="s">
        <v>3992</v>
      </c>
      <c r="F263" s="2" t="s">
        <v>4020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f t="shared" si="1"/>
        <v>263</v>
      </c>
      <c r="B264" s="3" t="s">
        <v>4021</v>
      </c>
      <c r="C264" s="3" t="s">
        <v>4022</v>
      </c>
      <c r="D264" s="3" t="s">
        <v>3991</v>
      </c>
      <c r="E264" s="3" t="s">
        <v>3992</v>
      </c>
      <c r="F264" s="2" t="s">
        <v>4023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f t="shared" si="1"/>
        <v>264</v>
      </c>
      <c r="B265" s="3" t="s">
        <v>4024</v>
      </c>
      <c r="C265" s="3" t="s">
        <v>4025</v>
      </c>
      <c r="D265" s="3" t="s">
        <v>3991</v>
      </c>
      <c r="E265" s="3" t="s">
        <v>3992</v>
      </c>
      <c r="F265" s="2" t="s">
        <v>4026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f t="shared" si="1"/>
        <v>265</v>
      </c>
      <c r="B266" s="3" t="s">
        <v>4027</v>
      </c>
      <c r="C266" s="3" t="s">
        <v>4028</v>
      </c>
      <c r="D266" s="3" t="s">
        <v>3991</v>
      </c>
      <c r="E266" s="3" t="s">
        <v>3992</v>
      </c>
      <c r="F266" s="2" t="s">
        <v>4029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f t="shared" si="1"/>
        <v>266</v>
      </c>
      <c r="B267" s="3" t="s">
        <v>4030</v>
      </c>
      <c r="C267" s="3" t="s">
        <v>4031</v>
      </c>
      <c r="D267" s="3" t="s">
        <v>3991</v>
      </c>
      <c r="E267" s="3" t="s">
        <v>3992</v>
      </c>
      <c r="F267" s="2" t="s">
        <v>4032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f t="shared" si="1"/>
        <v>267</v>
      </c>
      <c r="B268" s="3" t="s">
        <v>4033</v>
      </c>
      <c r="C268" s="3" t="s">
        <v>4034</v>
      </c>
      <c r="D268" s="3" t="s">
        <v>3991</v>
      </c>
      <c r="E268" s="3" t="s">
        <v>3992</v>
      </c>
      <c r="F268" s="2" t="s">
        <v>4035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f t="shared" si="1"/>
        <v>268</v>
      </c>
      <c r="B269" s="3" t="s">
        <v>4036</v>
      </c>
      <c r="C269" s="3" t="s">
        <v>4037</v>
      </c>
      <c r="D269" s="3" t="s">
        <v>3991</v>
      </c>
      <c r="E269" s="3" t="s">
        <v>3992</v>
      </c>
      <c r="F269" s="2" t="s">
        <v>4038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f t="shared" si="1"/>
        <v>269</v>
      </c>
      <c r="B270" s="3" t="s">
        <v>4039</v>
      </c>
      <c r="C270" s="3" t="s">
        <v>4040</v>
      </c>
      <c r="D270" s="3" t="s">
        <v>3991</v>
      </c>
      <c r="E270" s="3" t="s">
        <v>3992</v>
      </c>
      <c r="F270" s="2" t="s">
        <v>4041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f t="shared" si="1"/>
        <v>270</v>
      </c>
      <c r="B271" s="3" t="s">
        <v>4042</v>
      </c>
      <c r="C271" s="3" t="s">
        <v>4043</v>
      </c>
      <c r="D271" s="3" t="s">
        <v>3991</v>
      </c>
      <c r="E271" s="3" t="s">
        <v>3992</v>
      </c>
      <c r="F271" s="2" t="s">
        <v>4044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f t="shared" si="1"/>
        <v>271</v>
      </c>
      <c r="B272" s="3" t="s">
        <v>4045</v>
      </c>
      <c r="C272" s="3" t="s">
        <v>4046</v>
      </c>
      <c r="D272" s="3" t="s">
        <v>3991</v>
      </c>
      <c r="E272" s="3" t="s">
        <v>3992</v>
      </c>
      <c r="F272" s="2" t="s">
        <v>4047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f t="shared" si="1"/>
        <v>272</v>
      </c>
      <c r="B273" s="3" t="s">
        <v>4048</v>
      </c>
      <c r="C273" s="3" t="s">
        <v>4049</v>
      </c>
      <c r="D273" s="3" t="s">
        <v>3991</v>
      </c>
      <c r="E273" s="3" t="s">
        <v>3992</v>
      </c>
      <c r="F273" s="2" t="s">
        <v>4050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f t="shared" si="1"/>
        <v>273</v>
      </c>
      <c r="B274" s="3" t="s">
        <v>4051</v>
      </c>
      <c r="C274" s="3" t="s">
        <v>4052</v>
      </c>
      <c r="D274" s="3" t="s">
        <v>3991</v>
      </c>
      <c r="E274" s="3" t="s">
        <v>3992</v>
      </c>
      <c r="F274" s="2" t="s">
        <v>4053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f t="shared" si="1"/>
        <v>274</v>
      </c>
      <c r="B275" s="3" t="s">
        <v>4054</v>
      </c>
      <c r="C275" s="3" t="s">
        <v>4055</v>
      </c>
      <c r="D275" s="3" t="s">
        <v>3991</v>
      </c>
      <c r="E275" s="3" t="s">
        <v>3992</v>
      </c>
      <c r="F275" s="2" t="s">
        <v>4056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f t="shared" si="1"/>
        <v>275</v>
      </c>
      <c r="B276" s="3" t="s">
        <v>4057</v>
      </c>
      <c r="C276" s="3" t="s">
        <v>4058</v>
      </c>
      <c r="D276" s="3" t="s">
        <v>3991</v>
      </c>
      <c r="E276" s="3" t="s">
        <v>3992</v>
      </c>
      <c r="F276" s="2" t="s">
        <v>4059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f t="shared" si="1"/>
        <v>276</v>
      </c>
      <c r="B277" s="3" t="s">
        <v>4060</v>
      </c>
      <c r="C277" s="3" t="s">
        <v>4061</v>
      </c>
      <c r="D277" s="3" t="s">
        <v>3991</v>
      </c>
      <c r="E277" s="3" t="s">
        <v>3992</v>
      </c>
      <c r="F277" s="2" t="s">
        <v>4062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f t="shared" si="1"/>
        <v>277</v>
      </c>
      <c r="B278" s="3" t="s">
        <v>4063</v>
      </c>
      <c r="C278" s="3" t="s">
        <v>4064</v>
      </c>
      <c r="D278" s="3" t="s">
        <v>3991</v>
      </c>
      <c r="E278" s="3" t="s">
        <v>3992</v>
      </c>
      <c r="F278" s="2" t="s">
        <v>4065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f t="shared" si="1"/>
        <v>278</v>
      </c>
      <c r="B279" s="3" t="s">
        <v>4066</v>
      </c>
      <c r="C279" s="3" t="s">
        <v>4067</v>
      </c>
      <c r="D279" s="3" t="s">
        <v>3991</v>
      </c>
      <c r="E279" s="3" t="s">
        <v>3992</v>
      </c>
      <c r="F279" s="2" t="s">
        <v>4068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f t="shared" si="1"/>
        <v>279</v>
      </c>
      <c r="B280" s="3" t="s">
        <v>4069</v>
      </c>
      <c r="C280" s="3" t="s">
        <v>4070</v>
      </c>
      <c r="D280" s="3" t="s">
        <v>3991</v>
      </c>
      <c r="E280" s="3" t="s">
        <v>3992</v>
      </c>
      <c r="F280" s="2" t="s">
        <v>4071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f t="shared" si="1"/>
        <v>280</v>
      </c>
      <c r="B281" s="3" t="s">
        <v>4072</v>
      </c>
      <c r="C281" s="3" t="s">
        <v>4073</v>
      </c>
      <c r="D281" s="3" t="s">
        <v>3991</v>
      </c>
      <c r="E281" s="3" t="s">
        <v>3992</v>
      </c>
      <c r="F281" s="2" t="s">
        <v>4074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f t="shared" si="1"/>
        <v>281</v>
      </c>
      <c r="B282" s="3" t="s">
        <v>4075</v>
      </c>
      <c r="C282" s="3" t="s">
        <v>4076</v>
      </c>
      <c r="D282" s="3" t="s">
        <v>3991</v>
      </c>
      <c r="E282" s="3" t="s">
        <v>3992</v>
      </c>
      <c r="F282" s="2" t="s">
        <v>4077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f t="shared" si="1"/>
        <v>282</v>
      </c>
      <c r="B283" s="3" t="s">
        <v>4078</v>
      </c>
      <c r="C283" s="3" t="s">
        <v>4079</v>
      </c>
      <c r="D283" s="3" t="s">
        <v>3991</v>
      </c>
      <c r="E283" s="3" t="s">
        <v>3992</v>
      </c>
      <c r="F283" s="2" t="s">
        <v>4080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f t="shared" si="1"/>
        <v>283</v>
      </c>
      <c r="B284" s="3" t="s">
        <v>4081</v>
      </c>
      <c r="C284" s="3" t="s">
        <v>4082</v>
      </c>
      <c r="D284" s="3" t="s">
        <v>3991</v>
      </c>
      <c r="E284" s="3" t="s">
        <v>3992</v>
      </c>
      <c r="F284" s="2" t="s">
        <v>4083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f t="shared" si="1"/>
        <v>284</v>
      </c>
      <c r="B285" s="3" t="s">
        <v>4084</v>
      </c>
      <c r="C285" s="3" t="s">
        <v>4085</v>
      </c>
      <c r="D285" s="3" t="s">
        <v>3991</v>
      </c>
      <c r="E285" s="3" t="s">
        <v>3992</v>
      </c>
      <c r="F285" s="2" t="s">
        <v>4086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f t="shared" si="1"/>
        <v>285</v>
      </c>
      <c r="B286" s="3" t="s">
        <v>4087</v>
      </c>
      <c r="C286" s="3" t="s">
        <v>4088</v>
      </c>
      <c r="D286" s="3" t="s">
        <v>3991</v>
      </c>
      <c r="E286" s="3" t="s">
        <v>3992</v>
      </c>
      <c r="F286" s="2" t="s">
        <v>4089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f t="shared" si="1"/>
        <v>286</v>
      </c>
      <c r="B287" s="3" t="s">
        <v>4090</v>
      </c>
      <c r="C287" s="3" t="s">
        <v>4091</v>
      </c>
      <c r="D287" s="3" t="s">
        <v>3991</v>
      </c>
      <c r="E287" s="3" t="s">
        <v>3992</v>
      </c>
      <c r="F287" s="2" t="s">
        <v>4092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f t="shared" si="1"/>
        <v>287</v>
      </c>
      <c r="B288" s="3" t="s">
        <v>4093</v>
      </c>
      <c r="C288" s="3" t="s">
        <v>4094</v>
      </c>
      <c r="D288" s="3" t="s">
        <v>3991</v>
      </c>
      <c r="E288" s="3" t="s">
        <v>3992</v>
      </c>
      <c r="F288" s="2" t="s">
        <v>4095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f t="shared" si="1"/>
        <v>288</v>
      </c>
      <c r="B289" s="3" t="s">
        <v>4096</v>
      </c>
      <c r="C289" s="3" t="s">
        <v>4097</v>
      </c>
      <c r="D289" s="3" t="s">
        <v>3991</v>
      </c>
      <c r="E289" s="3" t="s">
        <v>3992</v>
      </c>
      <c r="F289" s="2" t="s">
        <v>4098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f t="shared" si="1"/>
        <v>289</v>
      </c>
      <c r="B290" s="3" t="s">
        <v>4099</v>
      </c>
      <c r="C290" s="3" t="s">
        <v>4100</v>
      </c>
      <c r="D290" s="3" t="s">
        <v>3991</v>
      </c>
      <c r="E290" s="3" t="s">
        <v>3992</v>
      </c>
      <c r="F290" s="2" t="s">
        <v>4101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f t="shared" si="1"/>
        <v>290</v>
      </c>
      <c r="B291" s="3" t="s">
        <v>4102</v>
      </c>
      <c r="C291" s="3" t="s">
        <v>4103</v>
      </c>
      <c r="D291" s="3" t="s">
        <v>3991</v>
      </c>
      <c r="E291" s="3" t="s">
        <v>3992</v>
      </c>
      <c r="F291" s="2" t="s">
        <v>4104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f t="shared" si="1"/>
        <v>291</v>
      </c>
      <c r="B292" s="3" t="s">
        <v>4105</v>
      </c>
      <c r="C292" s="3" t="s">
        <v>4106</v>
      </c>
      <c r="D292" s="3" t="s">
        <v>3991</v>
      </c>
      <c r="E292" s="3" t="s">
        <v>3992</v>
      </c>
      <c r="F292" s="2" t="s">
        <v>4107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f t="shared" si="1"/>
        <v>292</v>
      </c>
      <c r="B293" s="3" t="s">
        <v>4108</v>
      </c>
      <c r="C293" s="3" t="s">
        <v>4109</v>
      </c>
      <c r="D293" s="3" t="s">
        <v>3991</v>
      </c>
      <c r="E293" s="3" t="s">
        <v>3992</v>
      </c>
      <c r="F293" s="2" t="s">
        <v>4110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f t="shared" si="1"/>
        <v>293</v>
      </c>
      <c r="B294" s="3" t="s">
        <v>4111</v>
      </c>
      <c r="C294" s="3" t="s">
        <v>4112</v>
      </c>
      <c r="D294" s="3" t="s">
        <v>3991</v>
      </c>
      <c r="E294" s="3" t="s">
        <v>3992</v>
      </c>
      <c r="F294" s="2" t="s">
        <v>4113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f t="shared" si="1"/>
        <v>294</v>
      </c>
      <c r="B295" s="3" t="s">
        <v>4114</v>
      </c>
      <c r="C295" s="3" t="s">
        <v>4115</v>
      </c>
      <c r="D295" s="3" t="s">
        <v>4116</v>
      </c>
      <c r="E295" s="3" t="s">
        <v>4117</v>
      </c>
      <c r="F295" s="2" t="s">
        <v>4118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f t="shared" si="1"/>
        <v>295</v>
      </c>
      <c r="B296" s="3" t="s">
        <v>4119</v>
      </c>
      <c r="C296" s="3" t="s">
        <v>4120</v>
      </c>
      <c r="D296" s="3" t="s">
        <v>4116</v>
      </c>
      <c r="E296" s="3" t="s">
        <v>4117</v>
      </c>
      <c r="F296" s="2" t="s">
        <v>4121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f t="shared" si="1"/>
        <v>296</v>
      </c>
      <c r="B297" s="3" t="s">
        <v>4122</v>
      </c>
      <c r="C297" s="3" t="s">
        <v>4123</v>
      </c>
      <c r="D297" s="3" t="s">
        <v>4116</v>
      </c>
      <c r="E297" s="3" t="s">
        <v>4117</v>
      </c>
      <c r="F297" s="2" t="s">
        <v>4124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f t="shared" si="1"/>
        <v>297</v>
      </c>
      <c r="B298" s="3" t="s">
        <v>4125</v>
      </c>
      <c r="C298" s="3" t="s">
        <v>4126</v>
      </c>
      <c r="D298" s="3" t="s">
        <v>4116</v>
      </c>
      <c r="E298" s="3" t="s">
        <v>4117</v>
      </c>
      <c r="F298" s="2" t="s">
        <v>4127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f t="shared" si="1"/>
        <v>298</v>
      </c>
      <c r="B299" s="3" t="s">
        <v>4128</v>
      </c>
      <c r="C299" s="3" t="s">
        <v>4129</v>
      </c>
      <c r="D299" s="3" t="s">
        <v>4116</v>
      </c>
      <c r="E299" s="3" t="s">
        <v>4117</v>
      </c>
      <c r="F299" s="2" t="s">
        <v>4130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f t="shared" si="1"/>
        <v>299</v>
      </c>
      <c r="B300" s="3" t="s">
        <v>4131</v>
      </c>
      <c r="C300" s="3" t="s">
        <v>4132</v>
      </c>
      <c r="D300" s="3" t="s">
        <v>4116</v>
      </c>
      <c r="E300" s="3" t="s">
        <v>4117</v>
      </c>
      <c r="F300" s="2" t="s">
        <v>4133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f t="shared" si="1"/>
        <v>300</v>
      </c>
      <c r="B301" s="3" t="s">
        <v>4134</v>
      </c>
      <c r="C301" s="3" t="s">
        <v>4135</v>
      </c>
      <c r="D301" s="3" t="s">
        <v>4116</v>
      </c>
      <c r="E301" s="3" t="s">
        <v>4117</v>
      </c>
      <c r="F301" s="2" t="s">
        <v>4136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f t="shared" si="1"/>
        <v>301</v>
      </c>
      <c r="B302" s="3" t="s">
        <v>4137</v>
      </c>
      <c r="C302" s="3" t="s">
        <v>4138</v>
      </c>
      <c r="D302" s="3" t="s">
        <v>4116</v>
      </c>
      <c r="E302" s="3" t="s">
        <v>4117</v>
      </c>
      <c r="F302" s="2" t="s">
        <v>4139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f t="shared" si="1"/>
        <v>302</v>
      </c>
      <c r="B303" s="3" t="s">
        <v>4140</v>
      </c>
      <c r="C303" s="3" t="s">
        <v>4141</v>
      </c>
      <c r="D303" s="3" t="s">
        <v>4116</v>
      </c>
      <c r="E303" s="3" t="s">
        <v>4117</v>
      </c>
      <c r="F303" s="2" t="s">
        <v>4142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f t="shared" si="1"/>
        <v>303</v>
      </c>
      <c r="B304" s="3" t="s">
        <v>4143</v>
      </c>
      <c r="C304" s="3" t="s">
        <v>4144</v>
      </c>
      <c r="D304" s="3" t="s">
        <v>4116</v>
      </c>
      <c r="E304" s="3" t="s">
        <v>4117</v>
      </c>
      <c r="F304" s="2" t="s">
        <v>4145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f t="shared" si="1"/>
        <v>304</v>
      </c>
      <c r="B305" s="3" t="s">
        <v>4146</v>
      </c>
      <c r="C305" s="3" t="s">
        <v>4147</v>
      </c>
      <c r="D305" s="3" t="s">
        <v>4116</v>
      </c>
      <c r="E305" s="3" t="s">
        <v>4117</v>
      </c>
      <c r="F305" s="2" t="s">
        <v>4148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f t="shared" si="1"/>
        <v>305</v>
      </c>
      <c r="B306" s="3" t="s">
        <v>4149</v>
      </c>
      <c r="C306" s="3" t="s">
        <v>4150</v>
      </c>
      <c r="D306" s="3" t="s">
        <v>4116</v>
      </c>
      <c r="E306" s="3" t="s">
        <v>4117</v>
      </c>
      <c r="F306" s="2" t="s">
        <v>4151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f t="shared" si="1"/>
        <v>306</v>
      </c>
      <c r="B307" s="3" t="s">
        <v>4152</v>
      </c>
      <c r="C307" s="3" t="s">
        <v>4153</v>
      </c>
      <c r="D307" s="3" t="s">
        <v>4116</v>
      </c>
      <c r="E307" s="3" t="s">
        <v>4117</v>
      </c>
      <c r="F307" s="2" t="s">
        <v>4154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f t="shared" si="1"/>
        <v>307</v>
      </c>
      <c r="B308" s="3" t="s">
        <v>4155</v>
      </c>
      <c r="C308" s="3" t="s">
        <v>4156</v>
      </c>
      <c r="D308" s="3" t="s">
        <v>4116</v>
      </c>
      <c r="E308" s="3" t="s">
        <v>4117</v>
      </c>
      <c r="F308" s="2" t="s">
        <v>4157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f t="shared" si="1"/>
        <v>308</v>
      </c>
      <c r="B309" s="3" t="s">
        <v>4158</v>
      </c>
      <c r="C309" s="3" t="s">
        <v>4159</v>
      </c>
      <c r="D309" s="3" t="s">
        <v>4116</v>
      </c>
      <c r="E309" s="3" t="s">
        <v>4117</v>
      </c>
      <c r="F309" s="2" t="s">
        <v>4160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f t="shared" si="1"/>
        <v>309</v>
      </c>
      <c r="B310" s="3" t="s">
        <v>4161</v>
      </c>
      <c r="C310" s="3" t="s">
        <v>4162</v>
      </c>
      <c r="D310" s="3" t="s">
        <v>4116</v>
      </c>
      <c r="E310" s="3" t="s">
        <v>4117</v>
      </c>
      <c r="F310" s="2" t="s">
        <v>4163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f t="shared" si="1"/>
        <v>310</v>
      </c>
      <c r="B311" s="3" t="s">
        <v>4164</v>
      </c>
      <c r="C311" s="3" t="s">
        <v>4165</v>
      </c>
      <c r="D311" s="3" t="s">
        <v>4116</v>
      </c>
      <c r="E311" s="3" t="s">
        <v>4117</v>
      </c>
      <c r="F311" s="2" t="s">
        <v>4166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f t="shared" si="1"/>
        <v>311</v>
      </c>
      <c r="B312" s="3" t="s">
        <v>4167</v>
      </c>
      <c r="C312" s="3" t="s">
        <v>4168</v>
      </c>
      <c r="D312" s="3" t="s">
        <v>4116</v>
      </c>
      <c r="E312" s="3" t="s">
        <v>4117</v>
      </c>
      <c r="F312" s="2" t="s">
        <v>4169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f t="shared" si="1"/>
        <v>312</v>
      </c>
      <c r="B313" s="3" t="s">
        <v>4170</v>
      </c>
      <c r="C313" s="3" t="s">
        <v>4171</v>
      </c>
      <c r="D313" s="3" t="s">
        <v>4116</v>
      </c>
      <c r="E313" s="3" t="s">
        <v>4117</v>
      </c>
      <c r="F313" s="2" t="s">
        <v>4172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f t="shared" si="1"/>
        <v>313</v>
      </c>
      <c r="B314" s="3" t="s">
        <v>4173</v>
      </c>
      <c r="C314" s="3" t="s">
        <v>4174</v>
      </c>
      <c r="D314" s="3" t="s">
        <v>4116</v>
      </c>
      <c r="E314" s="3" t="s">
        <v>4117</v>
      </c>
      <c r="F314" s="2" t="s">
        <v>4175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f t="shared" si="1"/>
        <v>314</v>
      </c>
      <c r="B315" s="3" t="s">
        <v>4176</v>
      </c>
      <c r="C315" s="3" t="s">
        <v>4177</v>
      </c>
      <c r="D315" s="3" t="s">
        <v>4116</v>
      </c>
      <c r="E315" s="3" t="s">
        <v>4117</v>
      </c>
      <c r="F315" s="2" t="s">
        <v>4178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f t="shared" si="1"/>
        <v>315</v>
      </c>
      <c r="B316" s="3" t="s">
        <v>4179</v>
      </c>
      <c r="C316" s="3" t="s">
        <v>4180</v>
      </c>
      <c r="D316" s="3" t="s">
        <v>4116</v>
      </c>
      <c r="E316" s="3" t="s">
        <v>4117</v>
      </c>
      <c r="F316" s="2" t="s">
        <v>4181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f t="shared" si="1"/>
        <v>316</v>
      </c>
      <c r="B317" s="3" t="s">
        <v>4182</v>
      </c>
      <c r="C317" s="3" t="s">
        <v>4183</v>
      </c>
      <c r="D317" s="3" t="s">
        <v>4116</v>
      </c>
      <c r="E317" s="3" t="s">
        <v>4117</v>
      </c>
      <c r="F317" s="2" t="s">
        <v>4184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f t="shared" si="1"/>
        <v>317</v>
      </c>
      <c r="B318" s="3" t="s">
        <v>4185</v>
      </c>
      <c r="C318" s="3" t="s">
        <v>4186</v>
      </c>
      <c r="D318" s="3" t="s">
        <v>4116</v>
      </c>
      <c r="E318" s="3" t="s">
        <v>4117</v>
      </c>
      <c r="F318" s="2" t="s">
        <v>4187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f t="shared" si="1"/>
        <v>318</v>
      </c>
      <c r="B319" s="3" t="s">
        <v>4188</v>
      </c>
      <c r="C319" s="3" t="s">
        <v>4189</v>
      </c>
      <c r="D319" s="3" t="s">
        <v>4116</v>
      </c>
      <c r="E319" s="3" t="s">
        <v>4117</v>
      </c>
      <c r="F319" s="2" t="s">
        <v>4190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f t="shared" si="1"/>
        <v>319</v>
      </c>
      <c r="B320" s="3" t="s">
        <v>4191</v>
      </c>
      <c r="C320" s="3" t="s">
        <v>4192</v>
      </c>
      <c r="D320" s="3" t="s">
        <v>4116</v>
      </c>
      <c r="E320" s="3" t="s">
        <v>4117</v>
      </c>
      <c r="F320" s="2" t="s">
        <v>4193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f t="shared" si="1"/>
        <v>320</v>
      </c>
      <c r="B321" s="3" t="s">
        <v>4194</v>
      </c>
      <c r="C321" s="3" t="s">
        <v>4195</v>
      </c>
      <c r="D321" s="3" t="s">
        <v>4116</v>
      </c>
      <c r="E321" s="3" t="s">
        <v>4117</v>
      </c>
      <c r="F321" s="2" t="s">
        <v>4196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f t="shared" si="1"/>
        <v>321</v>
      </c>
      <c r="B322" s="3" t="s">
        <v>4197</v>
      </c>
      <c r="C322" s="3" t="s">
        <v>4198</v>
      </c>
      <c r="D322" s="3" t="s">
        <v>4116</v>
      </c>
      <c r="E322" s="3" t="s">
        <v>4117</v>
      </c>
      <c r="F322" s="2" t="s">
        <v>4199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f t="shared" si="1"/>
        <v>322</v>
      </c>
      <c r="B323" s="3" t="s">
        <v>4200</v>
      </c>
      <c r="C323" s="3" t="s">
        <v>4201</v>
      </c>
      <c r="D323" s="3" t="s">
        <v>4116</v>
      </c>
      <c r="E323" s="3" t="s">
        <v>4117</v>
      </c>
      <c r="F323" s="2" t="s">
        <v>4202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f t="shared" si="1"/>
        <v>323</v>
      </c>
      <c r="B324" s="3" t="s">
        <v>4203</v>
      </c>
      <c r="C324" s="3" t="s">
        <v>4204</v>
      </c>
      <c r="D324" s="3" t="s">
        <v>4116</v>
      </c>
      <c r="E324" s="3" t="s">
        <v>4117</v>
      </c>
      <c r="F324" s="2" t="s">
        <v>4205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f t="shared" si="1"/>
        <v>324</v>
      </c>
      <c r="B325" s="3" t="s">
        <v>4206</v>
      </c>
      <c r="C325" s="3" t="s">
        <v>4207</v>
      </c>
      <c r="D325" s="3" t="s">
        <v>4116</v>
      </c>
      <c r="E325" s="3" t="s">
        <v>4117</v>
      </c>
      <c r="F325" s="2" t="s">
        <v>4208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f t="shared" si="1"/>
        <v>325</v>
      </c>
      <c r="B326" s="3" t="s">
        <v>4209</v>
      </c>
      <c r="C326" s="3" t="s">
        <v>4210</v>
      </c>
      <c r="D326" s="3" t="s">
        <v>4116</v>
      </c>
      <c r="E326" s="3" t="s">
        <v>4117</v>
      </c>
      <c r="F326" s="2" t="s">
        <v>4211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f t="shared" si="1"/>
        <v>326</v>
      </c>
      <c r="B327" s="3" t="s">
        <v>4212</v>
      </c>
      <c r="C327" s="3" t="s">
        <v>4213</v>
      </c>
      <c r="D327" s="3" t="s">
        <v>4116</v>
      </c>
      <c r="E327" s="3" t="s">
        <v>4117</v>
      </c>
      <c r="F327" s="2" t="s">
        <v>4214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f t="shared" si="1"/>
        <v>327</v>
      </c>
      <c r="B328" s="3" t="s">
        <v>4215</v>
      </c>
      <c r="C328" s="3" t="s">
        <v>4216</v>
      </c>
      <c r="D328" s="3" t="s">
        <v>4116</v>
      </c>
      <c r="E328" s="3" t="s">
        <v>4117</v>
      </c>
      <c r="F328" s="2" t="s">
        <v>4217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f t="shared" si="1"/>
        <v>328</v>
      </c>
      <c r="B329" s="3" t="s">
        <v>4218</v>
      </c>
      <c r="C329" s="3" t="s">
        <v>4219</v>
      </c>
      <c r="D329" s="3" t="s">
        <v>4116</v>
      </c>
      <c r="E329" s="3" t="s">
        <v>4117</v>
      </c>
      <c r="F329" s="2" t="s">
        <v>4220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f t="shared" si="1"/>
        <v>329</v>
      </c>
      <c r="B330" s="3" t="s">
        <v>4221</v>
      </c>
      <c r="C330" s="3" t="s">
        <v>4222</v>
      </c>
      <c r="D330" s="3" t="s">
        <v>4116</v>
      </c>
      <c r="E330" s="3" t="s">
        <v>4117</v>
      </c>
      <c r="F330" s="2" t="s">
        <v>4223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f t="shared" si="1"/>
        <v>330</v>
      </c>
      <c r="B331" s="3" t="s">
        <v>4224</v>
      </c>
      <c r="C331" s="3" t="s">
        <v>4225</v>
      </c>
      <c r="D331" s="3" t="s">
        <v>4116</v>
      </c>
      <c r="E331" s="3" t="s">
        <v>4117</v>
      </c>
      <c r="F331" s="2" t="s">
        <v>4226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f t="shared" si="1"/>
        <v>331</v>
      </c>
      <c r="B332" s="3" t="s">
        <v>4227</v>
      </c>
      <c r="C332" s="3" t="s">
        <v>4228</v>
      </c>
      <c r="D332" s="3" t="s">
        <v>4116</v>
      </c>
      <c r="E332" s="3" t="s">
        <v>4117</v>
      </c>
      <c r="F332" s="2" t="s">
        <v>4229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f t="shared" si="1"/>
        <v>332</v>
      </c>
      <c r="B333" s="3" t="s">
        <v>4230</v>
      </c>
      <c r="C333" s="3" t="s">
        <v>4231</v>
      </c>
      <c r="D333" s="3" t="s">
        <v>4116</v>
      </c>
      <c r="E333" s="3" t="s">
        <v>4117</v>
      </c>
      <c r="F333" s="2" t="s">
        <v>4232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f t="shared" si="1"/>
        <v>333</v>
      </c>
      <c r="B334" s="3" t="s">
        <v>4233</v>
      </c>
      <c r="C334" s="3" t="s">
        <v>4234</v>
      </c>
      <c r="D334" s="3" t="s">
        <v>4116</v>
      </c>
      <c r="E334" s="3" t="s">
        <v>4117</v>
      </c>
      <c r="F334" s="2" t="s">
        <v>4235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f t="shared" si="1"/>
        <v>334</v>
      </c>
      <c r="B335" s="3" t="s">
        <v>4236</v>
      </c>
      <c r="C335" s="3" t="s">
        <v>4237</v>
      </c>
      <c r="D335" s="3" t="s">
        <v>4116</v>
      </c>
      <c r="E335" s="3" t="s">
        <v>4117</v>
      </c>
      <c r="F335" s="2" t="s">
        <v>4238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f t="shared" si="1"/>
        <v>335</v>
      </c>
      <c r="B336" s="3" t="s">
        <v>4239</v>
      </c>
      <c r="C336" s="3" t="s">
        <v>4240</v>
      </c>
      <c r="D336" s="3" t="s">
        <v>4116</v>
      </c>
      <c r="E336" s="3" t="s">
        <v>4117</v>
      </c>
      <c r="F336" s="2" t="s">
        <v>4241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f t="shared" si="1"/>
        <v>336</v>
      </c>
      <c r="B337" s="3" t="s">
        <v>4242</v>
      </c>
      <c r="C337" s="3" t="s">
        <v>4243</v>
      </c>
      <c r="D337" s="3" t="s">
        <v>4116</v>
      </c>
      <c r="E337" s="3" t="s">
        <v>4117</v>
      </c>
      <c r="F337" s="2" t="s">
        <v>4244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f t="shared" si="1"/>
        <v>337</v>
      </c>
      <c r="B338" s="3" t="s">
        <v>4245</v>
      </c>
      <c r="C338" s="3" t="s">
        <v>4246</v>
      </c>
      <c r="D338" s="3" t="s">
        <v>4247</v>
      </c>
      <c r="E338" s="3" t="s">
        <v>4248</v>
      </c>
      <c r="F338" s="2" t="s">
        <v>4249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f t="shared" si="1"/>
        <v>338</v>
      </c>
      <c r="B339" s="3" t="s">
        <v>4250</v>
      </c>
      <c r="C339" s="3" t="s">
        <v>4251</v>
      </c>
      <c r="D339" s="3" t="s">
        <v>4247</v>
      </c>
      <c r="E339" s="3" t="s">
        <v>4248</v>
      </c>
      <c r="F339" s="2" t="s">
        <v>4252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f t="shared" si="1"/>
        <v>339</v>
      </c>
      <c r="B340" s="3" t="s">
        <v>4253</v>
      </c>
      <c r="C340" s="3" t="s">
        <v>4254</v>
      </c>
      <c r="D340" s="3" t="s">
        <v>4247</v>
      </c>
      <c r="E340" s="3" t="s">
        <v>4248</v>
      </c>
      <c r="F340" s="2" t="s">
        <v>4255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f t="shared" si="1"/>
        <v>340</v>
      </c>
      <c r="B341" s="3" t="s">
        <v>4256</v>
      </c>
      <c r="C341" s="3" t="s">
        <v>4257</v>
      </c>
      <c r="D341" s="3" t="s">
        <v>4247</v>
      </c>
      <c r="E341" s="3" t="s">
        <v>4248</v>
      </c>
      <c r="F341" s="2" t="s">
        <v>4258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f t="shared" si="1"/>
        <v>341</v>
      </c>
      <c r="B342" s="3" t="s">
        <v>4259</v>
      </c>
      <c r="C342" s="3" t="s">
        <v>4260</v>
      </c>
      <c r="D342" s="3" t="s">
        <v>4247</v>
      </c>
      <c r="E342" s="3" t="s">
        <v>4248</v>
      </c>
      <c r="F342" s="2" t="s">
        <v>4261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f t="shared" si="1"/>
        <v>342</v>
      </c>
      <c r="B343" s="3" t="s">
        <v>4262</v>
      </c>
      <c r="C343" s="3" t="s">
        <v>4263</v>
      </c>
      <c r="D343" s="3" t="s">
        <v>4247</v>
      </c>
      <c r="E343" s="3" t="s">
        <v>4248</v>
      </c>
      <c r="F343" s="2" t="s">
        <v>4264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f t="shared" si="1"/>
        <v>343</v>
      </c>
      <c r="B344" s="3" t="s">
        <v>4265</v>
      </c>
      <c r="C344" s="3" t="s">
        <v>4266</v>
      </c>
      <c r="D344" s="3" t="s">
        <v>4247</v>
      </c>
      <c r="E344" s="3" t="s">
        <v>4248</v>
      </c>
      <c r="F344" s="2" t="s">
        <v>4267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f t="shared" si="1"/>
        <v>344</v>
      </c>
      <c r="B345" s="3" t="s">
        <v>4268</v>
      </c>
      <c r="C345" s="3" t="s">
        <v>4269</v>
      </c>
      <c r="D345" s="3" t="s">
        <v>4247</v>
      </c>
      <c r="E345" s="3" t="s">
        <v>4248</v>
      </c>
      <c r="F345" s="2" t="s">
        <v>4270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f t="shared" si="1"/>
        <v>345</v>
      </c>
      <c r="B346" s="3" t="s">
        <v>4271</v>
      </c>
      <c r="C346" s="3" t="s">
        <v>4272</v>
      </c>
      <c r="D346" s="3" t="s">
        <v>4247</v>
      </c>
      <c r="E346" s="3" t="s">
        <v>4248</v>
      </c>
      <c r="F346" s="2" t="s">
        <v>4273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f t="shared" si="1"/>
        <v>346</v>
      </c>
      <c r="B347" s="3" t="s">
        <v>4274</v>
      </c>
      <c r="C347" s="3" t="s">
        <v>4275</v>
      </c>
      <c r="D347" s="3" t="s">
        <v>4247</v>
      </c>
      <c r="E347" s="3" t="s">
        <v>4248</v>
      </c>
      <c r="F347" s="2" t="s">
        <v>4276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f t="shared" si="1"/>
        <v>347</v>
      </c>
      <c r="B348" s="3" t="s">
        <v>4277</v>
      </c>
      <c r="C348" s="3" t="s">
        <v>4278</v>
      </c>
      <c r="D348" s="3" t="s">
        <v>4247</v>
      </c>
      <c r="E348" s="3" t="s">
        <v>4248</v>
      </c>
      <c r="F348" s="2" t="s">
        <v>4279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f t="shared" si="1"/>
        <v>348</v>
      </c>
      <c r="B349" s="3" t="s">
        <v>4280</v>
      </c>
      <c r="C349" s="3" t="s">
        <v>4281</v>
      </c>
      <c r="D349" s="3" t="s">
        <v>4247</v>
      </c>
      <c r="E349" s="3" t="s">
        <v>4248</v>
      </c>
      <c r="F349" s="2" t="s">
        <v>4282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f t="shared" si="1"/>
        <v>349</v>
      </c>
      <c r="B350" s="3" t="s">
        <v>4283</v>
      </c>
      <c r="C350" s="3" t="s">
        <v>4284</v>
      </c>
      <c r="D350" s="3" t="s">
        <v>4247</v>
      </c>
      <c r="E350" s="3" t="s">
        <v>4248</v>
      </c>
      <c r="F350" s="2" t="s">
        <v>4285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f t="shared" si="1"/>
        <v>350</v>
      </c>
      <c r="B351" s="3" t="s">
        <v>4286</v>
      </c>
      <c r="C351" s="3" t="s">
        <v>4287</v>
      </c>
      <c r="D351" s="3" t="s">
        <v>4247</v>
      </c>
      <c r="E351" s="3" t="s">
        <v>4248</v>
      </c>
      <c r="F351" s="2" t="s">
        <v>4288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f t="shared" si="1"/>
        <v>351</v>
      </c>
      <c r="B352" s="3" t="s">
        <v>4289</v>
      </c>
      <c r="C352" s="3" t="s">
        <v>4290</v>
      </c>
      <c r="D352" s="3" t="s">
        <v>4247</v>
      </c>
      <c r="E352" s="3" t="s">
        <v>4248</v>
      </c>
      <c r="F352" s="2" t="s">
        <v>4291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f t="shared" si="1"/>
        <v>352</v>
      </c>
      <c r="B353" s="3" t="s">
        <v>4292</v>
      </c>
      <c r="C353" s="3" t="s">
        <v>4293</v>
      </c>
      <c r="D353" s="3" t="s">
        <v>4247</v>
      </c>
      <c r="E353" s="3" t="s">
        <v>4248</v>
      </c>
      <c r="F353" s="2" t="s">
        <v>4294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f t="shared" si="1"/>
        <v>353</v>
      </c>
      <c r="B354" s="3" t="s">
        <v>4295</v>
      </c>
      <c r="C354" s="3" t="s">
        <v>4296</v>
      </c>
      <c r="D354" s="3" t="s">
        <v>4247</v>
      </c>
      <c r="E354" s="3" t="s">
        <v>4248</v>
      </c>
      <c r="F354" s="2" t="s">
        <v>4297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f t="shared" si="1"/>
        <v>354</v>
      </c>
      <c r="B355" s="3" t="s">
        <v>4298</v>
      </c>
      <c r="C355" s="3" t="s">
        <v>4299</v>
      </c>
      <c r="D355" s="3" t="s">
        <v>4247</v>
      </c>
      <c r="E355" s="3" t="s">
        <v>4248</v>
      </c>
      <c r="F355" s="2" t="s">
        <v>4300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f t="shared" si="1"/>
        <v>355</v>
      </c>
      <c r="B356" s="3" t="s">
        <v>4301</v>
      </c>
      <c r="C356" s="3" t="s">
        <v>4302</v>
      </c>
      <c r="D356" s="3" t="s">
        <v>4247</v>
      </c>
      <c r="E356" s="3" t="s">
        <v>4248</v>
      </c>
      <c r="F356" s="2" t="s">
        <v>4303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f t="shared" si="1"/>
        <v>356</v>
      </c>
      <c r="B357" s="3" t="s">
        <v>4304</v>
      </c>
      <c r="C357" s="3" t="s">
        <v>4305</v>
      </c>
      <c r="D357" s="3" t="s">
        <v>4247</v>
      </c>
      <c r="E357" s="3" t="s">
        <v>4248</v>
      </c>
      <c r="F357" s="2" t="s">
        <v>4306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f t="shared" si="1"/>
        <v>357</v>
      </c>
      <c r="B358" s="3" t="s">
        <v>4307</v>
      </c>
      <c r="C358" s="3" t="s">
        <v>4308</v>
      </c>
      <c r="D358" s="3" t="s">
        <v>4247</v>
      </c>
      <c r="E358" s="3" t="s">
        <v>4248</v>
      </c>
      <c r="F358" s="2" t="s">
        <v>4309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f t="shared" si="1"/>
        <v>358</v>
      </c>
      <c r="B359" s="3" t="s">
        <v>4310</v>
      </c>
      <c r="C359" s="3" t="s">
        <v>4311</v>
      </c>
      <c r="D359" s="3" t="s">
        <v>4247</v>
      </c>
      <c r="E359" s="3" t="s">
        <v>4248</v>
      </c>
      <c r="F359" s="2" t="s">
        <v>4312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f t="shared" si="1"/>
        <v>359</v>
      </c>
      <c r="B360" s="3" t="s">
        <v>4313</v>
      </c>
      <c r="C360" s="3" t="s">
        <v>4314</v>
      </c>
      <c r="D360" s="3" t="s">
        <v>4247</v>
      </c>
      <c r="E360" s="3" t="s">
        <v>4248</v>
      </c>
      <c r="F360" s="2" t="s">
        <v>4315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f t="shared" si="1"/>
        <v>360</v>
      </c>
      <c r="B361" s="3" t="s">
        <v>4316</v>
      </c>
      <c r="C361" s="3" t="s">
        <v>4317</v>
      </c>
      <c r="D361" s="3" t="s">
        <v>4247</v>
      </c>
      <c r="E361" s="3" t="s">
        <v>4248</v>
      </c>
      <c r="F361" s="2" t="s">
        <v>4318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f t="shared" si="1"/>
        <v>361</v>
      </c>
      <c r="B362" s="3" t="s">
        <v>4319</v>
      </c>
      <c r="C362" s="3" t="s">
        <v>4320</v>
      </c>
      <c r="D362" s="3" t="s">
        <v>4247</v>
      </c>
      <c r="E362" s="3" t="s">
        <v>4248</v>
      </c>
      <c r="F362" s="2" t="s">
        <v>4321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f t="shared" si="1"/>
        <v>362</v>
      </c>
      <c r="B363" s="3" t="s">
        <v>4322</v>
      </c>
      <c r="C363" s="3" t="s">
        <v>4323</v>
      </c>
      <c r="D363" s="3" t="s">
        <v>4247</v>
      </c>
      <c r="E363" s="3" t="s">
        <v>4248</v>
      </c>
      <c r="F363" s="2" t="s">
        <v>4324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f t="shared" si="1"/>
        <v>363</v>
      </c>
      <c r="B364" s="3" t="s">
        <v>4325</v>
      </c>
      <c r="C364" s="3" t="s">
        <v>4326</v>
      </c>
      <c r="D364" s="3" t="s">
        <v>4247</v>
      </c>
      <c r="E364" s="3" t="s">
        <v>4248</v>
      </c>
      <c r="F364" s="2" t="s">
        <v>4327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f t="shared" si="1"/>
        <v>364</v>
      </c>
      <c r="B365" s="3" t="s">
        <v>4328</v>
      </c>
      <c r="C365" s="3" t="s">
        <v>4329</v>
      </c>
      <c r="D365" s="3" t="s">
        <v>4247</v>
      </c>
      <c r="E365" s="3" t="s">
        <v>4248</v>
      </c>
      <c r="F365" s="2" t="s">
        <v>4330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f t="shared" si="1"/>
        <v>365</v>
      </c>
      <c r="B366" s="3" t="s">
        <v>4331</v>
      </c>
      <c r="C366" s="3" t="s">
        <v>4332</v>
      </c>
      <c r="D366" s="3" t="s">
        <v>4247</v>
      </c>
      <c r="E366" s="3" t="s">
        <v>4248</v>
      </c>
      <c r="F366" s="2" t="s">
        <v>4333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f t="shared" si="1"/>
        <v>366</v>
      </c>
      <c r="B367" s="3" t="s">
        <v>4334</v>
      </c>
      <c r="C367" s="3" t="s">
        <v>4335</v>
      </c>
      <c r="D367" s="3" t="s">
        <v>4247</v>
      </c>
      <c r="E367" s="3" t="s">
        <v>4248</v>
      </c>
      <c r="F367" s="2" t="s">
        <v>4336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f t="shared" si="1"/>
        <v>367</v>
      </c>
      <c r="B368" s="3" t="s">
        <v>4337</v>
      </c>
      <c r="C368" s="3" t="s">
        <v>4338</v>
      </c>
      <c r="D368" s="3" t="s">
        <v>4247</v>
      </c>
      <c r="E368" s="3" t="s">
        <v>4248</v>
      </c>
      <c r="F368" s="2" t="s">
        <v>4339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f t="shared" si="1"/>
        <v>368</v>
      </c>
      <c r="B369" s="3" t="s">
        <v>4340</v>
      </c>
      <c r="C369" s="3" t="s">
        <v>4341</v>
      </c>
      <c r="D369" s="3" t="s">
        <v>4247</v>
      </c>
      <c r="E369" s="3" t="s">
        <v>4248</v>
      </c>
      <c r="F369" s="2" t="s">
        <v>4342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f t="shared" si="1"/>
        <v>369</v>
      </c>
      <c r="B370" s="3" t="s">
        <v>4343</v>
      </c>
      <c r="C370" s="3" t="s">
        <v>4344</v>
      </c>
      <c r="D370" s="3" t="s">
        <v>4247</v>
      </c>
      <c r="E370" s="3" t="s">
        <v>4248</v>
      </c>
      <c r="F370" s="2" t="s">
        <v>4345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f t="shared" si="1"/>
        <v>370</v>
      </c>
      <c r="B371" s="3" t="s">
        <v>4346</v>
      </c>
      <c r="C371" s="3" t="s">
        <v>4347</v>
      </c>
      <c r="D371" s="3" t="s">
        <v>4247</v>
      </c>
      <c r="E371" s="3" t="s">
        <v>4248</v>
      </c>
      <c r="F371" s="2" t="s">
        <v>4348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f t="shared" si="1"/>
        <v>371</v>
      </c>
      <c r="B372" s="3" t="s">
        <v>4349</v>
      </c>
      <c r="C372" s="3" t="s">
        <v>4350</v>
      </c>
      <c r="D372" s="3" t="s">
        <v>4247</v>
      </c>
      <c r="E372" s="3" t="s">
        <v>4248</v>
      </c>
      <c r="F372" s="2" t="s">
        <v>4351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f t="shared" si="1"/>
        <v>372</v>
      </c>
      <c r="B373" s="3" t="s">
        <v>4352</v>
      </c>
      <c r="C373" s="3" t="s">
        <v>4353</v>
      </c>
      <c r="D373" s="3" t="s">
        <v>4247</v>
      </c>
      <c r="E373" s="3" t="s">
        <v>4248</v>
      </c>
      <c r="F373" s="2" t="s">
        <v>4354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f t="shared" si="1"/>
        <v>373</v>
      </c>
      <c r="B374" s="3" t="s">
        <v>4355</v>
      </c>
      <c r="C374" s="3" t="s">
        <v>4356</v>
      </c>
      <c r="D374" s="3" t="s">
        <v>4247</v>
      </c>
      <c r="E374" s="3" t="s">
        <v>4248</v>
      </c>
      <c r="F374" s="2" t="s">
        <v>4357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f t="shared" si="1"/>
        <v>374</v>
      </c>
      <c r="B375" s="3" t="s">
        <v>4358</v>
      </c>
      <c r="C375" s="3" t="s">
        <v>4359</v>
      </c>
      <c r="D375" s="3" t="s">
        <v>4247</v>
      </c>
      <c r="E375" s="3" t="s">
        <v>4248</v>
      </c>
      <c r="F375" s="2" t="s">
        <v>4360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f t="shared" si="1"/>
        <v>375</v>
      </c>
      <c r="B376" s="3" t="s">
        <v>4361</v>
      </c>
      <c r="C376" s="3" t="s">
        <v>4362</v>
      </c>
      <c r="D376" s="3" t="s">
        <v>4247</v>
      </c>
      <c r="E376" s="3" t="s">
        <v>4248</v>
      </c>
      <c r="F376" s="2" t="s">
        <v>4363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f t="shared" si="1"/>
        <v>376</v>
      </c>
      <c r="B377" s="3" t="s">
        <v>4364</v>
      </c>
      <c r="C377" s="3" t="s">
        <v>4365</v>
      </c>
      <c r="D377" s="3" t="s">
        <v>4247</v>
      </c>
      <c r="E377" s="3" t="s">
        <v>4248</v>
      </c>
      <c r="F377" s="2" t="s">
        <v>4366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f t="shared" si="1"/>
        <v>377</v>
      </c>
      <c r="B378" s="3" t="s">
        <v>4367</v>
      </c>
      <c r="C378" s="3" t="s">
        <v>4368</v>
      </c>
      <c r="D378" s="3" t="s">
        <v>4247</v>
      </c>
      <c r="E378" s="3" t="s">
        <v>4248</v>
      </c>
      <c r="F378" s="2" t="s">
        <v>4369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f t="shared" si="1"/>
        <v>378</v>
      </c>
      <c r="B379" s="3" t="s">
        <v>4370</v>
      </c>
      <c r="C379" s="3" t="s">
        <v>4371</v>
      </c>
      <c r="D379" s="3" t="s">
        <v>4247</v>
      </c>
      <c r="E379" s="3" t="s">
        <v>4248</v>
      </c>
      <c r="F379" s="2" t="s">
        <v>4372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f t="shared" si="1"/>
        <v>379</v>
      </c>
      <c r="B380" s="3" t="s">
        <v>4373</v>
      </c>
      <c r="C380" s="3" t="s">
        <v>4374</v>
      </c>
      <c r="D380" s="3" t="s">
        <v>4375</v>
      </c>
      <c r="E380" s="3" t="s">
        <v>4376</v>
      </c>
      <c r="F380" s="2" t="s">
        <v>4377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f t="shared" si="1"/>
        <v>380</v>
      </c>
      <c r="B381" s="3" t="s">
        <v>4378</v>
      </c>
      <c r="C381" s="3" t="s">
        <v>4379</v>
      </c>
      <c r="D381" s="3" t="s">
        <v>4375</v>
      </c>
      <c r="E381" s="3" t="s">
        <v>4376</v>
      </c>
      <c r="F381" s="2" t="s">
        <v>4380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f t="shared" si="1"/>
        <v>381</v>
      </c>
      <c r="B382" s="3" t="s">
        <v>4381</v>
      </c>
      <c r="C382" s="3" t="s">
        <v>4382</v>
      </c>
      <c r="D382" s="3" t="s">
        <v>4375</v>
      </c>
      <c r="E382" s="3" t="s">
        <v>4376</v>
      </c>
      <c r="F382" s="2" t="s">
        <v>4383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f t="shared" si="1"/>
        <v>382</v>
      </c>
      <c r="B383" s="3" t="s">
        <v>4384</v>
      </c>
      <c r="C383" s="3" t="s">
        <v>4385</v>
      </c>
      <c r="D383" s="3" t="s">
        <v>4375</v>
      </c>
      <c r="E383" s="3" t="s">
        <v>4376</v>
      </c>
      <c r="F383" s="2" t="s">
        <v>4386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f t="shared" si="1"/>
        <v>383</v>
      </c>
      <c r="B384" s="3" t="s">
        <v>4387</v>
      </c>
      <c r="C384" s="3" t="s">
        <v>4388</v>
      </c>
      <c r="D384" s="3" t="s">
        <v>4375</v>
      </c>
      <c r="E384" s="3" t="s">
        <v>4376</v>
      </c>
      <c r="F384" s="2" t="s">
        <v>4389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f t="shared" si="1"/>
        <v>384</v>
      </c>
      <c r="B385" s="3" t="s">
        <v>4390</v>
      </c>
      <c r="C385" s="3" t="s">
        <v>4391</v>
      </c>
      <c r="D385" s="3" t="s">
        <v>4375</v>
      </c>
      <c r="E385" s="3" t="s">
        <v>4376</v>
      </c>
      <c r="F385" s="2" t="s">
        <v>4392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f t="shared" si="1"/>
        <v>385</v>
      </c>
      <c r="B386" s="3" t="s">
        <v>4393</v>
      </c>
      <c r="C386" s="3" t="s">
        <v>4394</v>
      </c>
      <c r="D386" s="3" t="s">
        <v>4375</v>
      </c>
      <c r="E386" s="3" t="s">
        <v>4376</v>
      </c>
      <c r="F386" s="2" t="s">
        <v>4395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f t="shared" si="1"/>
        <v>386</v>
      </c>
      <c r="B387" s="3" t="s">
        <v>4396</v>
      </c>
      <c r="C387" s="3" t="s">
        <v>4397</v>
      </c>
      <c r="D387" s="3" t="s">
        <v>4375</v>
      </c>
      <c r="E387" s="3" t="s">
        <v>4376</v>
      </c>
      <c r="F387" s="2" t="s">
        <v>4398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f t="shared" si="1"/>
        <v>387</v>
      </c>
      <c r="B388" s="3" t="s">
        <v>4399</v>
      </c>
      <c r="C388" s="3" t="s">
        <v>4400</v>
      </c>
      <c r="D388" s="3" t="s">
        <v>4375</v>
      </c>
      <c r="E388" s="3" t="s">
        <v>4376</v>
      </c>
      <c r="F388" s="2" t="s">
        <v>4401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f t="shared" si="1"/>
        <v>388</v>
      </c>
      <c r="B389" s="3" t="s">
        <v>4402</v>
      </c>
      <c r="C389" s="3" t="s">
        <v>4403</v>
      </c>
      <c r="D389" s="3" t="s">
        <v>4375</v>
      </c>
      <c r="E389" s="3" t="s">
        <v>4376</v>
      </c>
      <c r="F389" s="2" t="s">
        <v>4404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f t="shared" si="1"/>
        <v>389</v>
      </c>
      <c r="B390" s="3" t="s">
        <v>4405</v>
      </c>
      <c r="C390" s="3" t="s">
        <v>4406</v>
      </c>
      <c r="D390" s="3" t="s">
        <v>4375</v>
      </c>
      <c r="E390" s="3" t="s">
        <v>4376</v>
      </c>
      <c r="F390" s="2" t="s">
        <v>4407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f t="shared" si="1"/>
        <v>390</v>
      </c>
      <c r="B391" s="3" t="s">
        <v>4408</v>
      </c>
      <c r="C391" s="3" t="s">
        <v>4409</v>
      </c>
      <c r="D391" s="3" t="s">
        <v>4375</v>
      </c>
      <c r="E391" s="3" t="s">
        <v>4376</v>
      </c>
      <c r="F391" s="2" t="s">
        <v>4410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f t="shared" si="1"/>
        <v>391</v>
      </c>
      <c r="B392" s="3" t="s">
        <v>4411</v>
      </c>
      <c r="C392" s="3" t="s">
        <v>4412</v>
      </c>
      <c r="D392" s="3" t="s">
        <v>4375</v>
      </c>
      <c r="E392" s="3" t="s">
        <v>4376</v>
      </c>
      <c r="F392" s="2" t="s">
        <v>4413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f t="shared" si="1"/>
        <v>392</v>
      </c>
      <c r="B393" s="3" t="s">
        <v>4414</v>
      </c>
      <c r="C393" s="3" t="s">
        <v>4415</v>
      </c>
      <c r="D393" s="3" t="s">
        <v>4375</v>
      </c>
      <c r="E393" s="3" t="s">
        <v>4376</v>
      </c>
      <c r="F393" s="2" t="s">
        <v>4416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f t="shared" si="1"/>
        <v>393</v>
      </c>
      <c r="B394" s="3" t="s">
        <v>4417</v>
      </c>
      <c r="C394" s="3" t="s">
        <v>4418</v>
      </c>
      <c r="D394" s="3" t="s">
        <v>4375</v>
      </c>
      <c r="E394" s="3" t="s">
        <v>4376</v>
      </c>
      <c r="F394" s="2" t="s">
        <v>4419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f t="shared" si="1"/>
        <v>394</v>
      </c>
      <c r="B395" s="3" t="s">
        <v>4420</v>
      </c>
      <c r="C395" s="3" t="s">
        <v>4421</v>
      </c>
      <c r="D395" s="3" t="s">
        <v>4375</v>
      </c>
      <c r="E395" s="3" t="s">
        <v>4376</v>
      </c>
      <c r="F395" s="2" t="s">
        <v>4422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f t="shared" si="1"/>
        <v>395</v>
      </c>
      <c r="B396" s="3" t="s">
        <v>4423</v>
      </c>
      <c r="C396" s="3" t="s">
        <v>4424</v>
      </c>
      <c r="D396" s="3" t="s">
        <v>4375</v>
      </c>
      <c r="E396" s="3" t="s">
        <v>4376</v>
      </c>
      <c r="F396" s="2" t="s">
        <v>4425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f t="shared" si="1"/>
        <v>396</v>
      </c>
      <c r="B397" s="3" t="s">
        <v>4426</v>
      </c>
      <c r="C397" s="3" t="s">
        <v>4427</v>
      </c>
      <c r="D397" s="3" t="s">
        <v>4375</v>
      </c>
      <c r="E397" s="3" t="s">
        <v>4376</v>
      </c>
      <c r="F397" s="2" t="s">
        <v>4428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f t="shared" si="1"/>
        <v>397</v>
      </c>
      <c r="B398" s="3" t="s">
        <v>4429</v>
      </c>
      <c r="C398" s="3" t="s">
        <v>4430</v>
      </c>
      <c r="D398" s="3" t="s">
        <v>4375</v>
      </c>
      <c r="E398" s="3" t="s">
        <v>4376</v>
      </c>
      <c r="F398" s="2" t="s">
        <v>4431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f t="shared" si="1"/>
        <v>398</v>
      </c>
      <c r="B399" s="3" t="s">
        <v>4432</v>
      </c>
      <c r="C399" s="3" t="s">
        <v>4433</v>
      </c>
      <c r="D399" s="3" t="s">
        <v>4375</v>
      </c>
      <c r="E399" s="3" t="s">
        <v>4376</v>
      </c>
      <c r="F399" s="2" t="s">
        <v>4434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f t="shared" si="1"/>
        <v>399</v>
      </c>
      <c r="B400" s="3" t="s">
        <v>4435</v>
      </c>
      <c r="C400" s="3" t="s">
        <v>4436</v>
      </c>
      <c r="D400" s="3" t="s">
        <v>4375</v>
      </c>
      <c r="E400" s="3" t="s">
        <v>4376</v>
      </c>
      <c r="F400" s="2" t="s">
        <v>4437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f t="shared" si="1"/>
        <v>400</v>
      </c>
      <c r="B401" s="3" t="s">
        <v>4438</v>
      </c>
      <c r="C401" s="3" t="s">
        <v>4439</v>
      </c>
      <c r="D401" s="3" t="s">
        <v>4375</v>
      </c>
      <c r="E401" s="3" t="s">
        <v>4376</v>
      </c>
      <c r="F401" s="2" t="s">
        <v>4440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f t="shared" si="1"/>
        <v>401</v>
      </c>
      <c r="B402" s="3" t="s">
        <v>4441</v>
      </c>
      <c r="C402" s="3" t="s">
        <v>4442</v>
      </c>
      <c r="D402" s="3" t="s">
        <v>4375</v>
      </c>
      <c r="E402" s="3" t="s">
        <v>4376</v>
      </c>
      <c r="F402" s="2" t="s">
        <v>4443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f t="shared" si="1"/>
        <v>402</v>
      </c>
      <c r="B403" s="3" t="s">
        <v>4444</v>
      </c>
      <c r="C403" s="3" t="s">
        <v>4445</v>
      </c>
      <c r="D403" s="3" t="s">
        <v>4375</v>
      </c>
      <c r="E403" s="3" t="s">
        <v>4376</v>
      </c>
      <c r="F403" s="2" t="s">
        <v>4446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f t="shared" si="1"/>
        <v>403</v>
      </c>
      <c r="B404" s="3" t="s">
        <v>4447</v>
      </c>
      <c r="C404" s="3" t="s">
        <v>4448</v>
      </c>
      <c r="D404" s="3" t="s">
        <v>4375</v>
      </c>
      <c r="E404" s="3" t="s">
        <v>4376</v>
      </c>
      <c r="F404" s="2" t="s">
        <v>4449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f t="shared" si="1"/>
        <v>404</v>
      </c>
      <c r="B405" s="3" t="s">
        <v>4450</v>
      </c>
      <c r="C405" s="3" t="s">
        <v>4451</v>
      </c>
      <c r="D405" s="3" t="s">
        <v>4375</v>
      </c>
      <c r="E405" s="3" t="s">
        <v>4376</v>
      </c>
      <c r="F405" s="2" t="s">
        <v>4452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f t="shared" si="1"/>
        <v>405</v>
      </c>
      <c r="B406" s="3" t="s">
        <v>4453</v>
      </c>
      <c r="C406" s="3" t="s">
        <v>4454</v>
      </c>
      <c r="D406" s="3" t="s">
        <v>4375</v>
      </c>
      <c r="E406" s="3" t="s">
        <v>4376</v>
      </c>
      <c r="F406" s="2" t="s">
        <v>4455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f t="shared" si="1"/>
        <v>406</v>
      </c>
      <c r="B407" s="3" t="s">
        <v>4456</v>
      </c>
      <c r="C407" s="3" t="s">
        <v>4457</v>
      </c>
      <c r="D407" s="3" t="s">
        <v>4375</v>
      </c>
      <c r="E407" s="3" t="s">
        <v>4376</v>
      </c>
      <c r="F407" s="2" t="s">
        <v>4458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f t="shared" si="1"/>
        <v>407</v>
      </c>
      <c r="B408" s="3" t="s">
        <v>4459</v>
      </c>
      <c r="C408" s="3" t="s">
        <v>4460</v>
      </c>
      <c r="D408" s="3" t="s">
        <v>4375</v>
      </c>
      <c r="E408" s="3" t="s">
        <v>4376</v>
      </c>
      <c r="F408" s="2" t="s">
        <v>4461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f t="shared" si="1"/>
        <v>408</v>
      </c>
      <c r="B409" s="3" t="s">
        <v>4462</v>
      </c>
      <c r="C409" s="3" t="s">
        <v>4463</v>
      </c>
      <c r="D409" s="3" t="s">
        <v>4375</v>
      </c>
      <c r="E409" s="3" t="s">
        <v>4376</v>
      </c>
      <c r="F409" s="2" t="s">
        <v>4464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f t="shared" si="1"/>
        <v>409</v>
      </c>
      <c r="B410" s="3" t="s">
        <v>4465</v>
      </c>
      <c r="C410" s="3" t="s">
        <v>4466</v>
      </c>
      <c r="D410" s="3" t="s">
        <v>4375</v>
      </c>
      <c r="E410" s="3" t="s">
        <v>4376</v>
      </c>
      <c r="F410" s="2" t="s">
        <v>4467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f t="shared" si="1"/>
        <v>410</v>
      </c>
      <c r="B411" s="3" t="s">
        <v>4468</v>
      </c>
      <c r="C411" s="3" t="s">
        <v>4469</v>
      </c>
      <c r="D411" s="3" t="s">
        <v>4470</v>
      </c>
      <c r="E411" s="3" t="s">
        <v>4471</v>
      </c>
      <c r="F411" s="2" t="s">
        <v>4472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f t="shared" si="1"/>
        <v>411</v>
      </c>
      <c r="B412" s="3" t="s">
        <v>4473</v>
      </c>
      <c r="C412" s="3" t="s">
        <v>4474</v>
      </c>
      <c r="D412" s="3" t="s">
        <v>4470</v>
      </c>
      <c r="E412" s="3" t="s">
        <v>4471</v>
      </c>
      <c r="F412" s="2" t="s">
        <v>4475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f t="shared" si="1"/>
        <v>412</v>
      </c>
      <c r="B413" s="3" t="s">
        <v>4476</v>
      </c>
      <c r="C413" s="3" t="s">
        <v>4477</v>
      </c>
      <c r="D413" s="3" t="s">
        <v>4470</v>
      </c>
      <c r="E413" s="3" t="s">
        <v>4471</v>
      </c>
      <c r="F413" s="2" t="s">
        <v>4478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f t="shared" si="1"/>
        <v>413</v>
      </c>
      <c r="B414" s="3" t="s">
        <v>4479</v>
      </c>
      <c r="C414" s="3" t="s">
        <v>4480</v>
      </c>
      <c r="D414" s="3" t="s">
        <v>4470</v>
      </c>
      <c r="E414" s="3" t="s">
        <v>4471</v>
      </c>
      <c r="F414" s="2" t="s">
        <v>4481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f t="shared" si="1"/>
        <v>414</v>
      </c>
      <c r="B415" s="3" t="s">
        <v>4482</v>
      </c>
      <c r="C415" s="3" t="s">
        <v>4483</v>
      </c>
      <c r="D415" s="3" t="s">
        <v>4470</v>
      </c>
      <c r="E415" s="3" t="s">
        <v>4471</v>
      </c>
      <c r="F415" s="2" t="s">
        <v>4484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f t="shared" si="1"/>
        <v>415</v>
      </c>
      <c r="B416" s="3" t="s">
        <v>4485</v>
      </c>
      <c r="C416" s="3" t="s">
        <v>4486</v>
      </c>
      <c r="D416" s="3" t="s">
        <v>4470</v>
      </c>
      <c r="E416" s="3" t="s">
        <v>4471</v>
      </c>
      <c r="F416" s="2" t="s">
        <v>4487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f t="shared" si="1"/>
        <v>416</v>
      </c>
      <c r="B417" s="3" t="s">
        <v>4488</v>
      </c>
      <c r="C417" s="3" t="s">
        <v>4489</v>
      </c>
      <c r="D417" s="3" t="s">
        <v>4470</v>
      </c>
      <c r="E417" s="3" t="s">
        <v>4471</v>
      </c>
      <c r="F417" s="2" t="s">
        <v>4490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f t="shared" si="1"/>
        <v>417</v>
      </c>
      <c r="B418" s="3" t="s">
        <v>4491</v>
      </c>
      <c r="C418" s="3" t="s">
        <v>4492</v>
      </c>
      <c r="D418" s="3" t="s">
        <v>4470</v>
      </c>
      <c r="E418" s="3" t="s">
        <v>4471</v>
      </c>
      <c r="F418" s="2" t="s">
        <v>4493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f t="shared" si="1"/>
        <v>418</v>
      </c>
      <c r="B419" s="3" t="s">
        <v>4494</v>
      </c>
      <c r="C419" s="3" t="s">
        <v>4495</v>
      </c>
      <c r="D419" s="3" t="s">
        <v>4470</v>
      </c>
      <c r="E419" s="3" t="s">
        <v>4471</v>
      </c>
      <c r="F419" s="2" t="s">
        <v>4496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f t="shared" si="1"/>
        <v>419</v>
      </c>
      <c r="B420" s="3" t="s">
        <v>4497</v>
      </c>
      <c r="C420" s="3" t="s">
        <v>4498</v>
      </c>
      <c r="D420" s="3" t="s">
        <v>4470</v>
      </c>
      <c r="E420" s="3" t="s">
        <v>4471</v>
      </c>
      <c r="F420" s="2" t="s">
        <v>4499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f t="shared" si="1"/>
        <v>420</v>
      </c>
      <c r="B421" s="3" t="s">
        <v>4500</v>
      </c>
      <c r="C421" s="3" t="s">
        <v>4501</v>
      </c>
      <c r="D421" s="3" t="s">
        <v>4470</v>
      </c>
      <c r="E421" s="3" t="s">
        <v>4471</v>
      </c>
      <c r="F421" s="2" t="s">
        <v>4502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f t="shared" si="1"/>
        <v>421</v>
      </c>
      <c r="B422" s="3" t="s">
        <v>4503</v>
      </c>
      <c r="C422" s="3" t="s">
        <v>4504</v>
      </c>
      <c r="D422" s="3" t="s">
        <v>4470</v>
      </c>
      <c r="E422" s="3" t="s">
        <v>4471</v>
      </c>
      <c r="F422" s="2" t="s">
        <v>4505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f t="shared" si="1"/>
        <v>422</v>
      </c>
      <c r="B423" s="3" t="s">
        <v>4506</v>
      </c>
      <c r="C423" s="3" t="s">
        <v>4507</v>
      </c>
      <c r="D423" s="3" t="s">
        <v>4470</v>
      </c>
      <c r="E423" s="3" t="s">
        <v>4471</v>
      </c>
      <c r="F423" s="2" t="s">
        <v>4508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f t="shared" si="1"/>
        <v>423</v>
      </c>
      <c r="B424" s="3" t="s">
        <v>4509</v>
      </c>
      <c r="C424" s="3" t="s">
        <v>4510</v>
      </c>
      <c r="D424" s="3" t="s">
        <v>4470</v>
      </c>
      <c r="E424" s="3" t="s">
        <v>4471</v>
      </c>
      <c r="F424" s="2" t="s">
        <v>4511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f t="shared" si="1"/>
        <v>424</v>
      </c>
      <c r="B425" s="3" t="s">
        <v>4512</v>
      </c>
      <c r="C425" s="3" t="s">
        <v>4513</v>
      </c>
      <c r="D425" s="3" t="s">
        <v>4470</v>
      </c>
      <c r="E425" s="3" t="s">
        <v>4471</v>
      </c>
      <c r="F425" s="2" t="s">
        <v>4514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f t="shared" si="1"/>
        <v>425</v>
      </c>
      <c r="B426" s="3" t="s">
        <v>4515</v>
      </c>
      <c r="C426" s="3" t="s">
        <v>4516</v>
      </c>
      <c r="D426" s="3" t="s">
        <v>4470</v>
      </c>
      <c r="E426" s="3" t="s">
        <v>4471</v>
      </c>
      <c r="F426" s="2" t="s">
        <v>4517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f t="shared" si="1"/>
        <v>426</v>
      </c>
      <c r="B427" s="3" t="s">
        <v>4518</v>
      </c>
      <c r="C427" s="3" t="s">
        <v>4519</v>
      </c>
      <c r="D427" s="3" t="s">
        <v>4470</v>
      </c>
      <c r="E427" s="3" t="s">
        <v>4471</v>
      </c>
      <c r="F427" s="2" t="s">
        <v>4520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f t="shared" si="1"/>
        <v>427</v>
      </c>
      <c r="B428" s="3" t="s">
        <v>4521</v>
      </c>
      <c r="C428" s="3" t="s">
        <v>4522</v>
      </c>
      <c r="D428" s="3" t="s">
        <v>4470</v>
      </c>
      <c r="E428" s="3" t="s">
        <v>4471</v>
      </c>
      <c r="F428" s="2" t="s">
        <v>4523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f t="shared" si="1"/>
        <v>428</v>
      </c>
      <c r="B429" s="3" t="s">
        <v>4524</v>
      </c>
      <c r="C429" s="3" t="s">
        <v>4525</v>
      </c>
      <c r="D429" s="3" t="s">
        <v>4470</v>
      </c>
      <c r="E429" s="3" t="s">
        <v>4471</v>
      </c>
      <c r="F429" s="2" t="s">
        <v>4526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f t="shared" si="1"/>
        <v>429</v>
      </c>
      <c r="B430" s="3" t="s">
        <v>4527</v>
      </c>
      <c r="C430" s="3" t="s">
        <v>4528</v>
      </c>
      <c r="D430" s="3" t="s">
        <v>4470</v>
      </c>
      <c r="E430" s="3" t="s">
        <v>4471</v>
      </c>
      <c r="F430" s="2" t="s">
        <v>4529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f t="shared" si="1"/>
        <v>430</v>
      </c>
      <c r="B431" s="3" t="s">
        <v>4530</v>
      </c>
      <c r="C431" s="3" t="s">
        <v>4531</v>
      </c>
      <c r="D431" s="3" t="s">
        <v>4470</v>
      </c>
      <c r="E431" s="3" t="s">
        <v>4471</v>
      </c>
      <c r="F431" s="2" t="s">
        <v>4532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f t="shared" si="1"/>
        <v>431</v>
      </c>
      <c r="B432" s="3" t="s">
        <v>4533</v>
      </c>
      <c r="C432" s="3" t="s">
        <v>4534</v>
      </c>
      <c r="D432" s="3" t="s">
        <v>4470</v>
      </c>
      <c r="E432" s="3" t="s">
        <v>4471</v>
      </c>
      <c r="F432" s="2" t="s">
        <v>4535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f t="shared" si="1"/>
        <v>432</v>
      </c>
      <c r="B433" s="3" t="s">
        <v>4536</v>
      </c>
      <c r="C433" s="3" t="s">
        <v>4537</v>
      </c>
      <c r="D433" s="3" t="s">
        <v>4470</v>
      </c>
      <c r="E433" s="3" t="s">
        <v>4471</v>
      </c>
      <c r="F433" s="2" t="s">
        <v>4538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f t="shared" si="1"/>
        <v>433</v>
      </c>
      <c r="B434" s="3" t="s">
        <v>4539</v>
      </c>
      <c r="C434" s="3" t="s">
        <v>4540</v>
      </c>
      <c r="D434" s="3" t="s">
        <v>4470</v>
      </c>
      <c r="E434" s="3" t="s">
        <v>4471</v>
      </c>
      <c r="F434" s="2" t="s">
        <v>4541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f t="shared" si="1"/>
        <v>434</v>
      </c>
      <c r="B435" s="3" t="s">
        <v>4542</v>
      </c>
      <c r="C435" s="3" t="s">
        <v>4543</v>
      </c>
      <c r="D435" s="3" t="s">
        <v>4470</v>
      </c>
      <c r="E435" s="3" t="s">
        <v>4471</v>
      </c>
      <c r="F435" s="2" t="s">
        <v>4544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f t="shared" si="1"/>
        <v>435</v>
      </c>
      <c r="B436" s="3" t="s">
        <v>4545</v>
      </c>
      <c r="C436" s="3" t="s">
        <v>4546</v>
      </c>
      <c r="D436" s="3" t="s">
        <v>4470</v>
      </c>
      <c r="E436" s="3" t="s">
        <v>4471</v>
      </c>
      <c r="F436" s="2" t="s">
        <v>4547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f t="shared" si="1"/>
        <v>436</v>
      </c>
      <c r="B437" s="3" t="s">
        <v>4548</v>
      </c>
      <c r="C437" s="3" t="s">
        <v>4549</v>
      </c>
      <c r="D437" s="3" t="s">
        <v>4470</v>
      </c>
      <c r="E437" s="3" t="s">
        <v>4471</v>
      </c>
      <c r="F437" s="2" t="s">
        <v>4550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f t="shared" si="1"/>
        <v>437</v>
      </c>
      <c r="B438" s="3" t="s">
        <v>4551</v>
      </c>
      <c r="C438" s="3" t="s">
        <v>4552</v>
      </c>
      <c r="D438" s="3" t="s">
        <v>4470</v>
      </c>
      <c r="E438" s="3" t="s">
        <v>4471</v>
      </c>
      <c r="F438" s="2" t="s">
        <v>4553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f t="shared" si="1"/>
        <v>438</v>
      </c>
      <c r="B439" s="3" t="s">
        <v>4554</v>
      </c>
      <c r="C439" s="3" t="s">
        <v>4555</v>
      </c>
      <c r="D439" s="3" t="s">
        <v>4470</v>
      </c>
      <c r="E439" s="3" t="s">
        <v>4471</v>
      </c>
      <c r="F439" s="2" t="s">
        <v>4556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f t="shared" si="1"/>
        <v>439</v>
      </c>
      <c r="B440" s="3" t="s">
        <v>4557</v>
      </c>
      <c r="C440" s="3" t="s">
        <v>4558</v>
      </c>
      <c r="D440" s="3" t="s">
        <v>4470</v>
      </c>
      <c r="E440" s="3" t="s">
        <v>4471</v>
      </c>
      <c r="F440" s="2" t="s">
        <v>4559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f t="shared" si="1"/>
        <v>440</v>
      </c>
      <c r="B441" s="3" t="s">
        <v>4560</v>
      </c>
      <c r="C441" s="3" t="s">
        <v>4561</v>
      </c>
      <c r="D441" s="3" t="s">
        <v>4470</v>
      </c>
      <c r="E441" s="3" t="s">
        <v>4471</v>
      </c>
      <c r="F441" s="2" t="s">
        <v>4562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f t="shared" si="1"/>
        <v>441</v>
      </c>
      <c r="B442" s="3" t="s">
        <v>4563</v>
      </c>
      <c r="C442" s="3" t="s">
        <v>4564</v>
      </c>
      <c r="D442" s="3" t="s">
        <v>4470</v>
      </c>
      <c r="E442" s="3" t="s">
        <v>4471</v>
      </c>
      <c r="F442" s="2" t="s">
        <v>4565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f t="shared" si="1"/>
        <v>442</v>
      </c>
      <c r="B443" s="3" t="s">
        <v>4566</v>
      </c>
      <c r="C443" s="3" t="s">
        <v>4567</v>
      </c>
      <c r="D443" s="3" t="s">
        <v>4470</v>
      </c>
      <c r="E443" s="3" t="s">
        <v>4471</v>
      </c>
      <c r="F443" s="2" t="s">
        <v>4568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f t="shared" si="1"/>
        <v>443</v>
      </c>
      <c r="B444" s="3" t="s">
        <v>4569</v>
      </c>
      <c r="C444" s="3" t="s">
        <v>4570</v>
      </c>
      <c r="D444" s="3" t="s">
        <v>4470</v>
      </c>
      <c r="E444" s="3" t="s">
        <v>4471</v>
      </c>
      <c r="F444" s="2" t="s">
        <v>4571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f t="shared" si="1"/>
        <v>444</v>
      </c>
      <c r="B445" s="3" t="s">
        <v>4572</v>
      </c>
      <c r="C445" s="3" t="s">
        <v>4573</v>
      </c>
      <c r="D445" s="3" t="s">
        <v>4470</v>
      </c>
      <c r="E445" s="3" t="s">
        <v>4471</v>
      </c>
      <c r="F445" s="2" t="s">
        <v>4574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f t="shared" si="1"/>
        <v>445</v>
      </c>
      <c r="B446" s="3" t="s">
        <v>4575</v>
      </c>
      <c r="C446" s="3" t="s">
        <v>4576</v>
      </c>
      <c r="D446" s="3" t="s">
        <v>4577</v>
      </c>
      <c r="E446" s="3" t="s">
        <v>4578</v>
      </c>
      <c r="F446" s="2" t="s">
        <v>4579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f t="shared" si="1"/>
        <v>446</v>
      </c>
      <c r="B447" s="3" t="s">
        <v>4580</v>
      </c>
      <c r="C447" s="3" t="s">
        <v>4581</v>
      </c>
      <c r="D447" s="3" t="s">
        <v>4577</v>
      </c>
      <c r="E447" s="3" t="s">
        <v>4578</v>
      </c>
      <c r="F447" s="2" t="s">
        <v>4582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f t="shared" si="1"/>
        <v>447</v>
      </c>
      <c r="B448" s="3" t="s">
        <v>4583</v>
      </c>
      <c r="C448" s="3" t="s">
        <v>4584</v>
      </c>
      <c r="D448" s="3" t="s">
        <v>4577</v>
      </c>
      <c r="E448" s="3" t="s">
        <v>4578</v>
      </c>
      <c r="F448" s="2" t="s">
        <v>4585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f t="shared" si="1"/>
        <v>448</v>
      </c>
      <c r="B449" s="3" t="s">
        <v>4586</v>
      </c>
      <c r="C449" s="3" t="s">
        <v>4587</v>
      </c>
      <c r="D449" s="3" t="s">
        <v>4577</v>
      </c>
      <c r="E449" s="3" t="s">
        <v>4578</v>
      </c>
      <c r="F449" s="2" t="s">
        <v>4588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f t="shared" si="1"/>
        <v>449</v>
      </c>
      <c r="B450" s="3" t="s">
        <v>4589</v>
      </c>
      <c r="C450" s="3" t="s">
        <v>4590</v>
      </c>
      <c r="D450" s="3" t="s">
        <v>4577</v>
      </c>
      <c r="E450" s="3" t="s">
        <v>4578</v>
      </c>
      <c r="F450" s="2" t="s">
        <v>4591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f t="shared" si="1"/>
        <v>450</v>
      </c>
      <c r="B451" s="3" t="s">
        <v>4592</v>
      </c>
      <c r="C451" s="3" t="s">
        <v>4593</v>
      </c>
      <c r="D451" s="3" t="s">
        <v>4577</v>
      </c>
      <c r="E451" s="3" t="s">
        <v>4578</v>
      </c>
      <c r="F451" s="2" t="s">
        <v>4594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f t="shared" si="1"/>
        <v>451</v>
      </c>
      <c r="B452" s="3" t="s">
        <v>4595</v>
      </c>
      <c r="C452" s="3" t="s">
        <v>4596</v>
      </c>
      <c r="D452" s="3" t="s">
        <v>4577</v>
      </c>
      <c r="E452" s="3" t="s">
        <v>4578</v>
      </c>
      <c r="F452" s="2" t="s">
        <v>4597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f t="shared" si="1"/>
        <v>452</v>
      </c>
      <c r="B453" s="3" t="s">
        <v>4598</v>
      </c>
      <c r="C453" s="3" t="s">
        <v>4599</v>
      </c>
      <c r="D453" s="3" t="s">
        <v>4577</v>
      </c>
      <c r="E453" s="3" t="s">
        <v>4578</v>
      </c>
      <c r="F453" s="2" t="s">
        <v>4600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f t="shared" si="1"/>
        <v>453</v>
      </c>
      <c r="B454" s="3" t="s">
        <v>4601</v>
      </c>
      <c r="C454" s="3" t="s">
        <v>4602</v>
      </c>
      <c r="D454" s="3" t="s">
        <v>4577</v>
      </c>
      <c r="E454" s="3" t="s">
        <v>4578</v>
      </c>
      <c r="F454" s="2" t="s">
        <v>4603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f t="shared" si="1"/>
        <v>454</v>
      </c>
      <c r="B455" s="3" t="s">
        <v>4604</v>
      </c>
      <c r="C455" s="3" t="s">
        <v>4605</v>
      </c>
      <c r="D455" s="3" t="s">
        <v>4577</v>
      </c>
      <c r="E455" s="3" t="s">
        <v>4578</v>
      </c>
      <c r="F455" s="2" t="s">
        <v>4606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f t="shared" si="1"/>
        <v>455</v>
      </c>
      <c r="B456" s="3" t="s">
        <v>4607</v>
      </c>
      <c r="C456" s="3" t="s">
        <v>4608</v>
      </c>
      <c r="D456" s="3" t="s">
        <v>4577</v>
      </c>
      <c r="E456" s="3" t="s">
        <v>4578</v>
      </c>
      <c r="F456" s="2" t="s">
        <v>4609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f t="shared" si="1"/>
        <v>456</v>
      </c>
      <c r="B457" s="3" t="s">
        <v>4610</v>
      </c>
      <c r="C457" s="3" t="s">
        <v>4611</v>
      </c>
      <c r="D457" s="3" t="s">
        <v>4577</v>
      </c>
      <c r="E457" s="3" t="s">
        <v>4578</v>
      </c>
      <c r="F457" s="2" t="s">
        <v>4612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f t="shared" si="1"/>
        <v>457</v>
      </c>
      <c r="B458" s="3" t="s">
        <v>4613</v>
      </c>
      <c r="C458" s="3" t="s">
        <v>4614</v>
      </c>
      <c r="D458" s="3" t="s">
        <v>4577</v>
      </c>
      <c r="E458" s="3" t="s">
        <v>4578</v>
      </c>
      <c r="F458" s="2" t="s">
        <v>4615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f t="shared" si="1"/>
        <v>458</v>
      </c>
      <c r="B459" s="3" t="s">
        <v>4616</v>
      </c>
      <c r="C459" s="3" t="s">
        <v>4617</v>
      </c>
      <c r="D459" s="3" t="s">
        <v>4577</v>
      </c>
      <c r="E459" s="3" t="s">
        <v>4578</v>
      </c>
      <c r="F459" s="2" t="s">
        <v>4618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f t="shared" si="1"/>
        <v>459</v>
      </c>
      <c r="B460" s="3" t="s">
        <v>4619</v>
      </c>
      <c r="C460" s="3" t="s">
        <v>4620</v>
      </c>
      <c r="D460" s="3" t="s">
        <v>4577</v>
      </c>
      <c r="E460" s="3" t="s">
        <v>4578</v>
      </c>
      <c r="F460" s="2" t="s">
        <v>4621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f t="shared" si="1"/>
        <v>460</v>
      </c>
      <c r="B461" s="3" t="s">
        <v>4622</v>
      </c>
      <c r="C461" s="3" t="s">
        <v>4623</v>
      </c>
      <c r="D461" s="3" t="s">
        <v>4577</v>
      </c>
      <c r="E461" s="3" t="s">
        <v>4578</v>
      </c>
      <c r="F461" s="2" t="s">
        <v>4624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f t="shared" si="1"/>
        <v>461</v>
      </c>
      <c r="B462" s="3" t="s">
        <v>4625</v>
      </c>
      <c r="C462" s="3" t="s">
        <v>4626</v>
      </c>
      <c r="D462" s="3" t="s">
        <v>4577</v>
      </c>
      <c r="E462" s="3" t="s">
        <v>4578</v>
      </c>
      <c r="F462" s="2" t="s">
        <v>4627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f t="shared" si="1"/>
        <v>462</v>
      </c>
      <c r="B463" s="3" t="s">
        <v>4628</v>
      </c>
      <c r="C463" s="3" t="s">
        <v>4629</v>
      </c>
      <c r="D463" s="3" t="s">
        <v>4577</v>
      </c>
      <c r="E463" s="3" t="s">
        <v>4578</v>
      </c>
      <c r="F463" s="2" t="s">
        <v>4630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f t="shared" si="1"/>
        <v>463</v>
      </c>
      <c r="B464" s="3" t="s">
        <v>4631</v>
      </c>
      <c r="C464" s="3" t="s">
        <v>4632</v>
      </c>
      <c r="D464" s="3" t="s">
        <v>4577</v>
      </c>
      <c r="E464" s="3" t="s">
        <v>4578</v>
      </c>
      <c r="F464" s="2" t="s">
        <v>4633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f t="shared" si="1"/>
        <v>464</v>
      </c>
      <c r="B465" s="3" t="s">
        <v>4634</v>
      </c>
      <c r="C465" s="3" t="s">
        <v>4635</v>
      </c>
      <c r="D465" s="3" t="s">
        <v>4577</v>
      </c>
      <c r="E465" s="3" t="s">
        <v>4578</v>
      </c>
      <c r="F465" s="2" t="s">
        <v>4636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f t="shared" si="1"/>
        <v>465</v>
      </c>
      <c r="B466" s="3" t="s">
        <v>4637</v>
      </c>
      <c r="C466" s="3" t="s">
        <v>4638</v>
      </c>
      <c r="D466" s="3" t="s">
        <v>4577</v>
      </c>
      <c r="E466" s="3" t="s">
        <v>4578</v>
      </c>
      <c r="F466" s="2" t="s">
        <v>4639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f t="shared" si="1"/>
        <v>466</v>
      </c>
      <c r="B467" s="3" t="s">
        <v>4640</v>
      </c>
      <c r="C467" s="3" t="s">
        <v>4641</v>
      </c>
      <c r="D467" s="3" t="s">
        <v>4577</v>
      </c>
      <c r="E467" s="3" t="s">
        <v>4578</v>
      </c>
      <c r="F467" s="2" t="s">
        <v>4642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f t="shared" si="1"/>
        <v>467</v>
      </c>
      <c r="B468" s="3" t="s">
        <v>4643</v>
      </c>
      <c r="C468" s="3" t="s">
        <v>4644</v>
      </c>
      <c r="D468" s="3" t="s">
        <v>4577</v>
      </c>
      <c r="E468" s="3" t="s">
        <v>4578</v>
      </c>
      <c r="F468" s="2" t="s">
        <v>4645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f t="shared" si="1"/>
        <v>468</v>
      </c>
      <c r="B469" s="3" t="s">
        <v>4646</v>
      </c>
      <c r="C469" s="3" t="s">
        <v>4647</v>
      </c>
      <c r="D469" s="3" t="s">
        <v>4577</v>
      </c>
      <c r="E469" s="3" t="s">
        <v>4578</v>
      </c>
      <c r="F469" s="2" t="s">
        <v>4648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f t="shared" si="1"/>
        <v>469</v>
      </c>
      <c r="B470" s="3" t="s">
        <v>4649</v>
      </c>
      <c r="C470" s="3" t="s">
        <v>4650</v>
      </c>
      <c r="D470" s="3" t="s">
        <v>4577</v>
      </c>
      <c r="E470" s="3" t="s">
        <v>4578</v>
      </c>
      <c r="F470" s="2" t="s">
        <v>4651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f t="shared" si="1"/>
        <v>470</v>
      </c>
      <c r="B471" s="3" t="s">
        <v>4652</v>
      </c>
      <c r="C471" s="3" t="s">
        <v>4653</v>
      </c>
      <c r="D471" s="3" t="s">
        <v>4577</v>
      </c>
      <c r="E471" s="3" t="s">
        <v>4578</v>
      </c>
      <c r="F471" s="2" t="s">
        <v>4654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f t="shared" si="1"/>
        <v>471</v>
      </c>
      <c r="B472" s="3" t="s">
        <v>4655</v>
      </c>
      <c r="C472" s="3" t="s">
        <v>4656</v>
      </c>
      <c r="D472" s="3" t="s">
        <v>4577</v>
      </c>
      <c r="E472" s="3" t="s">
        <v>4578</v>
      </c>
      <c r="F472" s="2" t="s">
        <v>4657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f t="shared" si="1"/>
        <v>472</v>
      </c>
      <c r="B473" s="3" t="s">
        <v>4658</v>
      </c>
      <c r="C473" s="3" t="s">
        <v>4659</v>
      </c>
      <c r="D473" s="3" t="s">
        <v>4577</v>
      </c>
      <c r="E473" s="3" t="s">
        <v>4578</v>
      </c>
      <c r="F473" s="2" t="s">
        <v>4660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f t="shared" si="1"/>
        <v>473</v>
      </c>
      <c r="B474" s="3" t="s">
        <v>4661</v>
      </c>
      <c r="C474" s="3" t="s">
        <v>4662</v>
      </c>
      <c r="D474" s="3" t="s">
        <v>4577</v>
      </c>
      <c r="E474" s="3" t="s">
        <v>4578</v>
      </c>
      <c r="F474" s="2" t="s">
        <v>4663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f t="shared" si="1"/>
        <v>474</v>
      </c>
      <c r="B475" s="3" t="s">
        <v>4664</v>
      </c>
      <c r="C475" s="3" t="s">
        <v>4665</v>
      </c>
      <c r="D475" s="3" t="s">
        <v>4577</v>
      </c>
      <c r="E475" s="3" t="s">
        <v>4578</v>
      </c>
      <c r="F475" s="2" t="s">
        <v>4666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f t="shared" si="1"/>
        <v>475</v>
      </c>
      <c r="B476" s="3" t="s">
        <v>4667</v>
      </c>
      <c r="C476" s="3" t="s">
        <v>4668</v>
      </c>
      <c r="D476" s="3" t="s">
        <v>4577</v>
      </c>
      <c r="E476" s="3" t="s">
        <v>4578</v>
      </c>
      <c r="F476" s="2" t="s">
        <v>4669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f t="shared" si="1"/>
        <v>476</v>
      </c>
      <c r="B477" s="3" t="s">
        <v>4670</v>
      </c>
      <c r="C477" s="3" t="s">
        <v>4671</v>
      </c>
      <c r="D477" s="3" t="s">
        <v>4577</v>
      </c>
      <c r="E477" s="3" t="s">
        <v>4578</v>
      </c>
      <c r="F477" s="2" t="s">
        <v>4672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f t="shared" si="1"/>
        <v>477</v>
      </c>
      <c r="B478" s="3" t="s">
        <v>4673</v>
      </c>
      <c r="C478" s="3" t="s">
        <v>4674</v>
      </c>
      <c r="D478" s="3" t="s">
        <v>4577</v>
      </c>
      <c r="E478" s="3" t="s">
        <v>4578</v>
      </c>
      <c r="F478" s="2" t="s">
        <v>4675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f t="shared" si="1"/>
        <v>478</v>
      </c>
      <c r="B479" s="3" t="s">
        <v>4676</v>
      </c>
      <c r="C479" s="3" t="s">
        <v>4677</v>
      </c>
      <c r="D479" s="3" t="s">
        <v>4577</v>
      </c>
      <c r="E479" s="3" t="s">
        <v>4578</v>
      </c>
      <c r="F479" s="2" t="s">
        <v>4678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f t="shared" si="1"/>
        <v>479</v>
      </c>
      <c r="B480" s="3" t="s">
        <v>4679</v>
      </c>
      <c r="C480" s="3" t="s">
        <v>4680</v>
      </c>
      <c r="D480" s="3" t="s">
        <v>4577</v>
      </c>
      <c r="E480" s="3" t="s">
        <v>4578</v>
      </c>
      <c r="F480" s="2" t="s">
        <v>4681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f t="shared" si="1"/>
        <v>480</v>
      </c>
      <c r="B481" s="3" t="s">
        <v>4682</v>
      </c>
      <c r="C481" s="3" t="s">
        <v>4683</v>
      </c>
      <c r="D481" s="3" t="s">
        <v>4577</v>
      </c>
      <c r="E481" s="3" t="s">
        <v>4578</v>
      </c>
      <c r="F481" s="2" t="s">
        <v>4684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f t="shared" si="1"/>
        <v>481</v>
      </c>
      <c r="B482" s="3" t="s">
        <v>4685</v>
      </c>
      <c r="C482" s="3" t="s">
        <v>4686</v>
      </c>
      <c r="D482" s="3" t="s">
        <v>4577</v>
      </c>
      <c r="E482" s="3" t="s">
        <v>4578</v>
      </c>
      <c r="F482" s="2" t="s">
        <v>4687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f t="shared" si="1"/>
        <v>482</v>
      </c>
      <c r="B483" s="3" t="s">
        <v>4688</v>
      </c>
      <c r="C483" s="3" t="s">
        <v>4689</v>
      </c>
      <c r="D483" s="3" t="s">
        <v>4577</v>
      </c>
      <c r="E483" s="3" t="s">
        <v>4578</v>
      </c>
      <c r="F483" s="2" t="s">
        <v>4690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f t="shared" si="1"/>
        <v>483</v>
      </c>
      <c r="B484" s="3" t="s">
        <v>4691</v>
      </c>
      <c r="C484" s="3" t="s">
        <v>4692</v>
      </c>
      <c r="D484" s="3" t="s">
        <v>4693</v>
      </c>
      <c r="E484" s="3" t="s">
        <v>4694</v>
      </c>
      <c r="F484" s="2" t="s">
        <v>4695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f t="shared" si="1"/>
        <v>484</v>
      </c>
      <c r="B485" s="3" t="s">
        <v>4696</v>
      </c>
      <c r="C485" s="3" t="s">
        <v>4697</v>
      </c>
      <c r="D485" s="3" t="s">
        <v>4693</v>
      </c>
      <c r="E485" s="3" t="s">
        <v>4694</v>
      </c>
      <c r="F485" s="2" t="s">
        <v>4698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f t="shared" si="1"/>
        <v>485</v>
      </c>
      <c r="B486" s="3" t="s">
        <v>4699</v>
      </c>
      <c r="C486" s="3" t="s">
        <v>4700</v>
      </c>
      <c r="D486" s="3" t="s">
        <v>4693</v>
      </c>
      <c r="E486" s="3" t="s">
        <v>4694</v>
      </c>
      <c r="F486" s="2" t="s">
        <v>4701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f t="shared" si="1"/>
        <v>486</v>
      </c>
      <c r="B487" s="3" t="s">
        <v>4702</v>
      </c>
      <c r="C487" s="3" t="s">
        <v>4703</v>
      </c>
      <c r="D487" s="3" t="s">
        <v>4693</v>
      </c>
      <c r="E487" s="3" t="s">
        <v>4694</v>
      </c>
      <c r="F487" s="2" t="s">
        <v>4704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f t="shared" si="1"/>
        <v>487</v>
      </c>
      <c r="B488" s="3" t="s">
        <v>4705</v>
      </c>
      <c r="C488" s="3" t="s">
        <v>4706</v>
      </c>
      <c r="D488" s="3" t="s">
        <v>4693</v>
      </c>
      <c r="E488" s="3" t="s">
        <v>4694</v>
      </c>
      <c r="F488" s="2" t="s">
        <v>4707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f t="shared" si="1"/>
        <v>488</v>
      </c>
      <c r="B489" s="3" t="s">
        <v>4708</v>
      </c>
      <c r="C489" s="3" t="s">
        <v>4709</v>
      </c>
      <c r="D489" s="3" t="s">
        <v>4693</v>
      </c>
      <c r="E489" s="3" t="s">
        <v>4694</v>
      </c>
      <c r="F489" s="2" t="s">
        <v>4710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f t="shared" si="1"/>
        <v>489</v>
      </c>
      <c r="B490" s="3" t="s">
        <v>4711</v>
      </c>
      <c r="C490" s="3" t="s">
        <v>4712</v>
      </c>
      <c r="D490" s="3" t="s">
        <v>4693</v>
      </c>
      <c r="E490" s="3" t="s">
        <v>4694</v>
      </c>
      <c r="F490" s="2" t="s">
        <v>4713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f t="shared" si="1"/>
        <v>490</v>
      </c>
      <c r="B491" s="3" t="s">
        <v>4714</v>
      </c>
      <c r="C491" s="3" t="s">
        <v>4715</v>
      </c>
      <c r="D491" s="3" t="s">
        <v>4693</v>
      </c>
      <c r="E491" s="3" t="s">
        <v>4694</v>
      </c>
      <c r="F491" s="2" t="s">
        <v>4716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f t="shared" si="1"/>
        <v>491</v>
      </c>
      <c r="B492" s="3" t="s">
        <v>4717</v>
      </c>
      <c r="C492" s="3" t="s">
        <v>4718</v>
      </c>
      <c r="D492" s="3" t="s">
        <v>4693</v>
      </c>
      <c r="E492" s="3" t="s">
        <v>4694</v>
      </c>
      <c r="F492" s="2" t="s">
        <v>4719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f t="shared" si="1"/>
        <v>492</v>
      </c>
      <c r="B493" s="3" t="s">
        <v>4720</v>
      </c>
      <c r="C493" s="3" t="s">
        <v>4721</v>
      </c>
      <c r="D493" s="3" t="s">
        <v>4693</v>
      </c>
      <c r="E493" s="3" t="s">
        <v>4694</v>
      </c>
      <c r="F493" s="2" t="s">
        <v>4722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f t="shared" si="1"/>
        <v>493</v>
      </c>
      <c r="B494" s="3" t="s">
        <v>4723</v>
      </c>
      <c r="C494" s="3" t="s">
        <v>4724</v>
      </c>
      <c r="D494" s="3" t="s">
        <v>4693</v>
      </c>
      <c r="E494" s="3" t="s">
        <v>4694</v>
      </c>
      <c r="F494" s="2" t="s">
        <v>4725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f t="shared" si="1"/>
        <v>494</v>
      </c>
      <c r="B495" s="3" t="s">
        <v>4726</v>
      </c>
      <c r="C495" s="3" t="s">
        <v>4727</v>
      </c>
      <c r="D495" s="3" t="s">
        <v>4693</v>
      </c>
      <c r="E495" s="3" t="s">
        <v>4694</v>
      </c>
      <c r="F495" s="2" t="s">
        <v>4728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f t="shared" si="1"/>
        <v>495</v>
      </c>
      <c r="B496" s="3" t="s">
        <v>4729</v>
      </c>
      <c r="C496" s="3" t="s">
        <v>4730</v>
      </c>
      <c r="D496" s="3" t="s">
        <v>4693</v>
      </c>
      <c r="E496" s="3" t="s">
        <v>4694</v>
      </c>
      <c r="F496" s="2" t="s">
        <v>4731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f t="shared" si="1"/>
        <v>496</v>
      </c>
      <c r="B497" s="3" t="s">
        <v>4732</v>
      </c>
      <c r="C497" s="3" t="s">
        <v>4733</v>
      </c>
      <c r="D497" s="3" t="s">
        <v>4693</v>
      </c>
      <c r="E497" s="3" t="s">
        <v>4694</v>
      </c>
      <c r="F497" s="2" t="s">
        <v>4734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f t="shared" si="1"/>
        <v>497</v>
      </c>
      <c r="B498" s="3" t="s">
        <v>4735</v>
      </c>
      <c r="C498" s="3" t="s">
        <v>4736</v>
      </c>
      <c r="D498" s="3" t="s">
        <v>4693</v>
      </c>
      <c r="E498" s="3" t="s">
        <v>4694</v>
      </c>
      <c r="F498" s="2" t="s">
        <v>4737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f t="shared" si="1"/>
        <v>498</v>
      </c>
      <c r="B499" s="3" t="s">
        <v>4738</v>
      </c>
      <c r="C499" s="3" t="s">
        <v>4739</v>
      </c>
      <c r="D499" s="3" t="s">
        <v>4693</v>
      </c>
      <c r="E499" s="3" t="s">
        <v>4694</v>
      </c>
      <c r="F499" s="2" t="s">
        <v>4740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f t="shared" si="1"/>
        <v>499</v>
      </c>
      <c r="B500" s="3" t="s">
        <v>4741</v>
      </c>
      <c r="C500" s="3" t="s">
        <v>4742</v>
      </c>
      <c r="D500" s="3" t="s">
        <v>4693</v>
      </c>
      <c r="E500" s="3" t="s">
        <v>4694</v>
      </c>
      <c r="F500" s="2" t="s">
        <v>4743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f t="shared" si="1"/>
        <v>500</v>
      </c>
      <c r="B501" s="3" t="s">
        <v>4744</v>
      </c>
      <c r="C501" s="3" t="s">
        <v>4745</v>
      </c>
      <c r="D501" s="3" t="s">
        <v>4693</v>
      </c>
      <c r="E501" s="3" t="s">
        <v>4694</v>
      </c>
      <c r="F501" s="2" t="s">
        <v>4746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f t="shared" si="1"/>
        <v>501</v>
      </c>
      <c r="B502" s="3" t="s">
        <v>4747</v>
      </c>
      <c r="C502" s="3" t="s">
        <v>4748</v>
      </c>
      <c r="D502" s="3" t="s">
        <v>4693</v>
      </c>
      <c r="E502" s="3" t="s">
        <v>4694</v>
      </c>
      <c r="F502" s="2" t="s">
        <v>4749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f t="shared" si="1"/>
        <v>502</v>
      </c>
      <c r="B503" s="3" t="s">
        <v>4750</v>
      </c>
      <c r="C503" s="3" t="s">
        <v>4751</v>
      </c>
      <c r="D503" s="3" t="s">
        <v>4693</v>
      </c>
      <c r="E503" s="3" t="s">
        <v>4694</v>
      </c>
      <c r="F503" s="2" t="s">
        <v>4752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f t="shared" si="1"/>
        <v>503</v>
      </c>
      <c r="B504" s="3" t="s">
        <v>4753</v>
      </c>
      <c r="C504" s="3" t="s">
        <v>4754</v>
      </c>
      <c r="D504" s="3" t="s">
        <v>4693</v>
      </c>
      <c r="E504" s="3" t="s">
        <v>4694</v>
      </c>
      <c r="F504" s="2" t="s">
        <v>4755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f t="shared" si="1"/>
        <v>504</v>
      </c>
      <c r="B505" s="3" t="s">
        <v>4756</v>
      </c>
      <c r="C505" s="3" t="s">
        <v>4757</v>
      </c>
      <c r="D505" s="3" t="s">
        <v>4693</v>
      </c>
      <c r="E505" s="3" t="s">
        <v>4694</v>
      </c>
      <c r="F505" s="2" t="s">
        <v>4758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f t="shared" si="1"/>
        <v>505</v>
      </c>
      <c r="B506" s="3" t="s">
        <v>4759</v>
      </c>
      <c r="C506" s="3" t="s">
        <v>4760</v>
      </c>
      <c r="D506" s="3" t="s">
        <v>4693</v>
      </c>
      <c r="E506" s="3" t="s">
        <v>4694</v>
      </c>
      <c r="F506" s="2" t="s">
        <v>4761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f t="shared" si="1"/>
        <v>506</v>
      </c>
      <c r="B507" s="3" t="s">
        <v>4762</v>
      </c>
      <c r="C507" s="3" t="s">
        <v>4763</v>
      </c>
      <c r="D507" s="3" t="s">
        <v>4693</v>
      </c>
      <c r="E507" s="3" t="s">
        <v>4694</v>
      </c>
      <c r="F507" s="2" t="s">
        <v>4764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f t="shared" si="1"/>
        <v>507</v>
      </c>
      <c r="B508" s="3" t="s">
        <v>4765</v>
      </c>
      <c r="C508" s="3" t="s">
        <v>4766</v>
      </c>
      <c r="D508" s="3" t="s">
        <v>4693</v>
      </c>
      <c r="E508" s="3" t="s">
        <v>4694</v>
      </c>
      <c r="F508" s="2" t="s">
        <v>4767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f t="shared" si="1"/>
        <v>508</v>
      </c>
      <c r="B509" s="3" t="s">
        <v>4768</v>
      </c>
      <c r="C509" s="3" t="s">
        <v>4769</v>
      </c>
      <c r="D509" s="3" t="s">
        <v>4693</v>
      </c>
      <c r="E509" s="3" t="s">
        <v>4694</v>
      </c>
      <c r="F509" s="2" t="s">
        <v>4770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f t="shared" si="1"/>
        <v>509</v>
      </c>
      <c r="B510" s="3" t="s">
        <v>4771</v>
      </c>
      <c r="C510" s="3" t="s">
        <v>4772</v>
      </c>
      <c r="D510" s="3" t="s">
        <v>4693</v>
      </c>
      <c r="E510" s="3" t="s">
        <v>4694</v>
      </c>
      <c r="F510" s="2" t="s">
        <v>4773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f t="shared" si="1"/>
        <v>510</v>
      </c>
      <c r="B511" s="3" t="s">
        <v>4774</v>
      </c>
      <c r="C511" s="3" t="s">
        <v>4775</v>
      </c>
      <c r="D511" s="3" t="s">
        <v>4693</v>
      </c>
      <c r="E511" s="3" t="s">
        <v>4694</v>
      </c>
      <c r="F511" s="2" t="s">
        <v>4776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f t="shared" si="1"/>
        <v>511</v>
      </c>
      <c r="B512" s="3" t="s">
        <v>4777</v>
      </c>
      <c r="C512" s="3" t="s">
        <v>4778</v>
      </c>
      <c r="D512" s="3" t="s">
        <v>4693</v>
      </c>
      <c r="E512" s="3" t="s">
        <v>4694</v>
      </c>
      <c r="F512" s="2" t="s">
        <v>4779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f t="shared" si="1"/>
        <v>512</v>
      </c>
      <c r="B513" s="3" t="s">
        <v>4780</v>
      </c>
      <c r="C513" s="3" t="s">
        <v>4781</v>
      </c>
      <c r="D513" s="3" t="s">
        <v>4693</v>
      </c>
      <c r="E513" s="3" t="s">
        <v>4694</v>
      </c>
      <c r="F513" s="2" t="s">
        <v>4782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f t="shared" si="1"/>
        <v>513</v>
      </c>
      <c r="B514" s="3" t="s">
        <v>4783</v>
      </c>
      <c r="C514" s="3" t="s">
        <v>4784</v>
      </c>
      <c r="D514" s="3" t="s">
        <v>4693</v>
      </c>
      <c r="E514" s="3" t="s">
        <v>4694</v>
      </c>
      <c r="F514" s="2" t="s">
        <v>4785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f t="shared" si="1"/>
        <v>514</v>
      </c>
      <c r="B515" s="3" t="s">
        <v>4786</v>
      </c>
      <c r="C515" s="3" t="s">
        <v>4787</v>
      </c>
      <c r="D515" s="3" t="s">
        <v>4693</v>
      </c>
      <c r="E515" s="3" t="s">
        <v>4694</v>
      </c>
      <c r="F515" s="2" t="s">
        <v>4788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f t="shared" si="1"/>
        <v>515</v>
      </c>
      <c r="B516" s="3" t="s">
        <v>4789</v>
      </c>
      <c r="C516" s="3" t="s">
        <v>4790</v>
      </c>
      <c r="D516" s="3" t="s">
        <v>4693</v>
      </c>
      <c r="E516" s="3" t="s">
        <v>4694</v>
      </c>
      <c r="F516" s="2" t="s">
        <v>4791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f t="shared" si="1"/>
        <v>516</v>
      </c>
      <c r="B517" s="3" t="s">
        <v>4792</v>
      </c>
      <c r="C517" s="3" t="s">
        <v>4793</v>
      </c>
      <c r="D517" s="3" t="s">
        <v>4693</v>
      </c>
      <c r="E517" s="3" t="s">
        <v>4694</v>
      </c>
      <c r="F517" s="2" t="s">
        <v>4794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f t="shared" si="1"/>
        <v>517</v>
      </c>
      <c r="B518" s="3" t="s">
        <v>4795</v>
      </c>
      <c r="C518" s="3" t="s">
        <v>4796</v>
      </c>
      <c r="D518" s="3" t="s">
        <v>4693</v>
      </c>
      <c r="E518" s="3" t="s">
        <v>4694</v>
      </c>
      <c r="F518" s="2" t="s">
        <v>4797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f t="shared" si="1"/>
        <v>518</v>
      </c>
      <c r="B519" s="3" t="s">
        <v>4798</v>
      </c>
      <c r="C519" s="3" t="s">
        <v>4799</v>
      </c>
      <c r="D519" s="3" t="s">
        <v>4693</v>
      </c>
      <c r="E519" s="3" t="s">
        <v>4694</v>
      </c>
      <c r="F519" s="2" t="s">
        <v>4800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f t="shared" si="1"/>
        <v>519</v>
      </c>
      <c r="B520" s="3" t="s">
        <v>4801</v>
      </c>
      <c r="C520" s="3" t="s">
        <v>4802</v>
      </c>
      <c r="D520" s="3" t="s">
        <v>4693</v>
      </c>
      <c r="E520" s="3" t="s">
        <v>4694</v>
      </c>
      <c r="F520" s="2" t="s">
        <v>4803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f t="shared" si="1"/>
        <v>520</v>
      </c>
      <c r="B521" s="3" t="s">
        <v>4804</v>
      </c>
      <c r="C521" s="3" t="s">
        <v>4805</v>
      </c>
      <c r="D521" s="3" t="s">
        <v>4693</v>
      </c>
      <c r="E521" s="3" t="s">
        <v>4694</v>
      </c>
      <c r="F521" s="2" t="s">
        <v>4806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f t="shared" si="1"/>
        <v>521</v>
      </c>
      <c r="B522" s="3" t="s">
        <v>4807</v>
      </c>
      <c r="C522" s="3" t="s">
        <v>4808</v>
      </c>
      <c r="D522" s="3" t="s">
        <v>4693</v>
      </c>
      <c r="E522" s="3" t="s">
        <v>4694</v>
      </c>
      <c r="F522" s="2" t="s">
        <v>4809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f t="shared" si="1"/>
        <v>522</v>
      </c>
      <c r="B523" s="3" t="s">
        <v>4810</v>
      </c>
      <c r="C523" s="3" t="s">
        <v>4811</v>
      </c>
      <c r="D523" s="3" t="s">
        <v>4693</v>
      </c>
      <c r="E523" s="3" t="s">
        <v>4694</v>
      </c>
      <c r="F523" s="2" t="s">
        <v>4812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f t="shared" si="1"/>
        <v>523</v>
      </c>
      <c r="B524" s="3" t="s">
        <v>4813</v>
      </c>
      <c r="C524" s="3" t="s">
        <v>4814</v>
      </c>
      <c r="D524" s="3" t="s">
        <v>4693</v>
      </c>
      <c r="E524" s="3" t="s">
        <v>4694</v>
      </c>
      <c r="F524" s="2" t="s">
        <v>4815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f t="shared" si="1"/>
        <v>524</v>
      </c>
      <c r="B525" s="3" t="s">
        <v>4816</v>
      </c>
      <c r="C525" s="3" t="s">
        <v>4817</v>
      </c>
      <c r="D525" s="3" t="s">
        <v>4818</v>
      </c>
      <c r="E525" s="3" t="s">
        <v>4819</v>
      </c>
      <c r="F525" s="2" t="s">
        <v>4820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f t="shared" si="1"/>
        <v>525</v>
      </c>
      <c r="B526" s="3" t="s">
        <v>4821</v>
      </c>
      <c r="C526" s="3" t="s">
        <v>4822</v>
      </c>
      <c r="D526" s="3" t="s">
        <v>4818</v>
      </c>
      <c r="E526" s="3" t="s">
        <v>4819</v>
      </c>
      <c r="F526" s="2" t="s">
        <v>4823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f t="shared" si="1"/>
        <v>526</v>
      </c>
      <c r="B527" s="3" t="s">
        <v>4824</v>
      </c>
      <c r="C527" s="3" t="s">
        <v>4825</v>
      </c>
      <c r="D527" s="3" t="s">
        <v>4818</v>
      </c>
      <c r="E527" s="3" t="s">
        <v>4819</v>
      </c>
      <c r="F527" s="2" t="s">
        <v>4826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f t="shared" si="1"/>
        <v>527</v>
      </c>
      <c r="B528" s="3" t="s">
        <v>4827</v>
      </c>
      <c r="C528" s="3" t="s">
        <v>4828</v>
      </c>
      <c r="D528" s="3" t="s">
        <v>4818</v>
      </c>
      <c r="E528" s="3" t="s">
        <v>4819</v>
      </c>
      <c r="F528" s="2" t="s">
        <v>4829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f t="shared" si="1"/>
        <v>528</v>
      </c>
      <c r="B529" s="3" t="s">
        <v>4830</v>
      </c>
      <c r="C529" s="3" t="s">
        <v>4831</v>
      </c>
      <c r="D529" s="3" t="s">
        <v>4818</v>
      </c>
      <c r="E529" s="3" t="s">
        <v>4819</v>
      </c>
      <c r="F529" s="2" t="s">
        <v>4832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f t="shared" si="1"/>
        <v>529</v>
      </c>
      <c r="B530" s="3" t="s">
        <v>4833</v>
      </c>
      <c r="C530" s="3" t="s">
        <v>4834</v>
      </c>
      <c r="D530" s="3" t="s">
        <v>4818</v>
      </c>
      <c r="E530" s="3" t="s">
        <v>4819</v>
      </c>
      <c r="F530" s="2" t="s">
        <v>4835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f t="shared" si="1"/>
        <v>530</v>
      </c>
      <c r="B531" s="3" t="s">
        <v>4836</v>
      </c>
      <c r="C531" s="3" t="s">
        <v>4837</v>
      </c>
      <c r="D531" s="3" t="s">
        <v>4818</v>
      </c>
      <c r="E531" s="3" t="s">
        <v>4819</v>
      </c>
      <c r="F531" s="2" t="s">
        <v>4838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f t="shared" si="1"/>
        <v>531</v>
      </c>
      <c r="B532" s="3" t="s">
        <v>4839</v>
      </c>
      <c r="C532" s="3" t="s">
        <v>4840</v>
      </c>
      <c r="D532" s="3" t="s">
        <v>4818</v>
      </c>
      <c r="E532" s="3" t="s">
        <v>4819</v>
      </c>
      <c r="F532" s="2" t="s">
        <v>4841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f t="shared" si="1"/>
        <v>532</v>
      </c>
      <c r="B533" s="3" t="s">
        <v>4842</v>
      </c>
      <c r="C533" s="3" t="s">
        <v>4843</v>
      </c>
      <c r="D533" s="3" t="s">
        <v>4818</v>
      </c>
      <c r="E533" s="3" t="s">
        <v>4819</v>
      </c>
      <c r="F533" s="2" t="s">
        <v>4844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f t="shared" si="1"/>
        <v>533</v>
      </c>
      <c r="B534" s="3" t="s">
        <v>4845</v>
      </c>
      <c r="C534" s="3" t="s">
        <v>4846</v>
      </c>
      <c r="D534" s="3" t="s">
        <v>4818</v>
      </c>
      <c r="E534" s="3" t="s">
        <v>4819</v>
      </c>
      <c r="F534" s="2" t="s">
        <v>4847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f t="shared" si="1"/>
        <v>534</v>
      </c>
      <c r="B535" s="3" t="s">
        <v>4848</v>
      </c>
      <c r="C535" s="3" t="s">
        <v>4849</v>
      </c>
      <c r="D535" s="3" t="s">
        <v>4818</v>
      </c>
      <c r="E535" s="3" t="s">
        <v>4819</v>
      </c>
      <c r="F535" s="2" t="s">
        <v>4850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f t="shared" si="1"/>
        <v>535</v>
      </c>
      <c r="B536" s="3" t="s">
        <v>4851</v>
      </c>
      <c r="C536" s="3" t="s">
        <v>4852</v>
      </c>
      <c r="D536" s="3" t="s">
        <v>4818</v>
      </c>
      <c r="E536" s="3" t="s">
        <v>4819</v>
      </c>
      <c r="F536" s="2" t="s">
        <v>4853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f t="shared" si="1"/>
        <v>536</v>
      </c>
      <c r="B537" s="3" t="s">
        <v>4854</v>
      </c>
      <c r="C537" s="3" t="s">
        <v>4855</v>
      </c>
      <c r="D537" s="3" t="s">
        <v>4818</v>
      </c>
      <c r="E537" s="3" t="s">
        <v>4819</v>
      </c>
      <c r="F537" s="2" t="s">
        <v>4856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f t="shared" si="1"/>
        <v>537</v>
      </c>
      <c r="B538" s="3" t="s">
        <v>4857</v>
      </c>
      <c r="C538" s="3" t="s">
        <v>4858</v>
      </c>
      <c r="D538" s="3" t="s">
        <v>4818</v>
      </c>
      <c r="E538" s="3" t="s">
        <v>4819</v>
      </c>
      <c r="F538" s="2" t="s">
        <v>4859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f t="shared" si="1"/>
        <v>538</v>
      </c>
      <c r="B539" s="3" t="s">
        <v>4860</v>
      </c>
      <c r="C539" s="3" t="s">
        <v>4861</v>
      </c>
      <c r="D539" s="3" t="s">
        <v>4818</v>
      </c>
      <c r="E539" s="3" t="s">
        <v>4819</v>
      </c>
      <c r="F539" s="2" t="s">
        <v>4862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f t="shared" si="1"/>
        <v>539</v>
      </c>
      <c r="B540" s="3" t="s">
        <v>4863</v>
      </c>
      <c r="C540" s="3" t="s">
        <v>4864</v>
      </c>
      <c r="D540" s="3" t="s">
        <v>4818</v>
      </c>
      <c r="E540" s="3" t="s">
        <v>4819</v>
      </c>
      <c r="F540" s="2" t="s">
        <v>4865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f t="shared" si="1"/>
        <v>540</v>
      </c>
      <c r="B541" s="3" t="s">
        <v>4866</v>
      </c>
      <c r="C541" s="3" t="s">
        <v>4867</v>
      </c>
      <c r="D541" s="3" t="s">
        <v>4818</v>
      </c>
      <c r="E541" s="3" t="s">
        <v>4819</v>
      </c>
      <c r="F541" s="2" t="s">
        <v>4868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f t="shared" si="1"/>
        <v>541</v>
      </c>
      <c r="B542" s="3" t="s">
        <v>4869</v>
      </c>
      <c r="C542" s="3" t="s">
        <v>4870</v>
      </c>
      <c r="D542" s="3" t="s">
        <v>4818</v>
      </c>
      <c r="E542" s="3" t="s">
        <v>4819</v>
      </c>
      <c r="F542" s="2" t="s">
        <v>4871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f t="shared" si="1"/>
        <v>542</v>
      </c>
      <c r="B543" s="3" t="s">
        <v>4872</v>
      </c>
      <c r="C543" s="3" t="s">
        <v>4873</v>
      </c>
      <c r="D543" s="3" t="s">
        <v>4818</v>
      </c>
      <c r="E543" s="3" t="s">
        <v>4819</v>
      </c>
      <c r="F543" s="2" t="s">
        <v>4874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f t="shared" si="1"/>
        <v>543</v>
      </c>
      <c r="B544" s="3" t="s">
        <v>4875</v>
      </c>
      <c r="C544" s="3" t="s">
        <v>4876</v>
      </c>
      <c r="D544" s="3" t="s">
        <v>4818</v>
      </c>
      <c r="E544" s="3" t="s">
        <v>4819</v>
      </c>
      <c r="F544" s="2" t="s">
        <v>4877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f t="shared" si="1"/>
        <v>544</v>
      </c>
      <c r="B545" s="3" t="s">
        <v>4878</v>
      </c>
      <c r="C545" s="3" t="s">
        <v>4879</v>
      </c>
      <c r="D545" s="3" t="s">
        <v>4818</v>
      </c>
      <c r="E545" s="3" t="s">
        <v>4819</v>
      </c>
      <c r="F545" s="2" t="s">
        <v>4880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f t="shared" si="1"/>
        <v>545</v>
      </c>
      <c r="B546" s="3" t="s">
        <v>4881</v>
      </c>
      <c r="C546" s="3" t="s">
        <v>4882</v>
      </c>
      <c r="D546" s="3" t="s">
        <v>4818</v>
      </c>
      <c r="E546" s="3" t="s">
        <v>4819</v>
      </c>
      <c r="F546" s="2" t="s">
        <v>4883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f t="shared" si="1"/>
        <v>546</v>
      </c>
      <c r="B547" s="3" t="s">
        <v>4884</v>
      </c>
      <c r="C547" s="3" t="s">
        <v>4885</v>
      </c>
      <c r="D547" s="3" t="s">
        <v>4818</v>
      </c>
      <c r="E547" s="3" t="s">
        <v>4819</v>
      </c>
      <c r="F547" s="2" t="s">
        <v>4886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f t="shared" si="1"/>
        <v>547</v>
      </c>
      <c r="B548" s="3" t="s">
        <v>4887</v>
      </c>
      <c r="C548" s="3" t="s">
        <v>4888</v>
      </c>
      <c r="D548" s="3" t="s">
        <v>4818</v>
      </c>
      <c r="E548" s="3" t="s">
        <v>4819</v>
      </c>
      <c r="F548" s="2" t="s">
        <v>4889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f t="shared" si="1"/>
        <v>548</v>
      </c>
      <c r="B549" s="3" t="s">
        <v>4890</v>
      </c>
      <c r="C549" s="3" t="s">
        <v>4891</v>
      </c>
      <c r="D549" s="3" t="s">
        <v>4818</v>
      </c>
      <c r="E549" s="3" t="s">
        <v>4819</v>
      </c>
      <c r="F549" s="2" t="s">
        <v>4892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f t="shared" si="1"/>
        <v>549</v>
      </c>
      <c r="B550" s="3" t="s">
        <v>4893</v>
      </c>
      <c r="C550" s="3" t="s">
        <v>4894</v>
      </c>
      <c r="D550" s="3" t="s">
        <v>4818</v>
      </c>
      <c r="E550" s="3" t="s">
        <v>4819</v>
      </c>
      <c r="F550" s="2" t="s">
        <v>4895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f t="shared" si="1"/>
        <v>550</v>
      </c>
      <c r="B551" s="3" t="s">
        <v>4896</v>
      </c>
      <c r="C551" s="3" t="s">
        <v>4897</v>
      </c>
      <c r="D551" s="3" t="s">
        <v>4818</v>
      </c>
      <c r="E551" s="3" t="s">
        <v>4819</v>
      </c>
      <c r="F551" s="2" t="s">
        <v>4898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f t="shared" si="1"/>
        <v>551</v>
      </c>
      <c r="B552" s="3" t="s">
        <v>4899</v>
      </c>
      <c r="C552" s="3" t="s">
        <v>4900</v>
      </c>
      <c r="D552" s="3" t="s">
        <v>4818</v>
      </c>
      <c r="E552" s="3" t="s">
        <v>4819</v>
      </c>
      <c r="F552" s="2" t="s">
        <v>4901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f t="shared" si="1"/>
        <v>552</v>
      </c>
      <c r="B553" s="3" t="s">
        <v>4902</v>
      </c>
      <c r="C553" s="3" t="s">
        <v>4903</v>
      </c>
      <c r="D553" s="3" t="s">
        <v>4818</v>
      </c>
      <c r="E553" s="3" t="s">
        <v>4819</v>
      </c>
      <c r="F553" s="2" t="s">
        <v>4904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f t="shared" si="1"/>
        <v>553</v>
      </c>
      <c r="B554" s="3" t="s">
        <v>4905</v>
      </c>
      <c r="C554" s="3" t="s">
        <v>4906</v>
      </c>
      <c r="D554" s="3" t="s">
        <v>4818</v>
      </c>
      <c r="E554" s="3" t="s">
        <v>4819</v>
      </c>
      <c r="F554" s="2" t="s">
        <v>4907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f t="shared" si="1"/>
        <v>554</v>
      </c>
      <c r="B555" s="3" t="s">
        <v>4908</v>
      </c>
      <c r="C555" s="3" t="s">
        <v>4909</v>
      </c>
      <c r="D555" s="3" t="s">
        <v>4818</v>
      </c>
      <c r="E555" s="3" t="s">
        <v>4819</v>
      </c>
      <c r="F555" s="2" t="s">
        <v>4910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f t="shared" si="1"/>
        <v>555</v>
      </c>
      <c r="B556" s="3" t="s">
        <v>4911</v>
      </c>
      <c r="C556" s="3" t="s">
        <v>4912</v>
      </c>
      <c r="D556" s="3" t="s">
        <v>4818</v>
      </c>
      <c r="E556" s="3" t="s">
        <v>4819</v>
      </c>
      <c r="F556" s="2" t="s">
        <v>4913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f t="shared" si="1"/>
        <v>556</v>
      </c>
      <c r="B557" s="3" t="s">
        <v>4914</v>
      </c>
      <c r="C557" s="3" t="s">
        <v>4915</v>
      </c>
      <c r="D557" s="3" t="s">
        <v>4818</v>
      </c>
      <c r="E557" s="3" t="s">
        <v>4819</v>
      </c>
      <c r="F557" s="2" t="s">
        <v>4916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f t="shared" si="1"/>
        <v>557</v>
      </c>
      <c r="B558" s="3" t="s">
        <v>4917</v>
      </c>
      <c r="C558" s="3" t="s">
        <v>4918</v>
      </c>
      <c r="D558" s="3" t="s">
        <v>4818</v>
      </c>
      <c r="E558" s="3" t="s">
        <v>4819</v>
      </c>
      <c r="F558" s="2" t="s">
        <v>4919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f t="shared" si="1"/>
        <v>558</v>
      </c>
      <c r="B559" s="3" t="s">
        <v>4920</v>
      </c>
      <c r="C559" s="3" t="s">
        <v>4921</v>
      </c>
      <c r="D559" s="3" t="s">
        <v>4818</v>
      </c>
      <c r="E559" s="3" t="s">
        <v>4819</v>
      </c>
      <c r="F559" s="2" t="s">
        <v>4922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f t="shared" si="1"/>
        <v>559</v>
      </c>
      <c r="B560" s="3" t="s">
        <v>4923</v>
      </c>
      <c r="C560" s="3" t="s">
        <v>4924</v>
      </c>
      <c r="D560" s="3" t="s">
        <v>4818</v>
      </c>
      <c r="E560" s="3" t="s">
        <v>4819</v>
      </c>
      <c r="F560" s="2" t="s">
        <v>4925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f t="shared" si="1"/>
        <v>560</v>
      </c>
      <c r="B561" s="3" t="s">
        <v>4926</v>
      </c>
      <c r="C561" s="3" t="s">
        <v>4927</v>
      </c>
      <c r="D561" s="3" t="s">
        <v>4818</v>
      </c>
      <c r="E561" s="3" t="s">
        <v>4819</v>
      </c>
      <c r="F561" s="2" t="s">
        <v>4928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f t="shared" si="1"/>
        <v>561</v>
      </c>
      <c r="B562" s="3" t="s">
        <v>4929</v>
      </c>
      <c r="C562" s="3" t="s">
        <v>4930</v>
      </c>
      <c r="D562" s="3" t="s">
        <v>4931</v>
      </c>
      <c r="E562" s="3" t="s">
        <v>4932</v>
      </c>
      <c r="F562" s="2" t="s">
        <v>4933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f t="shared" si="1"/>
        <v>562</v>
      </c>
      <c r="B563" s="3" t="s">
        <v>4934</v>
      </c>
      <c r="C563" s="3" t="s">
        <v>4935</v>
      </c>
      <c r="D563" s="3" t="s">
        <v>4931</v>
      </c>
      <c r="E563" s="3" t="s">
        <v>4932</v>
      </c>
      <c r="F563" s="2" t="s">
        <v>4936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f t="shared" si="1"/>
        <v>563</v>
      </c>
      <c r="B564" s="3" t="s">
        <v>4937</v>
      </c>
      <c r="C564" s="3" t="s">
        <v>4938</v>
      </c>
      <c r="D564" s="3" t="s">
        <v>4931</v>
      </c>
      <c r="E564" s="3" t="s">
        <v>4932</v>
      </c>
      <c r="F564" s="2" t="s">
        <v>4939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f t="shared" si="1"/>
        <v>564</v>
      </c>
      <c r="B565" s="3" t="s">
        <v>4940</v>
      </c>
      <c r="C565" s="3" t="s">
        <v>4941</v>
      </c>
      <c r="D565" s="3" t="s">
        <v>4931</v>
      </c>
      <c r="E565" s="3" t="s">
        <v>4932</v>
      </c>
      <c r="F565" s="2" t="s">
        <v>4942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f t="shared" si="1"/>
        <v>565</v>
      </c>
      <c r="B566" s="3" t="s">
        <v>4943</v>
      </c>
      <c r="C566" s="3" t="s">
        <v>4944</v>
      </c>
      <c r="D566" s="3" t="s">
        <v>4931</v>
      </c>
      <c r="E566" s="3" t="s">
        <v>4932</v>
      </c>
      <c r="F566" s="2" t="s">
        <v>4945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f t="shared" si="1"/>
        <v>566</v>
      </c>
      <c r="B567" s="3" t="s">
        <v>4946</v>
      </c>
      <c r="C567" s="3" t="s">
        <v>4947</v>
      </c>
      <c r="D567" s="3" t="s">
        <v>4931</v>
      </c>
      <c r="E567" s="3" t="s">
        <v>4932</v>
      </c>
      <c r="F567" s="2" t="s">
        <v>4948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f t="shared" si="1"/>
        <v>567</v>
      </c>
      <c r="B568" s="3" t="s">
        <v>4949</v>
      </c>
      <c r="C568" s="3" t="s">
        <v>4950</v>
      </c>
      <c r="D568" s="3" t="s">
        <v>4931</v>
      </c>
      <c r="E568" s="3" t="s">
        <v>4932</v>
      </c>
      <c r="F568" s="2" t="s">
        <v>4951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f t="shared" si="1"/>
        <v>568</v>
      </c>
      <c r="B569" s="3" t="s">
        <v>4952</v>
      </c>
      <c r="C569" s="3" t="s">
        <v>4953</v>
      </c>
      <c r="D569" s="3" t="s">
        <v>4931</v>
      </c>
      <c r="E569" s="3" t="s">
        <v>4932</v>
      </c>
      <c r="F569" s="2" t="s">
        <v>4954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f t="shared" si="1"/>
        <v>569</v>
      </c>
      <c r="B570" s="3" t="s">
        <v>4955</v>
      </c>
      <c r="C570" s="3" t="s">
        <v>4956</v>
      </c>
      <c r="D570" s="3" t="s">
        <v>4931</v>
      </c>
      <c r="E570" s="3" t="s">
        <v>4932</v>
      </c>
      <c r="F570" s="2" t="s">
        <v>4957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f t="shared" si="1"/>
        <v>570</v>
      </c>
      <c r="B571" s="3" t="s">
        <v>4958</v>
      </c>
      <c r="C571" s="3" t="s">
        <v>4959</v>
      </c>
      <c r="D571" s="3" t="s">
        <v>4931</v>
      </c>
      <c r="E571" s="3" t="s">
        <v>4932</v>
      </c>
      <c r="F571" s="2" t="s">
        <v>4960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f t="shared" si="1"/>
        <v>571</v>
      </c>
      <c r="B572" s="3" t="s">
        <v>4961</v>
      </c>
      <c r="C572" s="3" t="s">
        <v>4962</v>
      </c>
      <c r="D572" s="3" t="s">
        <v>4931</v>
      </c>
      <c r="E572" s="3" t="s">
        <v>4932</v>
      </c>
      <c r="F572" s="2" t="s">
        <v>4963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f t="shared" si="1"/>
        <v>572</v>
      </c>
      <c r="B573" s="3" t="s">
        <v>4964</v>
      </c>
      <c r="C573" s="3" t="s">
        <v>4965</v>
      </c>
      <c r="D573" s="3" t="s">
        <v>4931</v>
      </c>
      <c r="E573" s="3" t="s">
        <v>4932</v>
      </c>
      <c r="F573" s="2" t="s">
        <v>4966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f t="shared" si="1"/>
        <v>573</v>
      </c>
      <c r="B574" s="3" t="s">
        <v>4967</v>
      </c>
      <c r="C574" s="3" t="s">
        <v>4968</v>
      </c>
      <c r="D574" s="3" t="s">
        <v>4931</v>
      </c>
      <c r="E574" s="3" t="s">
        <v>4932</v>
      </c>
      <c r="F574" s="2" t="s">
        <v>4969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f t="shared" si="1"/>
        <v>574</v>
      </c>
      <c r="B575" s="3" t="s">
        <v>4970</v>
      </c>
      <c r="C575" s="3" t="s">
        <v>4971</v>
      </c>
      <c r="D575" s="3" t="s">
        <v>4931</v>
      </c>
      <c r="E575" s="3" t="s">
        <v>4932</v>
      </c>
      <c r="F575" s="2" t="s">
        <v>4972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f t="shared" si="1"/>
        <v>575</v>
      </c>
      <c r="B576" s="3" t="s">
        <v>4973</v>
      </c>
      <c r="C576" s="3" t="s">
        <v>4974</v>
      </c>
      <c r="D576" s="3" t="s">
        <v>4931</v>
      </c>
      <c r="E576" s="3" t="s">
        <v>4932</v>
      </c>
      <c r="F576" s="2" t="s">
        <v>4975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f t="shared" si="1"/>
        <v>576</v>
      </c>
      <c r="B577" s="3" t="s">
        <v>4976</v>
      </c>
      <c r="C577" s="3" t="s">
        <v>4977</v>
      </c>
      <c r="D577" s="3" t="s">
        <v>4931</v>
      </c>
      <c r="E577" s="3" t="s">
        <v>4932</v>
      </c>
      <c r="F577" s="2" t="s">
        <v>4978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f t="shared" si="1"/>
        <v>577</v>
      </c>
      <c r="B578" s="3" t="s">
        <v>4979</v>
      </c>
      <c r="C578" s="3" t="s">
        <v>4980</v>
      </c>
      <c r="D578" s="3" t="s">
        <v>4931</v>
      </c>
      <c r="E578" s="3" t="s">
        <v>4932</v>
      </c>
      <c r="F578" s="2" t="s">
        <v>4981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f t="shared" si="1"/>
        <v>578</v>
      </c>
      <c r="B579" s="3" t="s">
        <v>4982</v>
      </c>
      <c r="C579" s="3" t="s">
        <v>4983</v>
      </c>
      <c r="D579" s="3" t="s">
        <v>4931</v>
      </c>
      <c r="E579" s="3" t="s">
        <v>4932</v>
      </c>
      <c r="F579" s="2" t="s">
        <v>4984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f t="shared" si="1"/>
        <v>579</v>
      </c>
      <c r="B580" s="3" t="s">
        <v>4985</v>
      </c>
      <c r="C580" s="3" t="s">
        <v>4986</v>
      </c>
      <c r="D580" s="3" t="s">
        <v>4931</v>
      </c>
      <c r="E580" s="3" t="s">
        <v>4932</v>
      </c>
      <c r="F580" s="2" t="s">
        <v>4987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f t="shared" si="1"/>
        <v>580</v>
      </c>
      <c r="B581" s="3" t="s">
        <v>4988</v>
      </c>
      <c r="C581" s="3" t="s">
        <v>4989</v>
      </c>
      <c r="D581" s="3" t="s">
        <v>4931</v>
      </c>
      <c r="E581" s="3" t="s">
        <v>4932</v>
      </c>
      <c r="F581" s="2" t="s">
        <v>4990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f t="shared" si="1"/>
        <v>581</v>
      </c>
      <c r="B582" s="3" t="s">
        <v>4991</v>
      </c>
      <c r="C582" s="3" t="s">
        <v>4992</v>
      </c>
      <c r="D582" s="3" t="s">
        <v>4931</v>
      </c>
      <c r="E582" s="3" t="s">
        <v>4932</v>
      </c>
      <c r="F582" s="2" t="s">
        <v>4993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f t="shared" si="1"/>
        <v>582</v>
      </c>
      <c r="B583" s="3" t="s">
        <v>4994</v>
      </c>
      <c r="C583" s="3" t="s">
        <v>4995</v>
      </c>
      <c r="D583" s="3" t="s">
        <v>4931</v>
      </c>
      <c r="E583" s="3" t="s">
        <v>4932</v>
      </c>
      <c r="F583" s="2" t="s">
        <v>4996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f t="shared" si="1"/>
        <v>583</v>
      </c>
      <c r="B584" s="3" t="s">
        <v>4997</v>
      </c>
      <c r="C584" s="3" t="s">
        <v>4998</v>
      </c>
      <c r="D584" s="3" t="s">
        <v>4931</v>
      </c>
      <c r="E584" s="3" t="s">
        <v>4932</v>
      </c>
      <c r="F584" s="2" t="s">
        <v>4999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f t="shared" si="1"/>
        <v>584</v>
      </c>
      <c r="B585" s="3" t="s">
        <v>5000</v>
      </c>
      <c r="C585" s="3" t="s">
        <v>5001</v>
      </c>
      <c r="D585" s="3" t="s">
        <v>4931</v>
      </c>
      <c r="E585" s="3" t="s">
        <v>4932</v>
      </c>
      <c r="F585" s="2" t="s">
        <v>5002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f t="shared" si="1"/>
        <v>585</v>
      </c>
      <c r="B586" s="3" t="s">
        <v>5003</v>
      </c>
      <c r="C586" s="3" t="s">
        <v>5004</v>
      </c>
      <c r="D586" s="3" t="s">
        <v>4931</v>
      </c>
      <c r="E586" s="3" t="s">
        <v>4932</v>
      </c>
      <c r="F586" s="2" t="s">
        <v>5005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f t="shared" si="1"/>
        <v>586</v>
      </c>
      <c r="B587" s="3" t="s">
        <v>5006</v>
      </c>
      <c r="C587" s="3" t="s">
        <v>5007</v>
      </c>
      <c r="D587" s="3" t="s">
        <v>4931</v>
      </c>
      <c r="E587" s="3" t="s">
        <v>4932</v>
      </c>
      <c r="F587" s="2" t="s">
        <v>5008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f t="shared" si="1"/>
        <v>587</v>
      </c>
      <c r="B588" s="3" t="s">
        <v>5009</v>
      </c>
      <c r="C588" s="3" t="s">
        <v>5010</v>
      </c>
      <c r="D588" s="3" t="s">
        <v>4931</v>
      </c>
      <c r="E588" s="3" t="s">
        <v>4932</v>
      </c>
      <c r="F588" s="2" t="s">
        <v>5011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f t="shared" si="1"/>
        <v>588</v>
      </c>
      <c r="B589" s="3" t="s">
        <v>5012</v>
      </c>
      <c r="C589" s="3" t="s">
        <v>5013</v>
      </c>
      <c r="D589" s="3" t="s">
        <v>4931</v>
      </c>
      <c r="E589" s="3" t="s">
        <v>4932</v>
      </c>
      <c r="F589" s="2" t="s">
        <v>5014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f t="shared" si="1"/>
        <v>589</v>
      </c>
      <c r="B590" s="3" t="s">
        <v>5015</v>
      </c>
      <c r="C590" s="3" t="s">
        <v>5016</v>
      </c>
      <c r="D590" s="3" t="s">
        <v>4931</v>
      </c>
      <c r="E590" s="3" t="s">
        <v>4932</v>
      </c>
      <c r="F590" s="2" t="s">
        <v>5017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f t="shared" si="1"/>
        <v>590</v>
      </c>
      <c r="B591" s="3" t="s">
        <v>5018</v>
      </c>
      <c r="C591" s="3" t="s">
        <v>5019</v>
      </c>
      <c r="D591" s="3" t="s">
        <v>4931</v>
      </c>
      <c r="E591" s="3" t="s">
        <v>4932</v>
      </c>
      <c r="F591" s="2" t="s">
        <v>5020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f t="shared" si="1"/>
        <v>591</v>
      </c>
      <c r="B592" s="3" t="s">
        <v>5021</v>
      </c>
      <c r="C592" s="3" t="s">
        <v>5022</v>
      </c>
      <c r="D592" s="3" t="s">
        <v>4931</v>
      </c>
      <c r="E592" s="3" t="s">
        <v>4932</v>
      </c>
      <c r="F592" s="2" t="s">
        <v>5023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f t="shared" si="1"/>
        <v>592</v>
      </c>
      <c r="B593" s="3" t="s">
        <v>5024</v>
      </c>
      <c r="C593" s="3" t="s">
        <v>5025</v>
      </c>
      <c r="D593" s="3" t="s">
        <v>4931</v>
      </c>
      <c r="E593" s="3" t="s">
        <v>4932</v>
      </c>
      <c r="F593" s="2" t="s">
        <v>5026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f t="shared" si="1"/>
        <v>593</v>
      </c>
      <c r="B594" s="3" t="s">
        <v>5027</v>
      </c>
      <c r="C594" s="3" t="s">
        <v>5028</v>
      </c>
      <c r="D594" s="3" t="s">
        <v>4931</v>
      </c>
      <c r="E594" s="3" t="s">
        <v>4932</v>
      </c>
      <c r="F594" s="2" t="s">
        <v>5029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f t="shared" si="1"/>
        <v>594</v>
      </c>
      <c r="B595" s="3" t="s">
        <v>5030</v>
      </c>
      <c r="C595" s="3" t="s">
        <v>5031</v>
      </c>
      <c r="D595" s="3" t="s">
        <v>4931</v>
      </c>
      <c r="E595" s="3" t="s">
        <v>4932</v>
      </c>
      <c r="F595" s="2" t="s">
        <v>5032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f t="shared" si="1"/>
        <v>595</v>
      </c>
      <c r="B596" s="3" t="s">
        <v>5033</v>
      </c>
      <c r="C596" s="3" t="s">
        <v>5034</v>
      </c>
      <c r="D596" s="3" t="s">
        <v>4931</v>
      </c>
      <c r="E596" s="3" t="s">
        <v>4932</v>
      </c>
      <c r="F596" s="2" t="s">
        <v>5035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f t="shared" si="1"/>
        <v>596</v>
      </c>
      <c r="B597" s="3" t="s">
        <v>5036</v>
      </c>
      <c r="C597" s="3" t="s">
        <v>5037</v>
      </c>
      <c r="D597" s="3" t="s">
        <v>4931</v>
      </c>
      <c r="E597" s="3" t="s">
        <v>4932</v>
      </c>
      <c r="F597" s="2" t="s">
        <v>5038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f t="shared" si="1"/>
        <v>597</v>
      </c>
      <c r="B598" s="3" t="s">
        <v>5039</v>
      </c>
      <c r="C598" s="3" t="s">
        <v>5040</v>
      </c>
      <c r="D598" s="3" t="s">
        <v>4931</v>
      </c>
      <c r="E598" s="3" t="s">
        <v>4932</v>
      </c>
      <c r="F598" s="2" t="s">
        <v>5041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f t="shared" si="1"/>
        <v>598</v>
      </c>
      <c r="B599" s="3" t="s">
        <v>5042</v>
      </c>
      <c r="C599" s="3" t="s">
        <v>5043</v>
      </c>
      <c r="D599" s="3" t="s">
        <v>4931</v>
      </c>
      <c r="E599" s="3" t="s">
        <v>4932</v>
      </c>
      <c r="F599" s="2" t="s">
        <v>5044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f t="shared" si="1"/>
        <v>599</v>
      </c>
      <c r="B600" s="3" t="s">
        <v>5045</v>
      </c>
      <c r="C600" s="3" t="s">
        <v>5046</v>
      </c>
      <c r="D600" s="3" t="s">
        <v>4931</v>
      </c>
      <c r="E600" s="3" t="s">
        <v>4932</v>
      </c>
      <c r="F600" s="2" t="s">
        <v>5047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f t="shared" si="1"/>
        <v>600</v>
      </c>
      <c r="B601" s="3" t="s">
        <v>5048</v>
      </c>
      <c r="C601" s="3" t="s">
        <v>5049</v>
      </c>
      <c r="D601" s="3" t="s">
        <v>4931</v>
      </c>
      <c r="E601" s="3" t="s">
        <v>4932</v>
      </c>
      <c r="F601" s="2" t="s">
        <v>5050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f t="shared" si="1"/>
        <v>601</v>
      </c>
      <c r="B602" s="3" t="s">
        <v>5051</v>
      </c>
      <c r="C602" s="3" t="s">
        <v>5052</v>
      </c>
      <c r="D602" s="3" t="s">
        <v>4931</v>
      </c>
      <c r="E602" s="3" t="s">
        <v>4932</v>
      </c>
      <c r="F602" s="2" t="s">
        <v>5053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f t="shared" si="1"/>
        <v>602</v>
      </c>
      <c r="B603" s="3" t="s">
        <v>5054</v>
      </c>
      <c r="C603" s="3" t="s">
        <v>5055</v>
      </c>
      <c r="D603" s="3" t="s">
        <v>4931</v>
      </c>
      <c r="E603" s="3" t="s">
        <v>4932</v>
      </c>
      <c r="F603" s="2" t="s">
        <v>5056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f t="shared" si="1"/>
        <v>603</v>
      </c>
      <c r="B604" s="3" t="s">
        <v>5057</v>
      </c>
      <c r="C604" s="3" t="s">
        <v>5058</v>
      </c>
      <c r="D604" s="3" t="s">
        <v>4931</v>
      </c>
      <c r="E604" s="3" t="s">
        <v>4932</v>
      </c>
      <c r="F604" s="2" t="s">
        <v>5059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f t="shared" si="1"/>
        <v>604</v>
      </c>
      <c r="B605" s="3" t="s">
        <v>5060</v>
      </c>
      <c r="C605" s="3" t="s">
        <v>5061</v>
      </c>
      <c r="D605" s="3" t="s">
        <v>4931</v>
      </c>
      <c r="E605" s="3" t="s">
        <v>4932</v>
      </c>
      <c r="F605" s="2" t="s">
        <v>5062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f t="shared" si="1"/>
        <v>605</v>
      </c>
      <c r="B606" s="3" t="s">
        <v>5063</v>
      </c>
      <c r="C606" s="3" t="s">
        <v>5064</v>
      </c>
      <c r="D606" s="3" t="s">
        <v>5065</v>
      </c>
      <c r="E606" s="3" t="s">
        <v>5066</v>
      </c>
      <c r="F606" s="2" t="s">
        <v>5067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f t="shared" si="1"/>
        <v>606</v>
      </c>
      <c r="B607" s="3" t="s">
        <v>5068</v>
      </c>
      <c r="C607" s="3" t="s">
        <v>5069</v>
      </c>
      <c r="D607" s="3" t="s">
        <v>5065</v>
      </c>
      <c r="E607" s="3" t="s">
        <v>5066</v>
      </c>
      <c r="F607" s="2" t="s">
        <v>5070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f t="shared" si="1"/>
        <v>607</v>
      </c>
      <c r="B608" s="3" t="s">
        <v>5071</v>
      </c>
      <c r="C608" s="3" t="s">
        <v>5072</v>
      </c>
      <c r="D608" s="3" t="s">
        <v>5065</v>
      </c>
      <c r="E608" s="3" t="s">
        <v>5066</v>
      </c>
      <c r="F608" s="2" t="s">
        <v>5073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f t="shared" si="1"/>
        <v>608</v>
      </c>
      <c r="B609" s="3" t="s">
        <v>5074</v>
      </c>
      <c r="C609" s="3" t="s">
        <v>5075</v>
      </c>
      <c r="D609" s="3" t="s">
        <v>5065</v>
      </c>
      <c r="E609" s="3" t="s">
        <v>5066</v>
      </c>
      <c r="F609" s="2" t="s">
        <v>5076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f t="shared" si="1"/>
        <v>609</v>
      </c>
      <c r="B610" s="3" t="s">
        <v>5077</v>
      </c>
      <c r="C610" s="3" t="s">
        <v>5078</v>
      </c>
      <c r="D610" s="3" t="s">
        <v>5065</v>
      </c>
      <c r="E610" s="3" t="s">
        <v>5066</v>
      </c>
      <c r="F610" s="2" t="s">
        <v>5079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f t="shared" si="1"/>
        <v>610</v>
      </c>
      <c r="B611" s="3" t="s">
        <v>5080</v>
      </c>
      <c r="C611" s="3" t="s">
        <v>5081</v>
      </c>
      <c r="D611" s="3" t="s">
        <v>5065</v>
      </c>
      <c r="E611" s="3" t="s">
        <v>5066</v>
      </c>
      <c r="F611" s="2" t="s">
        <v>5082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f t="shared" si="1"/>
        <v>611</v>
      </c>
      <c r="B612" s="3" t="s">
        <v>5083</v>
      </c>
      <c r="C612" s="3" t="s">
        <v>5084</v>
      </c>
      <c r="D612" s="3" t="s">
        <v>5065</v>
      </c>
      <c r="E612" s="3" t="s">
        <v>5066</v>
      </c>
      <c r="F612" s="2" t="s">
        <v>5085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f t="shared" si="1"/>
        <v>612</v>
      </c>
      <c r="B613" s="3" t="s">
        <v>5086</v>
      </c>
      <c r="C613" s="3" t="s">
        <v>5087</v>
      </c>
      <c r="D613" s="3" t="s">
        <v>5065</v>
      </c>
      <c r="E613" s="3" t="s">
        <v>5066</v>
      </c>
      <c r="F613" s="2" t="s">
        <v>5088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f t="shared" si="1"/>
        <v>613</v>
      </c>
      <c r="B614" s="3" t="s">
        <v>5089</v>
      </c>
      <c r="C614" s="3" t="s">
        <v>5090</v>
      </c>
      <c r="D614" s="3" t="s">
        <v>5065</v>
      </c>
      <c r="E614" s="3" t="s">
        <v>5066</v>
      </c>
      <c r="F614" s="2" t="s">
        <v>5091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f t="shared" si="1"/>
        <v>614</v>
      </c>
      <c r="B615" s="3" t="s">
        <v>5092</v>
      </c>
      <c r="C615" s="3" t="s">
        <v>5093</v>
      </c>
      <c r="D615" s="3" t="s">
        <v>5065</v>
      </c>
      <c r="E615" s="3" t="s">
        <v>5066</v>
      </c>
      <c r="F615" s="2" t="s">
        <v>5094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f t="shared" si="1"/>
        <v>615</v>
      </c>
      <c r="B616" s="3" t="s">
        <v>5095</v>
      </c>
      <c r="C616" s="3" t="s">
        <v>5096</v>
      </c>
      <c r="D616" s="3" t="s">
        <v>5065</v>
      </c>
      <c r="E616" s="3" t="s">
        <v>5066</v>
      </c>
      <c r="F616" s="2" t="s">
        <v>5097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f t="shared" si="1"/>
        <v>616</v>
      </c>
      <c r="B617" s="3" t="s">
        <v>5098</v>
      </c>
      <c r="C617" s="3" t="s">
        <v>5099</v>
      </c>
      <c r="D617" s="3" t="s">
        <v>5065</v>
      </c>
      <c r="E617" s="3" t="s">
        <v>5066</v>
      </c>
      <c r="F617" s="2" t="s">
        <v>5100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f t="shared" si="1"/>
        <v>617</v>
      </c>
      <c r="B618" s="3" t="s">
        <v>5101</v>
      </c>
      <c r="C618" s="3" t="s">
        <v>5102</v>
      </c>
      <c r="D618" s="3" t="s">
        <v>5065</v>
      </c>
      <c r="E618" s="3" t="s">
        <v>5066</v>
      </c>
      <c r="F618" s="2" t="s">
        <v>5103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f t="shared" si="1"/>
        <v>618</v>
      </c>
      <c r="B619" s="3" t="s">
        <v>5104</v>
      </c>
      <c r="C619" s="3" t="s">
        <v>5105</v>
      </c>
      <c r="D619" s="3" t="s">
        <v>5065</v>
      </c>
      <c r="E619" s="3" t="s">
        <v>5066</v>
      </c>
      <c r="F619" s="2" t="s">
        <v>5106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f t="shared" si="1"/>
        <v>619</v>
      </c>
      <c r="B620" s="3" t="s">
        <v>5107</v>
      </c>
      <c r="C620" s="3" t="s">
        <v>5108</v>
      </c>
      <c r="D620" s="3" t="s">
        <v>5065</v>
      </c>
      <c r="E620" s="3" t="s">
        <v>5066</v>
      </c>
      <c r="F620" s="2" t="s">
        <v>5109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f t="shared" si="1"/>
        <v>620</v>
      </c>
      <c r="B621" s="3" t="s">
        <v>5110</v>
      </c>
      <c r="C621" s="3" t="s">
        <v>5111</v>
      </c>
      <c r="D621" s="3" t="s">
        <v>5065</v>
      </c>
      <c r="E621" s="3" t="s">
        <v>5066</v>
      </c>
      <c r="F621" s="2" t="s">
        <v>5112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f t="shared" si="1"/>
        <v>621</v>
      </c>
      <c r="B622" s="3" t="s">
        <v>5113</v>
      </c>
      <c r="C622" s="3" t="s">
        <v>5114</v>
      </c>
      <c r="D622" s="3" t="s">
        <v>5065</v>
      </c>
      <c r="E622" s="3" t="s">
        <v>5066</v>
      </c>
      <c r="F622" s="2" t="s">
        <v>5115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f t="shared" si="1"/>
        <v>622</v>
      </c>
      <c r="B623" s="3" t="s">
        <v>5116</v>
      </c>
      <c r="C623" s="3" t="s">
        <v>5117</v>
      </c>
      <c r="D623" s="3" t="s">
        <v>5065</v>
      </c>
      <c r="E623" s="3" t="s">
        <v>5066</v>
      </c>
      <c r="F623" s="2" t="s">
        <v>5118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f t="shared" si="1"/>
        <v>623</v>
      </c>
      <c r="B624" s="3" t="s">
        <v>5119</v>
      </c>
      <c r="C624" s="3" t="s">
        <v>5120</v>
      </c>
      <c r="D624" s="3" t="s">
        <v>5065</v>
      </c>
      <c r="E624" s="3" t="s">
        <v>5066</v>
      </c>
      <c r="F624" s="2" t="s">
        <v>5121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f t="shared" si="1"/>
        <v>624</v>
      </c>
      <c r="B625" s="3" t="s">
        <v>5122</v>
      </c>
      <c r="C625" s="3" t="s">
        <v>5123</v>
      </c>
      <c r="D625" s="3" t="s">
        <v>5065</v>
      </c>
      <c r="E625" s="3" t="s">
        <v>5066</v>
      </c>
      <c r="F625" s="2" t="s">
        <v>5124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f t="shared" si="1"/>
        <v>625</v>
      </c>
      <c r="B626" s="3" t="s">
        <v>5125</v>
      </c>
      <c r="C626" s="3" t="s">
        <v>5126</v>
      </c>
      <c r="D626" s="3" t="s">
        <v>5065</v>
      </c>
      <c r="E626" s="3" t="s">
        <v>5066</v>
      </c>
      <c r="F626" s="2" t="s">
        <v>5127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f t="shared" si="1"/>
        <v>626</v>
      </c>
      <c r="B627" s="3" t="s">
        <v>5128</v>
      </c>
      <c r="C627" s="3" t="s">
        <v>5129</v>
      </c>
      <c r="D627" s="3" t="s">
        <v>5065</v>
      </c>
      <c r="E627" s="3" t="s">
        <v>5066</v>
      </c>
      <c r="F627" s="2" t="s">
        <v>5130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f t="shared" si="1"/>
        <v>627</v>
      </c>
      <c r="B628" s="3" t="s">
        <v>5131</v>
      </c>
      <c r="C628" s="3" t="s">
        <v>5132</v>
      </c>
      <c r="D628" s="3" t="s">
        <v>5065</v>
      </c>
      <c r="E628" s="3" t="s">
        <v>5066</v>
      </c>
      <c r="F628" s="2" t="s">
        <v>5133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f t="shared" si="1"/>
        <v>628</v>
      </c>
      <c r="B629" s="3" t="s">
        <v>5134</v>
      </c>
      <c r="C629" s="3" t="s">
        <v>5135</v>
      </c>
      <c r="D629" s="3" t="s">
        <v>5065</v>
      </c>
      <c r="E629" s="3" t="s">
        <v>5066</v>
      </c>
      <c r="F629" s="2" t="s">
        <v>5136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f t="shared" si="1"/>
        <v>629</v>
      </c>
      <c r="B630" s="3" t="s">
        <v>5137</v>
      </c>
      <c r="C630" s="3" t="s">
        <v>5138</v>
      </c>
      <c r="D630" s="3" t="s">
        <v>5065</v>
      </c>
      <c r="E630" s="3" t="s">
        <v>5066</v>
      </c>
      <c r="F630" s="2" t="s">
        <v>5139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f t="shared" si="1"/>
        <v>630</v>
      </c>
      <c r="B631" s="3" t="s">
        <v>5140</v>
      </c>
      <c r="C631" s="3" t="s">
        <v>5141</v>
      </c>
      <c r="D631" s="3" t="s">
        <v>5065</v>
      </c>
      <c r="E631" s="3" t="s">
        <v>5066</v>
      </c>
      <c r="F631" s="2" t="s">
        <v>5142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f t="shared" si="1"/>
        <v>631</v>
      </c>
      <c r="B632" s="3" t="s">
        <v>5143</v>
      </c>
      <c r="C632" s="3" t="s">
        <v>5144</v>
      </c>
      <c r="D632" s="3" t="s">
        <v>5065</v>
      </c>
      <c r="E632" s="3" t="s">
        <v>5066</v>
      </c>
      <c r="F632" s="2" t="s">
        <v>5145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f t="shared" si="1"/>
        <v>632</v>
      </c>
      <c r="B633" s="3" t="s">
        <v>5146</v>
      </c>
      <c r="C633" s="3" t="s">
        <v>5147</v>
      </c>
      <c r="D633" s="3" t="s">
        <v>5065</v>
      </c>
      <c r="E633" s="3" t="s">
        <v>5066</v>
      </c>
      <c r="F633" s="2" t="s">
        <v>5148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f t="shared" si="1"/>
        <v>633</v>
      </c>
      <c r="B634" s="3" t="s">
        <v>5149</v>
      </c>
      <c r="C634" s="3" t="s">
        <v>5150</v>
      </c>
      <c r="D634" s="3" t="s">
        <v>5065</v>
      </c>
      <c r="E634" s="3" t="s">
        <v>5066</v>
      </c>
      <c r="F634" s="2" t="s">
        <v>5151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f t="shared" si="1"/>
        <v>634</v>
      </c>
      <c r="B635" s="3" t="s">
        <v>5152</v>
      </c>
      <c r="C635" s="3" t="s">
        <v>5153</v>
      </c>
      <c r="D635" s="3" t="s">
        <v>5065</v>
      </c>
      <c r="E635" s="3" t="s">
        <v>5066</v>
      </c>
      <c r="F635" s="2" t="s">
        <v>5154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f t="shared" si="1"/>
        <v>635</v>
      </c>
      <c r="B636" s="3" t="s">
        <v>5155</v>
      </c>
      <c r="C636" s="3" t="s">
        <v>5156</v>
      </c>
      <c r="D636" s="3" t="s">
        <v>5065</v>
      </c>
      <c r="E636" s="3" t="s">
        <v>5066</v>
      </c>
      <c r="F636" s="2" t="s">
        <v>5157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f t="shared" si="1"/>
        <v>636</v>
      </c>
      <c r="B637" s="3" t="s">
        <v>5158</v>
      </c>
      <c r="C637" s="3" t="s">
        <v>5159</v>
      </c>
      <c r="D637" s="3" t="s">
        <v>5065</v>
      </c>
      <c r="E637" s="3" t="s">
        <v>5066</v>
      </c>
      <c r="F637" s="2" t="s">
        <v>5160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f t="shared" si="1"/>
        <v>637</v>
      </c>
      <c r="B638" s="3" t="s">
        <v>5161</v>
      </c>
      <c r="C638" s="3" t="s">
        <v>5162</v>
      </c>
      <c r="D638" s="3" t="s">
        <v>5065</v>
      </c>
      <c r="E638" s="3" t="s">
        <v>5066</v>
      </c>
      <c r="F638" s="2" t="s">
        <v>5163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f t="shared" si="1"/>
        <v>638</v>
      </c>
      <c r="B639" s="3" t="s">
        <v>5164</v>
      </c>
      <c r="C639" s="3" t="s">
        <v>5165</v>
      </c>
      <c r="D639" s="3" t="s">
        <v>5065</v>
      </c>
      <c r="E639" s="3" t="s">
        <v>5066</v>
      </c>
      <c r="F639" s="2" t="s">
        <v>5166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f t="shared" si="1"/>
        <v>639</v>
      </c>
      <c r="B640" s="3" t="s">
        <v>5167</v>
      </c>
      <c r="C640" s="3" t="s">
        <v>5168</v>
      </c>
      <c r="D640" s="3" t="s">
        <v>5065</v>
      </c>
      <c r="E640" s="3" t="s">
        <v>5066</v>
      </c>
      <c r="F640" s="2" t="s">
        <v>5169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f t="shared" si="1"/>
        <v>640</v>
      </c>
      <c r="B641" s="3" t="s">
        <v>5170</v>
      </c>
      <c r="C641" s="3" t="s">
        <v>5171</v>
      </c>
      <c r="D641" s="3" t="s">
        <v>5065</v>
      </c>
      <c r="E641" s="3" t="s">
        <v>5066</v>
      </c>
      <c r="F641" s="2" t="s">
        <v>5172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f t="shared" si="1"/>
        <v>641</v>
      </c>
      <c r="B642" s="3" t="s">
        <v>5173</v>
      </c>
      <c r="C642" s="3" t="s">
        <v>5174</v>
      </c>
      <c r="D642" s="3" t="s">
        <v>5065</v>
      </c>
      <c r="E642" s="3" t="s">
        <v>5066</v>
      </c>
      <c r="F642" s="2" t="s">
        <v>5175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f t="shared" si="1"/>
        <v>642</v>
      </c>
      <c r="B643" s="3" t="s">
        <v>5176</v>
      </c>
      <c r="C643" s="3" t="s">
        <v>5177</v>
      </c>
      <c r="D643" s="3" t="s">
        <v>5065</v>
      </c>
      <c r="E643" s="3" t="s">
        <v>5066</v>
      </c>
      <c r="F643" s="2" t="s">
        <v>5178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f t="shared" si="1"/>
        <v>643</v>
      </c>
      <c r="B644" s="3" t="s">
        <v>5179</v>
      </c>
      <c r="C644" s="3" t="s">
        <v>5180</v>
      </c>
      <c r="D644" s="3" t="s">
        <v>5065</v>
      </c>
      <c r="E644" s="3" t="s">
        <v>5066</v>
      </c>
      <c r="F644" s="2" t="s">
        <v>5181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f t="shared" si="1"/>
        <v>644</v>
      </c>
      <c r="B645" s="3" t="s">
        <v>5182</v>
      </c>
      <c r="C645" s="3" t="s">
        <v>5183</v>
      </c>
      <c r="D645" s="3" t="s">
        <v>5065</v>
      </c>
      <c r="E645" s="3" t="s">
        <v>5066</v>
      </c>
      <c r="F645" s="2" t="s">
        <v>5184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f t="shared" si="1"/>
        <v>645</v>
      </c>
      <c r="B646" s="3" t="s">
        <v>5185</v>
      </c>
      <c r="C646" s="3" t="s">
        <v>5186</v>
      </c>
      <c r="D646" s="3" t="s">
        <v>5065</v>
      </c>
      <c r="E646" s="3" t="s">
        <v>5066</v>
      </c>
      <c r="F646" s="2" t="s">
        <v>5187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f t="shared" si="1"/>
        <v>646</v>
      </c>
      <c r="B647" s="3" t="s">
        <v>5188</v>
      </c>
      <c r="C647" s="3" t="s">
        <v>5189</v>
      </c>
      <c r="D647" s="3" t="s">
        <v>5065</v>
      </c>
      <c r="E647" s="3" t="s">
        <v>5066</v>
      </c>
      <c r="F647" s="2" t="s">
        <v>5190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f t="shared" si="1"/>
        <v>647</v>
      </c>
      <c r="B648" s="3" t="s">
        <v>5191</v>
      </c>
      <c r="C648" s="3" t="s">
        <v>5192</v>
      </c>
      <c r="D648" s="3" t="s">
        <v>5193</v>
      </c>
      <c r="E648" s="3" t="s">
        <v>5194</v>
      </c>
      <c r="F648" s="2" t="s">
        <v>5195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f t="shared" si="1"/>
        <v>648</v>
      </c>
      <c r="B649" s="3" t="s">
        <v>5196</v>
      </c>
      <c r="C649" s="3" t="s">
        <v>5197</v>
      </c>
      <c r="D649" s="3" t="s">
        <v>5193</v>
      </c>
      <c r="E649" s="3" t="s">
        <v>5194</v>
      </c>
      <c r="F649" s="2" t="s">
        <v>5198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f t="shared" si="1"/>
        <v>649</v>
      </c>
      <c r="B650" s="3" t="s">
        <v>5199</v>
      </c>
      <c r="C650" s="3" t="s">
        <v>5200</v>
      </c>
      <c r="D650" s="3" t="s">
        <v>5193</v>
      </c>
      <c r="E650" s="3" t="s">
        <v>5194</v>
      </c>
      <c r="F650" s="2" t="s">
        <v>5201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f t="shared" si="1"/>
        <v>650</v>
      </c>
      <c r="B651" s="3" t="s">
        <v>5202</v>
      </c>
      <c r="C651" s="3" t="s">
        <v>5203</v>
      </c>
      <c r="D651" s="3" t="s">
        <v>5193</v>
      </c>
      <c r="E651" s="3" t="s">
        <v>5194</v>
      </c>
      <c r="F651" s="2" t="s">
        <v>5204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f t="shared" si="1"/>
        <v>651</v>
      </c>
      <c r="B652" s="3" t="s">
        <v>5205</v>
      </c>
      <c r="C652" s="3" t="s">
        <v>5206</v>
      </c>
      <c r="D652" s="3" t="s">
        <v>5193</v>
      </c>
      <c r="E652" s="3" t="s">
        <v>5194</v>
      </c>
      <c r="F652" s="2" t="s">
        <v>5207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f t="shared" si="1"/>
        <v>652</v>
      </c>
      <c r="B653" s="3" t="s">
        <v>5208</v>
      </c>
      <c r="C653" s="3" t="s">
        <v>5209</v>
      </c>
      <c r="D653" s="3" t="s">
        <v>5193</v>
      </c>
      <c r="E653" s="3" t="s">
        <v>5194</v>
      </c>
      <c r="F653" s="2" t="s">
        <v>5210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f t="shared" si="1"/>
        <v>653</v>
      </c>
      <c r="B654" s="3" t="s">
        <v>5211</v>
      </c>
      <c r="C654" s="3" t="s">
        <v>5212</v>
      </c>
      <c r="D654" s="3" t="s">
        <v>5193</v>
      </c>
      <c r="E654" s="3" t="s">
        <v>5194</v>
      </c>
      <c r="F654" s="2" t="s">
        <v>5213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f t="shared" si="1"/>
        <v>654</v>
      </c>
      <c r="B655" s="3" t="s">
        <v>5214</v>
      </c>
      <c r="C655" s="3" t="s">
        <v>5215</v>
      </c>
      <c r="D655" s="3" t="s">
        <v>5193</v>
      </c>
      <c r="E655" s="3" t="s">
        <v>5194</v>
      </c>
      <c r="F655" s="2" t="s">
        <v>5216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f t="shared" si="1"/>
        <v>655</v>
      </c>
      <c r="B656" s="3" t="s">
        <v>5217</v>
      </c>
      <c r="C656" s="3" t="s">
        <v>5218</v>
      </c>
      <c r="D656" s="3" t="s">
        <v>5193</v>
      </c>
      <c r="E656" s="3" t="s">
        <v>5194</v>
      </c>
      <c r="F656" s="2" t="s">
        <v>5219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f t="shared" si="1"/>
        <v>656</v>
      </c>
      <c r="B657" s="3" t="s">
        <v>5220</v>
      </c>
      <c r="C657" s="3" t="s">
        <v>5221</v>
      </c>
      <c r="D657" s="3" t="s">
        <v>5193</v>
      </c>
      <c r="E657" s="3" t="s">
        <v>5194</v>
      </c>
      <c r="F657" s="2" t="s">
        <v>5222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f t="shared" si="1"/>
        <v>657</v>
      </c>
      <c r="B658" s="3" t="s">
        <v>5223</v>
      </c>
      <c r="C658" s="3" t="s">
        <v>5224</v>
      </c>
      <c r="D658" s="3" t="s">
        <v>5193</v>
      </c>
      <c r="E658" s="3" t="s">
        <v>5194</v>
      </c>
      <c r="F658" s="2" t="s">
        <v>5225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f t="shared" si="1"/>
        <v>658</v>
      </c>
      <c r="B659" s="3" t="s">
        <v>5226</v>
      </c>
      <c r="C659" s="3" t="s">
        <v>5227</v>
      </c>
      <c r="D659" s="3" t="s">
        <v>5193</v>
      </c>
      <c r="E659" s="3" t="s">
        <v>5194</v>
      </c>
      <c r="F659" s="2" t="s">
        <v>5228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f t="shared" si="1"/>
        <v>659</v>
      </c>
      <c r="B660" s="3" t="s">
        <v>5229</v>
      </c>
      <c r="C660" s="3" t="s">
        <v>5230</v>
      </c>
      <c r="D660" s="3" t="s">
        <v>5193</v>
      </c>
      <c r="E660" s="3" t="s">
        <v>5194</v>
      </c>
      <c r="F660" s="2" t="s">
        <v>5231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f t="shared" si="1"/>
        <v>660</v>
      </c>
      <c r="B661" s="3" t="s">
        <v>5232</v>
      </c>
      <c r="C661" s="3" t="s">
        <v>5233</v>
      </c>
      <c r="D661" s="3" t="s">
        <v>5193</v>
      </c>
      <c r="E661" s="3" t="s">
        <v>5194</v>
      </c>
      <c r="F661" s="2" t="s">
        <v>5234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f t="shared" si="1"/>
        <v>661</v>
      </c>
      <c r="B662" s="3" t="s">
        <v>5235</v>
      </c>
      <c r="C662" s="3" t="s">
        <v>5236</v>
      </c>
      <c r="D662" s="3" t="s">
        <v>5193</v>
      </c>
      <c r="E662" s="3" t="s">
        <v>5194</v>
      </c>
      <c r="F662" s="2" t="s">
        <v>5237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f t="shared" si="1"/>
        <v>662</v>
      </c>
      <c r="B663" s="3" t="s">
        <v>5238</v>
      </c>
      <c r="C663" s="3" t="s">
        <v>5239</v>
      </c>
      <c r="D663" s="3" t="s">
        <v>5193</v>
      </c>
      <c r="E663" s="3" t="s">
        <v>5194</v>
      </c>
      <c r="F663" s="2" t="s">
        <v>5240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f t="shared" si="1"/>
        <v>663</v>
      </c>
      <c r="B664" s="3" t="s">
        <v>5241</v>
      </c>
      <c r="C664" s="3" t="s">
        <v>5242</v>
      </c>
      <c r="D664" s="3" t="s">
        <v>5193</v>
      </c>
      <c r="E664" s="3" t="s">
        <v>5194</v>
      </c>
      <c r="F664" s="2" t="s">
        <v>5243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f t="shared" si="1"/>
        <v>664</v>
      </c>
      <c r="B665" s="3" t="s">
        <v>5244</v>
      </c>
      <c r="C665" s="3" t="s">
        <v>5245</v>
      </c>
      <c r="D665" s="3" t="s">
        <v>5193</v>
      </c>
      <c r="E665" s="3" t="s">
        <v>5194</v>
      </c>
      <c r="F665" s="2" t="s">
        <v>5246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f t="shared" si="1"/>
        <v>665</v>
      </c>
      <c r="B666" s="3" t="s">
        <v>5247</v>
      </c>
      <c r="C666" s="3" t="s">
        <v>5248</v>
      </c>
      <c r="D666" s="3" t="s">
        <v>5193</v>
      </c>
      <c r="E666" s="3" t="s">
        <v>5194</v>
      </c>
      <c r="F666" s="2" t="s">
        <v>5249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f t="shared" si="1"/>
        <v>666</v>
      </c>
      <c r="B667" s="3" t="s">
        <v>5250</v>
      </c>
      <c r="C667" s="3" t="s">
        <v>5251</v>
      </c>
      <c r="D667" s="3" t="s">
        <v>5193</v>
      </c>
      <c r="E667" s="3" t="s">
        <v>5194</v>
      </c>
      <c r="F667" s="2" t="s">
        <v>5252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f t="shared" si="1"/>
        <v>667</v>
      </c>
      <c r="B668" s="3" t="s">
        <v>5253</v>
      </c>
      <c r="C668" s="3" t="s">
        <v>5254</v>
      </c>
      <c r="D668" s="3" t="s">
        <v>5193</v>
      </c>
      <c r="E668" s="3" t="s">
        <v>5194</v>
      </c>
      <c r="F668" s="2" t="s">
        <v>5255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f t="shared" si="1"/>
        <v>668</v>
      </c>
      <c r="B669" s="3" t="s">
        <v>5256</v>
      </c>
      <c r="C669" s="3" t="s">
        <v>5257</v>
      </c>
      <c r="D669" s="3" t="s">
        <v>5193</v>
      </c>
      <c r="E669" s="3" t="s">
        <v>5194</v>
      </c>
      <c r="F669" s="2" t="s">
        <v>5258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f t="shared" si="1"/>
        <v>669</v>
      </c>
      <c r="B670" s="3" t="s">
        <v>5259</v>
      </c>
      <c r="C670" s="3" t="s">
        <v>5260</v>
      </c>
      <c r="D670" s="3" t="s">
        <v>5193</v>
      </c>
      <c r="E670" s="3" t="s">
        <v>5194</v>
      </c>
      <c r="F670" s="2" t="s">
        <v>5261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f t="shared" si="1"/>
        <v>670</v>
      </c>
      <c r="B671" s="3" t="s">
        <v>5262</v>
      </c>
      <c r="C671" s="3" t="s">
        <v>5263</v>
      </c>
      <c r="D671" s="3" t="s">
        <v>5264</v>
      </c>
      <c r="E671" s="3" t="s">
        <v>5265</v>
      </c>
      <c r="F671" s="2" t="s">
        <v>5266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f t="shared" si="1"/>
        <v>671</v>
      </c>
      <c r="B672" s="3" t="s">
        <v>5267</v>
      </c>
      <c r="C672" s="3" t="s">
        <v>5268</v>
      </c>
      <c r="D672" s="3" t="s">
        <v>5264</v>
      </c>
      <c r="E672" s="3" t="s">
        <v>5265</v>
      </c>
      <c r="F672" s="2" t="s">
        <v>5269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f t="shared" si="1"/>
        <v>672</v>
      </c>
      <c r="B673" s="3" t="s">
        <v>5270</v>
      </c>
      <c r="C673" s="3" t="s">
        <v>5271</v>
      </c>
      <c r="D673" s="3" t="s">
        <v>5264</v>
      </c>
      <c r="E673" s="3" t="s">
        <v>5265</v>
      </c>
      <c r="F673" s="2" t="s">
        <v>5272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f t="shared" si="1"/>
        <v>673</v>
      </c>
      <c r="B674" s="3" t="s">
        <v>5273</v>
      </c>
      <c r="C674" s="3" t="s">
        <v>5274</v>
      </c>
      <c r="D674" s="3" t="s">
        <v>5264</v>
      </c>
      <c r="E674" s="3" t="s">
        <v>5265</v>
      </c>
      <c r="F674" s="2" t="s">
        <v>5275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f t="shared" si="1"/>
        <v>674</v>
      </c>
      <c r="B675" s="3" t="s">
        <v>5276</v>
      </c>
      <c r="C675" s="3" t="s">
        <v>5277</v>
      </c>
      <c r="D675" s="3" t="s">
        <v>5264</v>
      </c>
      <c r="E675" s="3" t="s">
        <v>5265</v>
      </c>
      <c r="F675" s="2" t="s">
        <v>5278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f t="shared" si="1"/>
        <v>675</v>
      </c>
      <c r="B676" s="3" t="s">
        <v>5279</v>
      </c>
      <c r="C676" s="3" t="s">
        <v>5280</v>
      </c>
      <c r="D676" s="3" t="s">
        <v>5264</v>
      </c>
      <c r="E676" s="3" t="s">
        <v>5265</v>
      </c>
      <c r="F676" s="2" t="s">
        <v>5281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f t="shared" si="1"/>
        <v>676</v>
      </c>
      <c r="B677" s="3" t="s">
        <v>5282</v>
      </c>
      <c r="C677" s="3" t="s">
        <v>5283</v>
      </c>
      <c r="D677" s="3" t="s">
        <v>5264</v>
      </c>
      <c r="E677" s="3" t="s">
        <v>5265</v>
      </c>
      <c r="F677" s="2" t="s">
        <v>5284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f t="shared" si="1"/>
        <v>677</v>
      </c>
      <c r="B678" s="3" t="s">
        <v>5285</v>
      </c>
      <c r="C678" s="3" t="s">
        <v>5286</v>
      </c>
      <c r="D678" s="3" t="s">
        <v>5264</v>
      </c>
      <c r="E678" s="3" t="s">
        <v>5265</v>
      </c>
      <c r="F678" s="2" t="s">
        <v>5287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f t="shared" si="1"/>
        <v>678</v>
      </c>
      <c r="B679" s="3" t="s">
        <v>5288</v>
      </c>
      <c r="C679" s="3" t="s">
        <v>5289</v>
      </c>
      <c r="D679" s="3" t="s">
        <v>5264</v>
      </c>
      <c r="E679" s="3" t="s">
        <v>5265</v>
      </c>
      <c r="F679" s="2" t="s">
        <v>5290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f t="shared" si="1"/>
        <v>679</v>
      </c>
      <c r="B680" s="3" t="s">
        <v>5291</v>
      </c>
      <c r="C680" s="3" t="s">
        <v>5292</v>
      </c>
      <c r="D680" s="3" t="s">
        <v>5264</v>
      </c>
      <c r="E680" s="3" t="s">
        <v>5265</v>
      </c>
      <c r="F680" s="2" t="s">
        <v>5293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f t="shared" si="1"/>
        <v>680</v>
      </c>
      <c r="B681" s="3" t="s">
        <v>5294</v>
      </c>
      <c r="C681" s="3" t="s">
        <v>5295</v>
      </c>
      <c r="D681" s="3" t="s">
        <v>5264</v>
      </c>
      <c r="E681" s="3" t="s">
        <v>5265</v>
      </c>
      <c r="F681" s="2" t="s">
        <v>5296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f t="shared" si="1"/>
        <v>681</v>
      </c>
      <c r="B682" s="3" t="s">
        <v>5297</v>
      </c>
      <c r="C682" s="3" t="s">
        <v>5298</v>
      </c>
      <c r="D682" s="3" t="s">
        <v>5264</v>
      </c>
      <c r="E682" s="3" t="s">
        <v>5265</v>
      </c>
      <c r="F682" s="2" t="s">
        <v>5299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f t="shared" si="1"/>
        <v>682</v>
      </c>
      <c r="B683" s="3" t="s">
        <v>5300</v>
      </c>
      <c r="C683" s="3" t="s">
        <v>5301</v>
      </c>
      <c r="D683" s="3" t="s">
        <v>5264</v>
      </c>
      <c r="E683" s="3" t="s">
        <v>5265</v>
      </c>
      <c r="F683" s="2" t="s">
        <v>5302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f t="shared" si="1"/>
        <v>683</v>
      </c>
      <c r="B684" s="3" t="s">
        <v>5303</v>
      </c>
      <c r="C684" s="3" t="s">
        <v>5304</v>
      </c>
      <c r="D684" s="3" t="s">
        <v>5264</v>
      </c>
      <c r="E684" s="3" t="s">
        <v>5265</v>
      </c>
      <c r="F684" s="2" t="s">
        <v>5305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f t="shared" si="1"/>
        <v>684</v>
      </c>
      <c r="B685" s="3" t="s">
        <v>5306</v>
      </c>
      <c r="C685" s="3" t="s">
        <v>5307</v>
      </c>
      <c r="D685" s="3" t="s">
        <v>5264</v>
      </c>
      <c r="E685" s="3" t="s">
        <v>5265</v>
      </c>
      <c r="F685" s="2" t="s">
        <v>5308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f t="shared" si="1"/>
        <v>685</v>
      </c>
      <c r="B686" s="3" t="s">
        <v>5309</v>
      </c>
      <c r="C686" s="3" t="s">
        <v>5310</v>
      </c>
      <c r="D686" s="3" t="s">
        <v>5264</v>
      </c>
      <c r="E686" s="3" t="s">
        <v>5265</v>
      </c>
      <c r="F686" s="2" t="s">
        <v>5311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f t="shared" si="1"/>
        <v>686</v>
      </c>
      <c r="B687" s="3" t="s">
        <v>5312</v>
      </c>
      <c r="C687" s="3" t="s">
        <v>5313</v>
      </c>
      <c r="D687" s="3" t="s">
        <v>5264</v>
      </c>
      <c r="E687" s="3" t="s">
        <v>5265</v>
      </c>
      <c r="F687" s="2" t="s">
        <v>5314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f t="shared" si="1"/>
        <v>687</v>
      </c>
      <c r="B688" s="3" t="s">
        <v>5315</v>
      </c>
      <c r="C688" s="3" t="s">
        <v>5316</v>
      </c>
      <c r="D688" s="3" t="s">
        <v>5264</v>
      </c>
      <c r="E688" s="3" t="s">
        <v>5265</v>
      </c>
      <c r="F688" s="2" t="s">
        <v>5317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f t="shared" si="1"/>
        <v>688</v>
      </c>
      <c r="B689" s="3" t="s">
        <v>5318</v>
      </c>
      <c r="C689" s="3" t="s">
        <v>5319</v>
      </c>
      <c r="D689" s="3" t="s">
        <v>5264</v>
      </c>
      <c r="E689" s="3" t="s">
        <v>5265</v>
      </c>
      <c r="F689" s="2" t="s">
        <v>5320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f t="shared" si="1"/>
        <v>689</v>
      </c>
      <c r="B690" s="3" t="s">
        <v>5321</v>
      </c>
      <c r="C690" s="3" t="s">
        <v>5322</v>
      </c>
      <c r="D690" s="3" t="s">
        <v>5264</v>
      </c>
      <c r="E690" s="3" t="s">
        <v>5265</v>
      </c>
      <c r="F690" s="2" t="s">
        <v>5323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f t="shared" si="1"/>
        <v>690</v>
      </c>
      <c r="B691" s="3" t="s">
        <v>5324</v>
      </c>
      <c r="C691" s="3" t="s">
        <v>5325</v>
      </c>
      <c r="D691" s="3" t="s">
        <v>5264</v>
      </c>
      <c r="E691" s="3" t="s">
        <v>5265</v>
      </c>
      <c r="F691" s="2" t="s">
        <v>5326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f t="shared" si="1"/>
        <v>691</v>
      </c>
      <c r="B692" s="3" t="s">
        <v>5327</v>
      </c>
      <c r="C692" s="3" t="s">
        <v>5328</v>
      </c>
      <c r="D692" s="3" t="s">
        <v>5264</v>
      </c>
      <c r="E692" s="3" t="s">
        <v>5265</v>
      </c>
      <c r="F692" s="2" t="s">
        <v>5329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f t="shared" si="1"/>
        <v>692</v>
      </c>
      <c r="B693" s="3" t="s">
        <v>5330</v>
      </c>
      <c r="C693" s="3" t="s">
        <v>5331</v>
      </c>
      <c r="D693" s="3" t="s">
        <v>5264</v>
      </c>
      <c r="E693" s="3" t="s">
        <v>5265</v>
      </c>
      <c r="F693" s="2" t="s">
        <v>5332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f t="shared" si="1"/>
        <v>693</v>
      </c>
      <c r="B694" s="3" t="s">
        <v>5333</v>
      </c>
      <c r="C694" s="3" t="s">
        <v>5334</v>
      </c>
      <c r="D694" s="3" t="s">
        <v>5264</v>
      </c>
      <c r="E694" s="3" t="s">
        <v>5265</v>
      </c>
      <c r="F694" s="2" t="s">
        <v>5335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f t="shared" si="1"/>
        <v>694</v>
      </c>
      <c r="B695" s="3" t="s">
        <v>5336</v>
      </c>
      <c r="C695" s="3" t="s">
        <v>5337</v>
      </c>
      <c r="D695" s="3" t="s">
        <v>5264</v>
      </c>
      <c r="E695" s="3" t="s">
        <v>5265</v>
      </c>
      <c r="F695" s="2" t="s">
        <v>5338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f t="shared" si="1"/>
        <v>695</v>
      </c>
      <c r="B696" s="3" t="s">
        <v>5339</v>
      </c>
      <c r="C696" s="3" t="s">
        <v>5340</v>
      </c>
      <c r="D696" s="3" t="s">
        <v>5264</v>
      </c>
      <c r="E696" s="3" t="s">
        <v>5265</v>
      </c>
      <c r="F696" s="2" t="s">
        <v>5341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f t="shared" si="1"/>
        <v>696</v>
      </c>
      <c r="B697" s="3" t="s">
        <v>5342</v>
      </c>
      <c r="C697" s="3" t="s">
        <v>5343</v>
      </c>
      <c r="D697" s="3" t="s">
        <v>5264</v>
      </c>
      <c r="E697" s="3" t="s">
        <v>5265</v>
      </c>
      <c r="F697" s="2" t="s">
        <v>5344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f t="shared" si="1"/>
        <v>697</v>
      </c>
      <c r="B698" s="3" t="s">
        <v>5345</v>
      </c>
      <c r="C698" s="3" t="s">
        <v>5346</v>
      </c>
      <c r="D698" s="3" t="s">
        <v>5264</v>
      </c>
      <c r="E698" s="3" t="s">
        <v>5265</v>
      </c>
      <c r="F698" s="2" t="s">
        <v>5347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f t="shared" si="1"/>
        <v>698</v>
      </c>
      <c r="B699" s="3" t="s">
        <v>5348</v>
      </c>
      <c r="C699" s="3" t="s">
        <v>5349</v>
      </c>
      <c r="D699" s="3" t="s">
        <v>5264</v>
      </c>
      <c r="E699" s="3" t="s">
        <v>5265</v>
      </c>
      <c r="F699" s="2" t="s">
        <v>5350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f t="shared" si="1"/>
        <v>699</v>
      </c>
      <c r="B700" s="3" t="s">
        <v>5351</v>
      </c>
      <c r="C700" s="3" t="s">
        <v>5352</v>
      </c>
      <c r="D700" s="3" t="s">
        <v>5264</v>
      </c>
      <c r="E700" s="3" t="s">
        <v>5265</v>
      </c>
      <c r="F700" s="2" t="s">
        <v>5353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f t="shared" si="1"/>
        <v>700</v>
      </c>
      <c r="B701" s="3" t="s">
        <v>5354</v>
      </c>
      <c r="C701" s="3" t="s">
        <v>5355</v>
      </c>
      <c r="D701" s="3" t="s">
        <v>5264</v>
      </c>
      <c r="E701" s="3" t="s">
        <v>5265</v>
      </c>
      <c r="F701" s="2" t="s">
        <v>5356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f t="shared" si="1"/>
        <v>701</v>
      </c>
      <c r="B702" s="3" t="s">
        <v>5357</v>
      </c>
      <c r="C702" s="3" t="s">
        <v>5358</v>
      </c>
      <c r="D702" s="3" t="s">
        <v>5264</v>
      </c>
      <c r="E702" s="3" t="s">
        <v>5265</v>
      </c>
      <c r="F702" s="2" t="s">
        <v>5359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f t="shared" si="1"/>
        <v>702</v>
      </c>
      <c r="B703" s="3" t="s">
        <v>5360</v>
      </c>
      <c r="C703" s="3" t="s">
        <v>5361</v>
      </c>
      <c r="D703" s="3" t="s">
        <v>5264</v>
      </c>
      <c r="E703" s="3" t="s">
        <v>5265</v>
      </c>
      <c r="F703" s="2" t="s">
        <v>5362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f t="shared" si="1"/>
        <v>703</v>
      </c>
      <c r="B704" s="3" t="s">
        <v>5363</v>
      </c>
      <c r="C704" s="3" t="s">
        <v>5364</v>
      </c>
      <c r="D704" s="3" t="s">
        <v>5264</v>
      </c>
      <c r="E704" s="3" t="s">
        <v>5265</v>
      </c>
      <c r="F704" s="2" t="s">
        <v>5365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f t="shared" si="1"/>
        <v>704</v>
      </c>
      <c r="B705" s="3" t="s">
        <v>5366</v>
      </c>
      <c r="C705" s="3" t="s">
        <v>5367</v>
      </c>
      <c r="D705" s="3" t="s">
        <v>5264</v>
      </c>
      <c r="E705" s="3" t="s">
        <v>5265</v>
      </c>
      <c r="F705" s="2" t="s">
        <v>5368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f t="shared" si="1"/>
        <v>705</v>
      </c>
      <c r="B706" s="3" t="s">
        <v>5369</v>
      </c>
      <c r="C706" s="3" t="s">
        <v>5370</v>
      </c>
      <c r="D706" s="3" t="s">
        <v>5264</v>
      </c>
      <c r="E706" s="3" t="s">
        <v>5265</v>
      </c>
      <c r="F706" s="2" t="s">
        <v>5371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f t="shared" si="1"/>
        <v>706</v>
      </c>
      <c r="B707" s="3" t="s">
        <v>5372</v>
      </c>
      <c r="C707" s="3" t="s">
        <v>5373</v>
      </c>
      <c r="D707" s="3" t="s">
        <v>5264</v>
      </c>
      <c r="E707" s="3" t="s">
        <v>5265</v>
      </c>
      <c r="F707" s="2" t="s">
        <v>5374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f t="shared" si="1"/>
        <v>707</v>
      </c>
      <c r="B708" s="3" t="s">
        <v>5375</v>
      </c>
      <c r="C708" s="3" t="s">
        <v>5376</v>
      </c>
      <c r="D708" s="3" t="s">
        <v>5264</v>
      </c>
      <c r="E708" s="3" t="s">
        <v>5265</v>
      </c>
      <c r="F708" s="2" t="s">
        <v>5377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f t="shared" si="1"/>
        <v>708</v>
      </c>
      <c r="B709" s="3" t="s">
        <v>5378</v>
      </c>
      <c r="C709" s="3" t="s">
        <v>5379</v>
      </c>
      <c r="D709" s="3" t="s">
        <v>5264</v>
      </c>
      <c r="E709" s="3" t="s">
        <v>5265</v>
      </c>
      <c r="F709" s="2" t="s">
        <v>5380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f t="shared" si="1"/>
        <v>709</v>
      </c>
      <c r="B710" s="3" t="s">
        <v>5381</v>
      </c>
      <c r="C710" s="3" t="s">
        <v>5382</v>
      </c>
      <c r="D710" s="3" t="s">
        <v>5383</v>
      </c>
      <c r="E710" s="3" t="s">
        <v>5384</v>
      </c>
      <c r="F710" s="2" t="s">
        <v>5385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f t="shared" si="1"/>
        <v>710</v>
      </c>
      <c r="B711" s="3" t="s">
        <v>5386</v>
      </c>
      <c r="C711" s="3" t="s">
        <v>5387</v>
      </c>
      <c r="D711" s="3" t="s">
        <v>5383</v>
      </c>
      <c r="E711" s="3" t="s">
        <v>5384</v>
      </c>
      <c r="F711" s="2" t="s">
        <v>5388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f t="shared" si="1"/>
        <v>711</v>
      </c>
      <c r="B712" s="3" t="s">
        <v>5389</v>
      </c>
      <c r="C712" s="3" t="s">
        <v>5390</v>
      </c>
      <c r="D712" s="3" t="s">
        <v>5383</v>
      </c>
      <c r="E712" s="3" t="s">
        <v>5384</v>
      </c>
      <c r="F712" s="2" t="s">
        <v>5391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f t="shared" si="1"/>
        <v>712</v>
      </c>
      <c r="B713" s="3" t="s">
        <v>5392</v>
      </c>
      <c r="C713" s="3" t="s">
        <v>5393</v>
      </c>
      <c r="D713" s="3" t="s">
        <v>5383</v>
      </c>
      <c r="E713" s="3" t="s">
        <v>5384</v>
      </c>
      <c r="F713" s="2" t="s">
        <v>5394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f t="shared" si="1"/>
        <v>713</v>
      </c>
      <c r="B714" s="3" t="s">
        <v>5395</v>
      </c>
      <c r="C714" s="3" t="s">
        <v>5396</v>
      </c>
      <c r="D714" s="3" t="s">
        <v>5383</v>
      </c>
      <c r="E714" s="3" t="s">
        <v>5384</v>
      </c>
      <c r="F714" s="2" t="s">
        <v>5397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f t="shared" si="1"/>
        <v>714</v>
      </c>
      <c r="B715" s="3" t="s">
        <v>5398</v>
      </c>
      <c r="C715" s="3" t="s">
        <v>5399</v>
      </c>
      <c r="D715" s="3" t="s">
        <v>5383</v>
      </c>
      <c r="E715" s="3" t="s">
        <v>5384</v>
      </c>
      <c r="F715" s="2" t="s">
        <v>5400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f t="shared" si="1"/>
        <v>715</v>
      </c>
      <c r="B716" s="3" t="s">
        <v>5401</v>
      </c>
      <c r="C716" s="3" t="s">
        <v>5402</v>
      </c>
      <c r="D716" s="3" t="s">
        <v>5383</v>
      </c>
      <c r="E716" s="3" t="s">
        <v>5384</v>
      </c>
      <c r="F716" s="2" t="s">
        <v>5403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f t="shared" si="1"/>
        <v>716</v>
      </c>
      <c r="B717" s="3" t="s">
        <v>5404</v>
      </c>
      <c r="C717" s="3" t="s">
        <v>5405</v>
      </c>
      <c r="D717" s="3" t="s">
        <v>5383</v>
      </c>
      <c r="E717" s="3" t="s">
        <v>5384</v>
      </c>
      <c r="F717" s="2" t="s">
        <v>5406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f t="shared" si="1"/>
        <v>717</v>
      </c>
      <c r="B718" s="3" t="s">
        <v>5407</v>
      </c>
      <c r="C718" s="3" t="s">
        <v>5408</v>
      </c>
      <c r="D718" s="3" t="s">
        <v>5383</v>
      </c>
      <c r="E718" s="3" t="s">
        <v>5384</v>
      </c>
      <c r="F718" s="2" t="s">
        <v>5409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f t="shared" si="1"/>
        <v>718</v>
      </c>
      <c r="B719" s="3" t="s">
        <v>5410</v>
      </c>
      <c r="C719" s="3" t="s">
        <v>5411</v>
      </c>
      <c r="D719" s="3" t="s">
        <v>5383</v>
      </c>
      <c r="E719" s="3" t="s">
        <v>5384</v>
      </c>
      <c r="F719" s="2" t="s">
        <v>5412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f t="shared" si="1"/>
        <v>719</v>
      </c>
      <c r="B720" s="3" t="s">
        <v>5413</v>
      </c>
      <c r="C720" s="3" t="s">
        <v>5414</v>
      </c>
      <c r="D720" s="3" t="s">
        <v>5383</v>
      </c>
      <c r="E720" s="3" t="s">
        <v>5384</v>
      </c>
      <c r="F720" s="2" t="s">
        <v>5415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f t="shared" si="1"/>
        <v>720</v>
      </c>
      <c r="B721" s="3" t="s">
        <v>5416</v>
      </c>
      <c r="C721" s="3" t="s">
        <v>5417</v>
      </c>
      <c r="D721" s="3" t="s">
        <v>5383</v>
      </c>
      <c r="E721" s="3" t="s">
        <v>5384</v>
      </c>
      <c r="F721" s="2" t="s">
        <v>5418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f t="shared" si="1"/>
        <v>721</v>
      </c>
      <c r="B722" s="3" t="s">
        <v>5419</v>
      </c>
      <c r="C722" s="3" t="s">
        <v>5420</v>
      </c>
      <c r="D722" s="3" t="s">
        <v>5383</v>
      </c>
      <c r="E722" s="3" t="s">
        <v>5384</v>
      </c>
      <c r="F722" s="2" t="s">
        <v>5421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f t="shared" si="1"/>
        <v>722</v>
      </c>
      <c r="B723" s="3" t="s">
        <v>5422</v>
      </c>
      <c r="C723" s="3" t="s">
        <v>5423</v>
      </c>
      <c r="D723" s="3" t="s">
        <v>5383</v>
      </c>
      <c r="E723" s="3" t="s">
        <v>5384</v>
      </c>
      <c r="F723" s="2" t="s">
        <v>5424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f t="shared" si="1"/>
        <v>723</v>
      </c>
      <c r="B724" s="3" t="s">
        <v>5425</v>
      </c>
      <c r="C724" s="3" t="s">
        <v>5426</v>
      </c>
      <c r="D724" s="3" t="s">
        <v>5383</v>
      </c>
      <c r="E724" s="3" t="s">
        <v>5384</v>
      </c>
      <c r="F724" s="2" t="s">
        <v>5427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f t="shared" si="1"/>
        <v>724</v>
      </c>
      <c r="B725" s="3" t="s">
        <v>5428</v>
      </c>
      <c r="C725" s="3" t="s">
        <v>5429</v>
      </c>
      <c r="D725" s="3" t="s">
        <v>5383</v>
      </c>
      <c r="E725" s="3" t="s">
        <v>5384</v>
      </c>
      <c r="F725" s="2" t="s">
        <v>5430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f t="shared" si="1"/>
        <v>725</v>
      </c>
      <c r="B726" s="3" t="s">
        <v>5431</v>
      </c>
      <c r="C726" s="3" t="s">
        <v>5432</v>
      </c>
      <c r="D726" s="3" t="s">
        <v>5383</v>
      </c>
      <c r="E726" s="3" t="s">
        <v>5384</v>
      </c>
      <c r="F726" s="2" t="s">
        <v>5433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f t="shared" si="1"/>
        <v>726</v>
      </c>
      <c r="B727" s="3" t="s">
        <v>5434</v>
      </c>
      <c r="C727" s="3" t="s">
        <v>5435</v>
      </c>
      <c r="D727" s="3" t="s">
        <v>5383</v>
      </c>
      <c r="E727" s="3" t="s">
        <v>5384</v>
      </c>
      <c r="F727" s="2" t="s">
        <v>5436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f t="shared" si="1"/>
        <v>727</v>
      </c>
      <c r="B728" s="3" t="s">
        <v>5437</v>
      </c>
      <c r="C728" s="3" t="s">
        <v>5438</v>
      </c>
      <c r="D728" s="3" t="s">
        <v>5383</v>
      </c>
      <c r="E728" s="3" t="s">
        <v>5384</v>
      </c>
      <c r="F728" s="2" t="s">
        <v>5439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f t="shared" si="1"/>
        <v>728</v>
      </c>
      <c r="B729" s="3" t="s">
        <v>5440</v>
      </c>
      <c r="C729" s="3" t="s">
        <v>5441</v>
      </c>
      <c r="D729" s="3" t="s">
        <v>5383</v>
      </c>
      <c r="E729" s="3" t="s">
        <v>5384</v>
      </c>
      <c r="F729" s="2" t="s">
        <v>5442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f t="shared" si="1"/>
        <v>729</v>
      </c>
      <c r="B730" s="3" t="s">
        <v>5443</v>
      </c>
      <c r="C730" s="3" t="s">
        <v>5444</v>
      </c>
      <c r="D730" s="3" t="s">
        <v>5383</v>
      </c>
      <c r="E730" s="3" t="s">
        <v>5384</v>
      </c>
      <c r="F730" s="2" t="s">
        <v>5445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f t="shared" si="1"/>
        <v>730</v>
      </c>
      <c r="B731" s="3" t="s">
        <v>5446</v>
      </c>
      <c r="C731" s="3" t="s">
        <v>5447</v>
      </c>
      <c r="D731" s="3" t="s">
        <v>5383</v>
      </c>
      <c r="E731" s="3" t="s">
        <v>5384</v>
      </c>
      <c r="F731" s="2" t="s">
        <v>5448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f t="shared" si="1"/>
        <v>731</v>
      </c>
      <c r="B732" s="3" t="s">
        <v>5449</v>
      </c>
      <c r="C732" s="3" t="s">
        <v>5450</v>
      </c>
      <c r="D732" s="3" t="s">
        <v>5383</v>
      </c>
      <c r="E732" s="3" t="s">
        <v>5384</v>
      </c>
      <c r="F732" s="2" t="s">
        <v>5451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f t="shared" si="1"/>
        <v>732</v>
      </c>
      <c r="B733" s="3" t="s">
        <v>5452</v>
      </c>
      <c r="C733" s="3" t="s">
        <v>5453</v>
      </c>
      <c r="D733" s="3" t="s">
        <v>5383</v>
      </c>
      <c r="E733" s="3" t="s">
        <v>5384</v>
      </c>
      <c r="F733" s="2" t="s">
        <v>5454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f t="shared" si="1"/>
        <v>733</v>
      </c>
      <c r="B734" s="3" t="s">
        <v>5455</v>
      </c>
      <c r="C734" s="3" t="s">
        <v>5456</v>
      </c>
      <c r="D734" s="3" t="s">
        <v>5383</v>
      </c>
      <c r="E734" s="3" t="s">
        <v>5384</v>
      </c>
      <c r="F734" s="2" t="s">
        <v>5457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f t="shared" si="1"/>
        <v>734</v>
      </c>
      <c r="B735" s="3" t="s">
        <v>5458</v>
      </c>
      <c r="C735" s="3" t="s">
        <v>5459</v>
      </c>
      <c r="D735" s="3" t="s">
        <v>5383</v>
      </c>
      <c r="E735" s="3" t="s">
        <v>5384</v>
      </c>
      <c r="F735" s="2" t="s">
        <v>5460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f t="shared" si="1"/>
        <v>735</v>
      </c>
      <c r="B736" s="3" t="s">
        <v>5461</v>
      </c>
      <c r="C736" s="3" t="s">
        <v>5462</v>
      </c>
      <c r="D736" s="3" t="s">
        <v>5383</v>
      </c>
      <c r="E736" s="3" t="s">
        <v>5384</v>
      </c>
      <c r="F736" s="2" t="s">
        <v>5463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f t="shared" si="1"/>
        <v>736</v>
      </c>
      <c r="B737" s="3" t="s">
        <v>5464</v>
      </c>
      <c r="C737" s="3" t="s">
        <v>5465</v>
      </c>
      <c r="D737" s="3" t="s">
        <v>5383</v>
      </c>
      <c r="E737" s="3" t="s">
        <v>5384</v>
      </c>
      <c r="F737" s="2" t="s">
        <v>5466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f t="shared" si="1"/>
        <v>737</v>
      </c>
      <c r="B738" s="3" t="s">
        <v>5467</v>
      </c>
      <c r="C738" s="3" t="s">
        <v>5468</v>
      </c>
      <c r="D738" s="3" t="s">
        <v>5383</v>
      </c>
      <c r="E738" s="3" t="s">
        <v>5384</v>
      </c>
      <c r="F738" s="2" t="s">
        <v>5469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f t="shared" si="1"/>
        <v>738</v>
      </c>
      <c r="B739" s="3" t="s">
        <v>5470</v>
      </c>
      <c r="C739" s="3" t="s">
        <v>5471</v>
      </c>
      <c r="D739" s="3" t="s">
        <v>5383</v>
      </c>
      <c r="E739" s="3" t="s">
        <v>5384</v>
      </c>
      <c r="F739" s="2" t="s">
        <v>5472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f t="shared" si="1"/>
        <v>739</v>
      </c>
      <c r="B740" s="3" t="s">
        <v>5473</v>
      </c>
      <c r="C740" s="3" t="s">
        <v>5474</v>
      </c>
      <c r="D740" s="3" t="s">
        <v>5383</v>
      </c>
      <c r="E740" s="3" t="s">
        <v>5384</v>
      </c>
      <c r="F740" s="2" t="s">
        <v>5475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f t="shared" si="1"/>
        <v>740</v>
      </c>
      <c r="B741" s="3" t="s">
        <v>5476</v>
      </c>
      <c r="C741" s="3" t="s">
        <v>5477</v>
      </c>
      <c r="D741" s="3" t="s">
        <v>5383</v>
      </c>
      <c r="E741" s="3" t="s">
        <v>5384</v>
      </c>
      <c r="F741" s="2" t="s">
        <v>5478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f t="shared" si="1"/>
        <v>741</v>
      </c>
      <c r="B742" s="3" t="s">
        <v>5479</v>
      </c>
      <c r="C742" s="3" t="s">
        <v>5480</v>
      </c>
      <c r="D742" s="3" t="s">
        <v>5383</v>
      </c>
      <c r="E742" s="3" t="s">
        <v>5384</v>
      </c>
      <c r="F742" s="2" t="s">
        <v>5481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f t="shared" si="1"/>
        <v>742</v>
      </c>
      <c r="B743" s="3" t="s">
        <v>5482</v>
      </c>
      <c r="C743" s="3" t="s">
        <v>5483</v>
      </c>
      <c r="D743" s="3" t="s">
        <v>5383</v>
      </c>
      <c r="E743" s="3" t="s">
        <v>5384</v>
      </c>
      <c r="F743" s="2" t="s">
        <v>5484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f t="shared" si="1"/>
        <v>743</v>
      </c>
      <c r="B744" s="3" t="s">
        <v>5485</v>
      </c>
      <c r="C744" s="3" t="s">
        <v>5486</v>
      </c>
      <c r="D744" s="3" t="s">
        <v>5383</v>
      </c>
      <c r="E744" s="3" t="s">
        <v>5384</v>
      </c>
      <c r="F744" s="2" t="s">
        <v>5487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f t="shared" si="1"/>
        <v>744</v>
      </c>
      <c r="B745" s="3" t="s">
        <v>5488</v>
      </c>
      <c r="C745" s="3" t="s">
        <v>5489</v>
      </c>
      <c r="D745" s="3" t="s">
        <v>5490</v>
      </c>
      <c r="E745" s="3" t="s">
        <v>5491</v>
      </c>
      <c r="F745" s="2" t="s">
        <v>5492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f t="shared" si="1"/>
        <v>745</v>
      </c>
      <c r="B746" s="3" t="s">
        <v>5493</v>
      </c>
      <c r="C746" s="3" t="s">
        <v>5494</v>
      </c>
      <c r="D746" s="3" t="s">
        <v>5490</v>
      </c>
      <c r="E746" s="3" t="s">
        <v>5491</v>
      </c>
      <c r="F746" s="2" t="s">
        <v>5495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f t="shared" si="1"/>
        <v>746</v>
      </c>
      <c r="B747" s="3" t="s">
        <v>5496</v>
      </c>
      <c r="C747" s="3" t="s">
        <v>5497</v>
      </c>
      <c r="D747" s="3" t="s">
        <v>5490</v>
      </c>
      <c r="E747" s="3" t="s">
        <v>5491</v>
      </c>
      <c r="F747" s="2" t="s">
        <v>5498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f t="shared" si="1"/>
        <v>747</v>
      </c>
      <c r="B748" s="3" t="s">
        <v>5499</v>
      </c>
      <c r="C748" s="3" t="s">
        <v>5500</v>
      </c>
      <c r="D748" s="3" t="s">
        <v>5490</v>
      </c>
      <c r="E748" s="3" t="s">
        <v>5491</v>
      </c>
      <c r="F748" s="2" t="s">
        <v>5501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f t="shared" si="1"/>
        <v>748</v>
      </c>
      <c r="B749" s="3" t="s">
        <v>5502</v>
      </c>
      <c r="C749" s="3" t="s">
        <v>5503</v>
      </c>
      <c r="D749" s="3" t="s">
        <v>5490</v>
      </c>
      <c r="E749" s="3" t="s">
        <v>5491</v>
      </c>
      <c r="F749" s="2" t="s">
        <v>5504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f t="shared" si="1"/>
        <v>749</v>
      </c>
      <c r="B750" s="3" t="s">
        <v>5505</v>
      </c>
      <c r="C750" s="3" t="s">
        <v>5506</v>
      </c>
      <c r="D750" s="3" t="s">
        <v>5490</v>
      </c>
      <c r="E750" s="3" t="s">
        <v>5491</v>
      </c>
      <c r="F750" s="2" t="s">
        <v>5507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f t="shared" si="1"/>
        <v>750</v>
      </c>
      <c r="B751" s="3" t="s">
        <v>5508</v>
      </c>
      <c r="C751" s="3" t="s">
        <v>5509</v>
      </c>
      <c r="D751" s="3" t="s">
        <v>5490</v>
      </c>
      <c r="E751" s="3" t="s">
        <v>5491</v>
      </c>
      <c r="F751" s="2" t="s">
        <v>5510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f t="shared" si="1"/>
        <v>751</v>
      </c>
      <c r="B752" s="3" t="s">
        <v>5511</v>
      </c>
      <c r="C752" s="3" t="s">
        <v>5512</v>
      </c>
      <c r="D752" s="3" t="s">
        <v>5490</v>
      </c>
      <c r="E752" s="3" t="s">
        <v>5491</v>
      </c>
      <c r="F752" s="2" t="s">
        <v>5513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f t="shared" si="1"/>
        <v>752</v>
      </c>
      <c r="B753" s="3" t="s">
        <v>5514</v>
      </c>
      <c r="C753" s="3" t="s">
        <v>5515</v>
      </c>
      <c r="D753" s="3" t="s">
        <v>5490</v>
      </c>
      <c r="E753" s="3" t="s">
        <v>5491</v>
      </c>
      <c r="F753" s="2" t="s">
        <v>5516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f t="shared" si="1"/>
        <v>753</v>
      </c>
      <c r="B754" s="3" t="s">
        <v>5517</v>
      </c>
      <c r="C754" s="3" t="s">
        <v>5518</v>
      </c>
      <c r="D754" s="3" t="s">
        <v>5490</v>
      </c>
      <c r="E754" s="3" t="s">
        <v>5491</v>
      </c>
      <c r="F754" s="2" t="s">
        <v>5519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f t="shared" si="1"/>
        <v>754</v>
      </c>
      <c r="B755" s="3" t="s">
        <v>5520</v>
      </c>
      <c r="C755" s="3" t="s">
        <v>5521</v>
      </c>
      <c r="D755" s="3" t="s">
        <v>5490</v>
      </c>
      <c r="E755" s="3" t="s">
        <v>5491</v>
      </c>
      <c r="F755" s="2" t="s">
        <v>5522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f t="shared" si="1"/>
        <v>755</v>
      </c>
      <c r="B756" s="3" t="s">
        <v>5523</v>
      </c>
      <c r="C756" s="3" t="s">
        <v>5524</v>
      </c>
      <c r="D756" s="3" t="s">
        <v>5490</v>
      </c>
      <c r="E756" s="3" t="s">
        <v>5491</v>
      </c>
      <c r="F756" s="2" t="s">
        <v>5525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f t="shared" si="1"/>
        <v>756</v>
      </c>
      <c r="B757" s="3" t="s">
        <v>5526</v>
      </c>
      <c r="C757" s="3" t="s">
        <v>5527</v>
      </c>
      <c r="D757" s="3" t="s">
        <v>5490</v>
      </c>
      <c r="E757" s="3" t="s">
        <v>5491</v>
      </c>
      <c r="F757" s="2" t="s">
        <v>5528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f t="shared" si="1"/>
        <v>757</v>
      </c>
      <c r="B758" s="3" t="s">
        <v>5529</v>
      </c>
      <c r="C758" s="3" t="s">
        <v>5530</v>
      </c>
      <c r="D758" s="3" t="s">
        <v>5490</v>
      </c>
      <c r="E758" s="3" t="s">
        <v>5491</v>
      </c>
      <c r="F758" s="2" t="s">
        <v>5531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f t="shared" si="1"/>
        <v>758</v>
      </c>
      <c r="B759" s="3" t="s">
        <v>5532</v>
      </c>
      <c r="C759" s="3" t="s">
        <v>5533</v>
      </c>
      <c r="D759" s="3" t="s">
        <v>5490</v>
      </c>
      <c r="E759" s="3" t="s">
        <v>5491</v>
      </c>
      <c r="F759" s="2" t="s">
        <v>5534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f t="shared" si="1"/>
        <v>759</v>
      </c>
      <c r="B760" s="3" t="s">
        <v>5535</v>
      </c>
      <c r="C760" s="3" t="s">
        <v>5536</v>
      </c>
      <c r="D760" s="3" t="s">
        <v>5490</v>
      </c>
      <c r="E760" s="3" t="s">
        <v>5491</v>
      </c>
      <c r="F760" s="2" t="s">
        <v>5537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f t="shared" si="1"/>
        <v>760</v>
      </c>
      <c r="B761" s="3" t="s">
        <v>5538</v>
      </c>
      <c r="C761" s="3" t="s">
        <v>5539</v>
      </c>
      <c r="D761" s="3" t="s">
        <v>5490</v>
      </c>
      <c r="E761" s="3" t="s">
        <v>5491</v>
      </c>
      <c r="F761" s="2" t="s">
        <v>5540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f t="shared" si="1"/>
        <v>761</v>
      </c>
      <c r="B762" s="3" t="s">
        <v>5541</v>
      </c>
      <c r="C762" s="3" t="s">
        <v>5542</v>
      </c>
      <c r="D762" s="3" t="s">
        <v>5490</v>
      </c>
      <c r="E762" s="3" t="s">
        <v>5491</v>
      </c>
      <c r="F762" s="2" t="s">
        <v>5543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f t="shared" si="1"/>
        <v>762</v>
      </c>
      <c r="B763" s="3" t="s">
        <v>5544</v>
      </c>
      <c r="C763" s="3" t="s">
        <v>5545</v>
      </c>
      <c r="D763" s="3" t="s">
        <v>5490</v>
      </c>
      <c r="E763" s="3" t="s">
        <v>5491</v>
      </c>
      <c r="F763" s="2" t="s">
        <v>5546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f t="shared" si="1"/>
        <v>763</v>
      </c>
      <c r="B764" s="3" t="s">
        <v>5547</v>
      </c>
      <c r="C764" s="3" t="s">
        <v>5548</v>
      </c>
      <c r="D764" s="3" t="s">
        <v>5490</v>
      </c>
      <c r="E764" s="3" t="s">
        <v>5491</v>
      </c>
      <c r="F764" s="2" t="s">
        <v>5549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f t="shared" si="1"/>
        <v>764</v>
      </c>
      <c r="B765" s="3" t="s">
        <v>5550</v>
      </c>
      <c r="C765" s="3" t="s">
        <v>5551</v>
      </c>
      <c r="D765" s="3" t="s">
        <v>5490</v>
      </c>
      <c r="E765" s="3" t="s">
        <v>5491</v>
      </c>
      <c r="F765" s="2" t="s">
        <v>5552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f t="shared" si="1"/>
        <v>765</v>
      </c>
      <c r="B766" s="3" t="s">
        <v>5553</v>
      </c>
      <c r="C766" s="3" t="s">
        <v>5554</v>
      </c>
      <c r="D766" s="3" t="s">
        <v>5490</v>
      </c>
      <c r="E766" s="3" t="s">
        <v>5491</v>
      </c>
      <c r="F766" s="2" t="s">
        <v>5555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f t="shared" si="1"/>
        <v>766</v>
      </c>
      <c r="B767" s="3" t="s">
        <v>5556</v>
      </c>
      <c r="C767" s="3" t="s">
        <v>5557</v>
      </c>
      <c r="D767" s="3" t="s">
        <v>5490</v>
      </c>
      <c r="E767" s="3" t="s">
        <v>5491</v>
      </c>
      <c r="F767" s="2" t="s">
        <v>5558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f t="shared" si="1"/>
        <v>767</v>
      </c>
      <c r="B768" s="3" t="s">
        <v>5559</v>
      </c>
      <c r="C768" s="3" t="s">
        <v>5560</v>
      </c>
      <c r="D768" s="3" t="s">
        <v>5490</v>
      </c>
      <c r="E768" s="3" t="s">
        <v>5491</v>
      </c>
      <c r="F768" s="2" t="s">
        <v>5561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f t="shared" si="1"/>
        <v>768</v>
      </c>
      <c r="B769" s="3" t="s">
        <v>5562</v>
      </c>
      <c r="C769" s="3" t="s">
        <v>5563</v>
      </c>
      <c r="D769" s="3" t="s">
        <v>5490</v>
      </c>
      <c r="E769" s="3" t="s">
        <v>5491</v>
      </c>
      <c r="F769" s="2" t="s">
        <v>5564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f t="shared" si="1"/>
        <v>769</v>
      </c>
      <c r="B770" s="3" t="s">
        <v>5565</v>
      </c>
      <c r="C770" s="3" t="s">
        <v>5566</v>
      </c>
      <c r="D770" s="3" t="s">
        <v>5490</v>
      </c>
      <c r="E770" s="3" t="s">
        <v>5491</v>
      </c>
      <c r="F770" s="2" t="s">
        <v>5567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f t="shared" si="1"/>
        <v>770</v>
      </c>
      <c r="B771" s="3" t="s">
        <v>5568</v>
      </c>
      <c r="C771" s="3" t="s">
        <v>5569</v>
      </c>
      <c r="D771" s="3" t="s">
        <v>5490</v>
      </c>
      <c r="E771" s="3" t="s">
        <v>5491</v>
      </c>
      <c r="F771" s="2" t="s">
        <v>5570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f t="shared" si="1"/>
        <v>771</v>
      </c>
      <c r="B772" s="3" t="s">
        <v>5571</v>
      </c>
      <c r="C772" s="3" t="s">
        <v>5572</v>
      </c>
      <c r="D772" s="3" t="s">
        <v>5490</v>
      </c>
      <c r="E772" s="3" t="s">
        <v>5491</v>
      </c>
      <c r="F772" s="2" t="s">
        <v>5573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f t="shared" si="1"/>
        <v>772</v>
      </c>
      <c r="B773" s="3" t="s">
        <v>5574</v>
      </c>
      <c r="C773" s="3" t="s">
        <v>5575</v>
      </c>
      <c r="D773" s="3" t="s">
        <v>5490</v>
      </c>
      <c r="E773" s="3" t="s">
        <v>5491</v>
      </c>
      <c r="F773" s="2" t="s">
        <v>5576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f t="shared" si="1"/>
        <v>773</v>
      </c>
      <c r="B774" s="3" t="s">
        <v>5577</v>
      </c>
      <c r="C774" s="3" t="s">
        <v>5578</v>
      </c>
      <c r="D774" s="3" t="s">
        <v>5490</v>
      </c>
      <c r="E774" s="3" t="s">
        <v>5491</v>
      </c>
      <c r="F774" s="2" t="s">
        <v>5579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f t="shared" si="1"/>
        <v>774</v>
      </c>
      <c r="B775" s="3" t="s">
        <v>5580</v>
      </c>
      <c r="C775" s="3" t="s">
        <v>5581</v>
      </c>
      <c r="D775" s="3" t="s">
        <v>5490</v>
      </c>
      <c r="E775" s="3" t="s">
        <v>5491</v>
      </c>
      <c r="F775" s="2" t="s">
        <v>5582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f t="shared" si="1"/>
        <v>775</v>
      </c>
      <c r="B776" s="3" t="s">
        <v>5583</v>
      </c>
      <c r="C776" s="3" t="s">
        <v>5584</v>
      </c>
      <c r="D776" s="3" t="s">
        <v>5490</v>
      </c>
      <c r="E776" s="3" t="s">
        <v>5491</v>
      </c>
      <c r="F776" s="2" t="s">
        <v>5585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f t="shared" si="1"/>
        <v>776</v>
      </c>
      <c r="B777" s="3" t="s">
        <v>5586</v>
      </c>
      <c r="C777" s="3" t="s">
        <v>5587</v>
      </c>
      <c r="D777" s="3" t="s">
        <v>5490</v>
      </c>
      <c r="E777" s="3" t="s">
        <v>5491</v>
      </c>
      <c r="F777" s="2" t="s">
        <v>5588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f t="shared" si="1"/>
        <v>777</v>
      </c>
      <c r="B778" s="3" t="s">
        <v>5589</v>
      </c>
      <c r="C778" s="3" t="s">
        <v>5590</v>
      </c>
      <c r="D778" s="3" t="s">
        <v>5490</v>
      </c>
      <c r="E778" s="3" t="s">
        <v>5491</v>
      </c>
      <c r="F778" s="2" t="s">
        <v>5591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f t="shared" si="1"/>
        <v>778</v>
      </c>
      <c r="B779" s="3" t="s">
        <v>5592</v>
      </c>
      <c r="C779" s="3" t="s">
        <v>5593</v>
      </c>
      <c r="D779" s="3" t="s">
        <v>5490</v>
      </c>
      <c r="E779" s="3" t="s">
        <v>5491</v>
      </c>
      <c r="F779" s="2" t="s">
        <v>5594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f t="shared" si="1"/>
        <v>779</v>
      </c>
      <c r="B780" s="3" t="s">
        <v>5595</v>
      </c>
      <c r="C780" s="3" t="s">
        <v>5596</v>
      </c>
      <c r="D780" s="3" t="s">
        <v>5490</v>
      </c>
      <c r="E780" s="3" t="s">
        <v>5491</v>
      </c>
      <c r="F780" s="2" t="s">
        <v>5597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f t="shared" si="1"/>
        <v>780</v>
      </c>
      <c r="B781" s="3" t="s">
        <v>5598</v>
      </c>
      <c r="C781" s="3" t="s">
        <v>5599</v>
      </c>
      <c r="D781" s="3" t="s">
        <v>5490</v>
      </c>
      <c r="E781" s="3" t="s">
        <v>5491</v>
      </c>
      <c r="F781" s="2" t="s">
        <v>5600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f t="shared" si="1"/>
        <v>781</v>
      </c>
      <c r="B782" s="3" t="s">
        <v>5601</v>
      </c>
      <c r="C782" s="3" t="s">
        <v>5602</v>
      </c>
      <c r="D782" s="3" t="s">
        <v>5490</v>
      </c>
      <c r="E782" s="3" t="s">
        <v>5491</v>
      </c>
      <c r="F782" s="2" t="s">
        <v>5603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f t="shared" si="1"/>
        <v>782</v>
      </c>
      <c r="B783" s="3" t="s">
        <v>5604</v>
      </c>
      <c r="C783" s="3" t="s">
        <v>5605</v>
      </c>
      <c r="D783" s="3" t="s">
        <v>5490</v>
      </c>
      <c r="E783" s="3" t="s">
        <v>5491</v>
      </c>
      <c r="F783" s="2" t="s">
        <v>5606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f t="shared" si="1"/>
        <v>783</v>
      </c>
      <c r="B784" s="3" t="s">
        <v>5607</v>
      </c>
      <c r="C784" s="3" t="s">
        <v>5608</v>
      </c>
      <c r="D784" s="3" t="s">
        <v>5490</v>
      </c>
      <c r="E784" s="3" t="s">
        <v>5491</v>
      </c>
      <c r="F784" s="2" t="s">
        <v>5609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f t="shared" si="1"/>
        <v>784</v>
      </c>
      <c r="B785" s="3" t="s">
        <v>5610</v>
      </c>
      <c r="C785" s="3" t="s">
        <v>5611</v>
      </c>
      <c r="D785" s="3" t="s">
        <v>5490</v>
      </c>
      <c r="E785" s="3" t="s">
        <v>5491</v>
      </c>
      <c r="F785" s="2" t="s">
        <v>5612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f t="shared" si="1"/>
        <v>785</v>
      </c>
      <c r="B786" s="3" t="s">
        <v>5613</v>
      </c>
      <c r="C786" s="3" t="s">
        <v>5614</v>
      </c>
      <c r="D786" s="3" t="s">
        <v>5490</v>
      </c>
      <c r="E786" s="3" t="s">
        <v>5491</v>
      </c>
      <c r="F786" s="2" t="s">
        <v>5615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f t="shared" si="1"/>
        <v>786</v>
      </c>
      <c r="B787" s="3" t="s">
        <v>5616</v>
      </c>
      <c r="C787" s="3" t="s">
        <v>5617</v>
      </c>
      <c r="D787" s="3" t="s">
        <v>5618</v>
      </c>
      <c r="E787" s="3" t="s">
        <v>5619</v>
      </c>
      <c r="F787" s="2" t="s">
        <v>5620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f t="shared" si="1"/>
        <v>787</v>
      </c>
      <c r="B788" s="3" t="s">
        <v>5621</v>
      </c>
      <c r="C788" s="3" t="s">
        <v>5622</v>
      </c>
      <c r="D788" s="3" t="s">
        <v>5618</v>
      </c>
      <c r="E788" s="3" t="s">
        <v>5619</v>
      </c>
      <c r="F788" s="2" t="s">
        <v>5623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f t="shared" si="1"/>
        <v>788</v>
      </c>
      <c r="B789" s="3" t="s">
        <v>5624</v>
      </c>
      <c r="C789" s="3" t="s">
        <v>5625</v>
      </c>
      <c r="D789" s="3" t="s">
        <v>5618</v>
      </c>
      <c r="E789" s="3" t="s">
        <v>5619</v>
      </c>
      <c r="F789" s="2" t="s">
        <v>5626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f t="shared" si="1"/>
        <v>789</v>
      </c>
      <c r="B790" s="3" t="s">
        <v>5627</v>
      </c>
      <c r="C790" s="3" t="s">
        <v>5628</v>
      </c>
      <c r="D790" s="3" t="s">
        <v>5618</v>
      </c>
      <c r="E790" s="3" t="s">
        <v>5619</v>
      </c>
      <c r="F790" s="2" t="s">
        <v>5629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f t="shared" si="1"/>
        <v>790</v>
      </c>
      <c r="B791" s="3" t="s">
        <v>5630</v>
      </c>
      <c r="C791" s="3" t="s">
        <v>5631</v>
      </c>
      <c r="D791" s="3" t="s">
        <v>5618</v>
      </c>
      <c r="E791" s="3" t="s">
        <v>5619</v>
      </c>
      <c r="F791" s="2" t="s">
        <v>5632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f t="shared" si="1"/>
        <v>791</v>
      </c>
      <c r="B792" s="3" t="s">
        <v>5633</v>
      </c>
      <c r="C792" s="3" t="s">
        <v>5634</v>
      </c>
      <c r="D792" s="3" t="s">
        <v>5618</v>
      </c>
      <c r="E792" s="3" t="s">
        <v>5619</v>
      </c>
      <c r="F792" s="2" t="s">
        <v>5635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f t="shared" si="1"/>
        <v>792</v>
      </c>
      <c r="B793" s="3" t="s">
        <v>5636</v>
      </c>
      <c r="C793" s="3" t="s">
        <v>5637</v>
      </c>
      <c r="D793" s="3" t="s">
        <v>5618</v>
      </c>
      <c r="E793" s="3" t="s">
        <v>5619</v>
      </c>
      <c r="F793" s="2" t="s">
        <v>5638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f t="shared" si="1"/>
        <v>793</v>
      </c>
      <c r="B794" s="3" t="s">
        <v>5639</v>
      </c>
      <c r="C794" s="3" t="s">
        <v>5640</v>
      </c>
      <c r="D794" s="3" t="s">
        <v>5618</v>
      </c>
      <c r="E794" s="3" t="s">
        <v>5619</v>
      </c>
      <c r="F794" s="2" t="s">
        <v>5641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f t="shared" si="1"/>
        <v>794</v>
      </c>
      <c r="B795" s="3" t="s">
        <v>5642</v>
      </c>
      <c r="C795" s="3" t="s">
        <v>5643</v>
      </c>
      <c r="D795" s="3" t="s">
        <v>5618</v>
      </c>
      <c r="E795" s="3" t="s">
        <v>5619</v>
      </c>
      <c r="F795" s="2" t="s">
        <v>5644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f t="shared" si="1"/>
        <v>795</v>
      </c>
      <c r="B796" s="3" t="s">
        <v>5645</v>
      </c>
      <c r="C796" s="3" t="s">
        <v>5646</v>
      </c>
      <c r="D796" s="3" t="s">
        <v>5618</v>
      </c>
      <c r="E796" s="3" t="s">
        <v>5619</v>
      </c>
      <c r="F796" s="2" t="s">
        <v>5647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f t="shared" si="1"/>
        <v>796</v>
      </c>
      <c r="B797" s="3" t="s">
        <v>5648</v>
      </c>
      <c r="C797" s="3" t="s">
        <v>5649</v>
      </c>
      <c r="D797" s="3" t="s">
        <v>5618</v>
      </c>
      <c r="E797" s="3" t="s">
        <v>5619</v>
      </c>
      <c r="F797" s="2" t="s">
        <v>5650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f t="shared" si="1"/>
        <v>797</v>
      </c>
      <c r="B798" s="3" t="s">
        <v>5651</v>
      </c>
      <c r="C798" s="3" t="s">
        <v>5652</v>
      </c>
      <c r="D798" s="3" t="s">
        <v>5618</v>
      </c>
      <c r="E798" s="3" t="s">
        <v>5619</v>
      </c>
      <c r="F798" s="2" t="s">
        <v>5653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f t="shared" si="1"/>
        <v>798</v>
      </c>
      <c r="B799" s="3" t="s">
        <v>5654</v>
      </c>
      <c r="C799" s="3" t="s">
        <v>5655</v>
      </c>
      <c r="D799" s="3" t="s">
        <v>5618</v>
      </c>
      <c r="E799" s="3" t="s">
        <v>5619</v>
      </c>
      <c r="F799" s="2" t="s">
        <v>5656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f t="shared" si="1"/>
        <v>799</v>
      </c>
      <c r="B800" s="3" t="s">
        <v>5657</v>
      </c>
      <c r="C800" s="3" t="s">
        <v>5658</v>
      </c>
      <c r="D800" s="3" t="s">
        <v>5618</v>
      </c>
      <c r="E800" s="3" t="s">
        <v>5619</v>
      </c>
      <c r="F800" s="2" t="s">
        <v>5659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f t="shared" si="1"/>
        <v>800</v>
      </c>
      <c r="B801" s="3" t="s">
        <v>5660</v>
      </c>
      <c r="C801" s="3" t="s">
        <v>5661</v>
      </c>
      <c r="D801" s="3" t="s">
        <v>5618</v>
      </c>
      <c r="E801" s="3" t="s">
        <v>5619</v>
      </c>
      <c r="F801" s="2" t="s">
        <v>5662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f t="shared" si="1"/>
        <v>801</v>
      </c>
      <c r="B802" s="3" t="s">
        <v>5663</v>
      </c>
      <c r="C802" s="3" t="s">
        <v>5664</v>
      </c>
      <c r="D802" s="3" t="s">
        <v>5618</v>
      </c>
      <c r="E802" s="3" t="s">
        <v>5619</v>
      </c>
      <c r="F802" s="2" t="s">
        <v>5665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f t="shared" si="1"/>
        <v>802</v>
      </c>
      <c r="B803" s="3" t="s">
        <v>5666</v>
      </c>
      <c r="C803" s="3" t="s">
        <v>5667</v>
      </c>
      <c r="D803" s="3" t="s">
        <v>5618</v>
      </c>
      <c r="E803" s="3" t="s">
        <v>5619</v>
      </c>
      <c r="F803" s="2" t="s">
        <v>5668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f t="shared" si="1"/>
        <v>803</v>
      </c>
      <c r="B804" s="3" t="s">
        <v>5669</v>
      </c>
      <c r="C804" s="3" t="s">
        <v>5670</v>
      </c>
      <c r="D804" s="3" t="s">
        <v>5618</v>
      </c>
      <c r="E804" s="3" t="s">
        <v>5619</v>
      </c>
      <c r="F804" s="2" t="s">
        <v>5671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f t="shared" si="1"/>
        <v>804</v>
      </c>
      <c r="B805" s="3" t="s">
        <v>5672</v>
      </c>
      <c r="C805" s="3" t="s">
        <v>5673</v>
      </c>
      <c r="D805" s="3" t="s">
        <v>5618</v>
      </c>
      <c r="E805" s="3" t="s">
        <v>5619</v>
      </c>
      <c r="F805" s="2" t="s">
        <v>5674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f t="shared" si="1"/>
        <v>805</v>
      </c>
      <c r="B806" s="3" t="s">
        <v>5675</v>
      </c>
      <c r="C806" s="3" t="s">
        <v>5676</v>
      </c>
      <c r="D806" s="3" t="s">
        <v>5618</v>
      </c>
      <c r="E806" s="3" t="s">
        <v>5619</v>
      </c>
      <c r="F806" s="2" t="s">
        <v>5677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f t="shared" si="1"/>
        <v>806</v>
      </c>
      <c r="B807" s="3" t="s">
        <v>5678</v>
      </c>
      <c r="C807" s="3" t="s">
        <v>5679</v>
      </c>
      <c r="D807" s="3" t="s">
        <v>5618</v>
      </c>
      <c r="E807" s="3" t="s">
        <v>5619</v>
      </c>
      <c r="F807" s="2" t="s">
        <v>5680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f t="shared" si="1"/>
        <v>807</v>
      </c>
      <c r="B808" s="3" t="s">
        <v>5681</v>
      </c>
      <c r="C808" s="3" t="s">
        <v>5682</v>
      </c>
      <c r="D808" s="3" t="s">
        <v>5618</v>
      </c>
      <c r="E808" s="3" t="s">
        <v>5619</v>
      </c>
      <c r="F808" s="2" t="s">
        <v>5683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f t="shared" si="1"/>
        <v>808</v>
      </c>
      <c r="B809" s="3" t="s">
        <v>5684</v>
      </c>
      <c r="C809" s="3" t="s">
        <v>5685</v>
      </c>
      <c r="D809" s="3" t="s">
        <v>5618</v>
      </c>
      <c r="E809" s="3" t="s">
        <v>5619</v>
      </c>
      <c r="F809" s="2" t="s">
        <v>5686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f t="shared" si="1"/>
        <v>809</v>
      </c>
      <c r="B810" s="3" t="s">
        <v>5687</v>
      </c>
      <c r="C810" s="3" t="s">
        <v>5688</v>
      </c>
      <c r="D810" s="3" t="s">
        <v>5618</v>
      </c>
      <c r="E810" s="3" t="s">
        <v>5619</v>
      </c>
      <c r="F810" s="2" t="s">
        <v>5689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f t="shared" si="1"/>
        <v>810</v>
      </c>
      <c r="B811" s="3" t="s">
        <v>5690</v>
      </c>
      <c r="C811" s="3" t="s">
        <v>5691</v>
      </c>
      <c r="D811" s="3" t="s">
        <v>5618</v>
      </c>
      <c r="E811" s="3" t="s">
        <v>5619</v>
      </c>
      <c r="F811" s="2" t="s">
        <v>5692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f t="shared" si="1"/>
        <v>811</v>
      </c>
      <c r="B812" s="3" t="s">
        <v>5693</v>
      </c>
      <c r="C812" s="3" t="s">
        <v>5694</v>
      </c>
      <c r="D812" s="3" t="s">
        <v>5618</v>
      </c>
      <c r="E812" s="3" t="s">
        <v>5619</v>
      </c>
      <c r="F812" s="2" t="s">
        <v>5695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f t="shared" si="1"/>
        <v>812</v>
      </c>
      <c r="B813" s="3" t="s">
        <v>5696</v>
      </c>
      <c r="C813" s="3" t="s">
        <v>5697</v>
      </c>
      <c r="D813" s="3" t="s">
        <v>5618</v>
      </c>
      <c r="E813" s="3" t="s">
        <v>5619</v>
      </c>
      <c r="F813" s="2" t="s">
        <v>5698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f t="shared" si="1"/>
        <v>813</v>
      </c>
      <c r="B814" s="3" t="s">
        <v>5699</v>
      </c>
      <c r="C814" s="3" t="s">
        <v>5700</v>
      </c>
      <c r="D814" s="3" t="s">
        <v>5618</v>
      </c>
      <c r="E814" s="3" t="s">
        <v>5619</v>
      </c>
      <c r="F814" s="2" t="s">
        <v>5701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f t="shared" si="1"/>
        <v>814</v>
      </c>
      <c r="B815" s="3" t="s">
        <v>5702</v>
      </c>
      <c r="C815" s="3" t="s">
        <v>5703</v>
      </c>
      <c r="D815" s="3" t="s">
        <v>5618</v>
      </c>
      <c r="E815" s="3" t="s">
        <v>5619</v>
      </c>
      <c r="F815" s="2" t="s">
        <v>5704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f t="shared" si="1"/>
        <v>815</v>
      </c>
      <c r="B816" s="3" t="s">
        <v>5705</v>
      </c>
      <c r="C816" s="3" t="s">
        <v>5706</v>
      </c>
      <c r="D816" s="3" t="s">
        <v>5618</v>
      </c>
      <c r="E816" s="3" t="s">
        <v>5619</v>
      </c>
      <c r="F816" s="2" t="s">
        <v>5707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f t="shared" si="1"/>
        <v>816</v>
      </c>
      <c r="B817" s="3" t="s">
        <v>5708</v>
      </c>
      <c r="C817" s="3" t="s">
        <v>5709</v>
      </c>
      <c r="D817" s="3" t="s">
        <v>5618</v>
      </c>
      <c r="E817" s="3" t="s">
        <v>5619</v>
      </c>
      <c r="F817" s="2" t="s">
        <v>5710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f t="shared" si="1"/>
        <v>817</v>
      </c>
      <c r="B818" s="3" t="s">
        <v>5711</v>
      </c>
      <c r="C818" s="3" t="s">
        <v>5712</v>
      </c>
      <c r="D818" s="3" t="s">
        <v>5618</v>
      </c>
      <c r="E818" s="3" t="s">
        <v>5619</v>
      </c>
      <c r="F818" s="2" t="s">
        <v>5713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f t="shared" si="1"/>
        <v>818</v>
      </c>
      <c r="B819" s="3" t="s">
        <v>5714</v>
      </c>
      <c r="C819" s="3" t="s">
        <v>5715</v>
      </c>
      <c r="D819" s="3" t="s">
        <v>5618</v>
      </c>
      <c r="E819" s="3" t="s">
        <v>5619</v>
      </c>
      <c r="F819" s="2" t="s">
        <v>5716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f t="shared" si="1"/>
        <v>819</v>
      </c>
      <c r="B820" s="3" t="s">
        <v>5717</v>
      </c>
      <c r="C820" s="3" t="s">
        <v>5718</v>
      </c>
      <c r="D820" s="3" t="s">
        <v>5618</v>
      </c>
      <c r="E820" s="3" t="s">
        <v>5619</v>
      </c>
      <c r="F820" s="2" t="s">
        <v>5719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f t="shared" si="1"/>
        <v>820</v>
      </c>
      <c r="B821" s="3" t="s">
        <v>5720</v>
      </c>
      <c r="C821" s="3" t="s">
        <v>5721</v>
      </c>
      <c r="D821" s="3" t="s">
        <v>5618</v>
      </c>
      <c r="E821" s="3" t="s">
        <v>5619</v>
      </c>
      <c r="F821" s="2" t="s">
        <v>5722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f t="shared" si="1"/>
        <v>821</v>
      </c>
      <c r="B822" s="3" t="s">
        <v>5723</v>
      </c>
      <c r="C822" s="3" t="s">
        <v>5724</v>
      </c>
      <c r="D822" s="3" t="s">
        <v>5618</v>
      </c>
      <c r="E822" s="3" t="s">
        <v>5619</v>
      </c>
      <c r="F822" s="2" t="s">
        <v>5725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f t="shared" si="1"/>
        <v>822</v>
      </c>
      <c r="B823" s="3" t="s">
        <v>5726</v>
      </c>
      <c r="C823" s="3" t="s">
        <v>5727</v>
      </c>
      <c r="D823" s="3" t="s">
        <v>5618</v>
      </c>
      <c r="E823" s="3" t="s">
        <v>5619</v>
      </c>
      <c r="F823" s="2" t="s">
        <v>5728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f t="shared" si="1"/>
        <v>823</v>
      </c>
      <c r="B824" s="3" t="s">
        <v>5729</v>
      </c>
      <c r="C824" s="3" t="s">
        <v>5730</v>
      </c>
      <c r="D824" s="3" t="s">
        <v>5618</v>
      </c>
      <c r="E824" s="3" t="s">
        <v>5619</v>
      </c>
      <c r="F824" s="2" t="s">
        <v>5731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f t="shared" si="1"/>
        <v>824</v>
      </c>
      <c r="B825" s="3" t="s">
        <v>5732</v>
      </c>
      <c r="C825" s="3" t="s">
        <v>5733</v>
      </c>
      <c r="D825" s="3" t="s">
        <v>5618</v>
      </c>
      <c r="E825" s="3" t="s">
        <v>5619</v>
      </c>
      <c r="F825" s="2" t="s">
        <v>5734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f t="shared" si="1"/>
        <v>825</v>
      </c>
      <c r="B826" s="3" t="s">
        <v>5735</v>
      </c>
      <c r="C826" s="3" t="s">
        <v>5736</v>
      </c>
      <c r="D826" s="3" t="s">
        <v>5618</v>
      </c>
      <c r="E826" s="3" t="s">
        <v>5619</v>
      </c>
      <c r="F826" s="2" t="s">
        <v>5737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f t="shared" si="1"/>
        <v>826</v>
      </c>
      <c r="B827" s="3" t="s">
        <v>5738</v>
      </c>
      <c r="C827" s="3" t="s">
        <v>5739</v>
      </c>
      <c r="D827" s="3" t="s">
        <v>5618</v>
      </c>
      <c r="E827" s="3" t="s">
        <v>5619</v>
      </c>
      <c r="F827" s="2" t="s">
        <v>5740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f t="shared" si="1"/>
        <v>827</v>
      </c>
      <c r="B828" s="3" t="s">
        <v>5741</v>
      </c>
      <c r="C828" s="3" t="s">
        <v>5742</v>
      </c>
      <c r="D828" s="3" t="s">
        <v>5743</v>
      </c>
      <c r="E828" s="3" t="s">
        <v>5744</v>
      </c>
      <c r="F828" s="2" t="s">
        <v>5745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f t="shared" si="1"/>
        <v>828</v>
      </c>
      <c r="B829" s="3" t="s">
        <v>5746</v>
      </c>
      <c r="C829" s="3" t="s">
        <v>5747</v>
      </c>
      <c r="D829" s="3" t="s">
        <v>5743</v>
      </c>
      <c r="E829" s="3" t="s">
        <v>5744</v>
      </c>
      <c r="F829" s="2" t="s">
        <v>5748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f t="shared" si="1"/>
        <v>829</v>
      </c>
      <c r="B830" s="3" t="s">
        <v>5749</v>
      </c>
      <c r="C830" s="3" t="s">
        <v>5750</v>
      </c>
      <c r="D830" s="3" t="s">
        <v>5743</v>
      </c>
      <c r="E830" s="3" t="s">
        <v>5744</v>
      </c>
      <c r="F830" s="2" t="s">
        <v>5751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f t="shared" si="1"/>
        <v>830</v>
      </c>
      <c r="B831" s="3" t="s">
        <v>5752</v>
      </c>
      <c r="C831" s="3" t="s">
        <v>5753</v>
      </c>
      <c r="D831" s="3" t="s">
        <v>5743</v>
      </c>
      <c r="E831" s="3" t="s">
        <v>5744</v>
      </c>
      <c r="F831" s="2" t="s">
        <v>5754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f t="shared" si="1"/>
        <v>831</v>
      </c>
      <c r="B832" s="3" t="s">
        <v>5755</v>
      </c>
      <c r="C832" s="3" t="s">
        <v>5756</v>
      </c>
      <c r="D832" s="3" t="s">
        <v>5743</v>
      </c>
      <c r="E832" s="3" t="s">
        <v>5744</v>
      </c>
      <c r="F832" s="2" t="s">
        <v>5757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f t="shared" si="1"/>
        <v>832</v>
      </c>
      <c r="B833" s="3" t="s">
        <v>5758</v>
      </c>
      <c r="C833" s="3" t="s">
        <v>5759</v>
      </c>
      <c r="D833" s="3" t="s">
        <v>5743</v>
      </c>
      <c r="E833" s="3" t="s">
        <v>5744</v>
      </c>
      <c r="F833" s="2" t="s">
        <v>5760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f t="shared" si="1"/>
        <v>833</v>
      </c>
      <c r="B834" s="3" t="s">
        <v>5761</v>
      </c>
      <c r="C834" s="3" t="s">
        <v>5762</v>
      </c>
      <c r="D834" s="3" t="s">
        <v>5743</v>
      </c>
      <c r="E834" s="3" t="s">
        <v>5744</v>
      </c>
      <c r="F834" s="2" t="s">
        <v>5763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f t="shared" si="1"/>
        <v>834</v>
      </c>
      <c r="B835" s="3" t="s">
        <v>5764</v>
      </c>
      <c r="C835" s="3" t="s">
        <v>5765</v>
      </c>
      <c r="D835" s="3" t="s">
        <v>5743</v>
      </c>
      <c r="E835" s="3" t="s">
        <v>5744</v>
      </c>
      <c r="F835" s="2" t="s">
        <v>5766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f t="shared" si="1"/>
        <v>835</v>
      </c>
      <c r="B836" s="3" t="s">
        <v>5767</v>
      </c>
      <c r="C836" s="3" t="s">
        <v>5768</v>
      </c>
      <c r="D836" s="3" t="s">
        <v>5743</v>
      </c>
      <c r="E836" s="3" t="s">
        <v>5744</v>
      </c>
      <c r="F836" s="2" t="s">
        <v>5769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f t="shared" si="1"/>
        <v>836</v>
      </c>
      <c r="B837" s="3" t="s">
        <v>5770</v>
      </c>
      <c r="C837" s="3" t="s">
        <v>5771</v>
      </c>
      <c r="D837" s="3" t="s">
        <v>5743</v>
      </c>
      <c r="E837" s="3" t="s">
        <v>5744</v>
      </c>
      <c r="F837" s="2" t="s">
        <v>5772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f t="shared" si="1"/>
        <v>837</v>
      </c>
      <c r="B838" s="3" t="s">
        <v>5773</v>
      </c>
      <c r="C838" s="3" t="s">
        <v>5774</v>
      </c>
      <c r="D838" s="3" t="s">
        <v>5743</v>
      </c>
      <c r="E838" s="3" t="s">
        <v>5744</v>
      </c>
      <c r="F838" s="2" t="s">
        <v>5775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f t="shared" si="1"/>
        <v>838</v>
      </c>
      <c r="B839" s="3" t="s">
        <v>5776</v>
      </c>
      <c r="C839" s="3" t="s">
        <v>5777</v>
      </c>
      <c r="D839" s="3" t="s">
        <v>5743</v>
      </c>
      <c r="E839" s="3" t="s">
        <v>5744</v>
      </c>
      <c r="F839" s="2" t="s">
        <v>5778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f t="shared" si="1"/>
        <v>839</v>
      </c>
      <c r="B840" s="3" t="s">
        <v>5779</v>
      </c>
      <c r="C840" s="3" t="s">
        <v>5780</v>
      </c>
      <c r="D840" s="3" t="s">
        <v>5743</v>
      </c>
      <c r="E840" s="3" t="s">
        <v>5744</v>
      </c>
      <c r="F840" s="2" t="s">
        <v>5781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f t="shared" si="1"/>
        <v>840</v>
      </c>
      <c r="B841" s="3" t="s">
        <v>5782</v>
      </c>
      <c r="C841" s="3" t="s">
        <v>5783</v>
      </c>
      <c r="D841" s="3" t="s">
        <v>5743</v>
      </c>
      <c r="E841" s="3" t="s">
        <v>5744</v>
      </c>
      <c r="F841" s="2" t="s">
        <v>5784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f t="shared" si="1"/>
        <v>841</v>
      </c>
      <c r="B842" s="3" t="s">
        <v>5785</v>
      </c>
      <c r="C842" s="3" t="s">
        <v>5786</v>
      </c>
      <c r="D842" s="3" t="s">
        <v>5743</v>
      </c>
      <c r="E842" s="3" t="s">
        <v>5744</v>
      </c>
      <c r="F842" s="2" t="s">
        <v>5787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f t="shared" si="1"/>
        <v>842</v>
      </c>
      <c r="B843" s="3" t="s">
        <v>5788</v>
      </c>
      <c r="C843" s="3" t="s">
        <v>5789</v>
      </c>
      <c r="D843" s="3" t="s">
        <v>5743</v>
      </c>
      <c r="E843" s="3" t="s">
        <v>5744</v>
      </c>
      <c r="F843" s="2" t="s">
        <v>5790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f t="shared" si="1"/>
        <v>843</v>
      </c>
      <c r="B844" s="3" t="s">
        <v>5791</v>
      </c>
      <c r="C844" s="3" t="s">
        <v>5792</v>
      </c>
      <c r="D844" s="3" t="s">
        <v>5743</v>
      </c>
      <c r="E844" s="3" t="s">
        <v>5744</v>
      </c>
      <c r="F844" s="2" t="s">
        <v>5793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f t="shared" si="1"/>
        <v>844</v>
      </c>
      <c r="B845" s="3" t="s">
        <v>5794</v>
      </c>
      <c r="C845" s="3" t="s">
        <v>5795</v>
      </c>
      <c r="D845" s="3" t="s">
        <v>5743</v>
      </c>
      <c r="E845" s="3" t="s">
        <v>5744</v>
      </c>
      <c r="F845" s="2" t="s">
        <v>5796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f t="shared" si="1"/>
        <v>845</v>
      </c>
      <c r="B846" s="3" t="s">
        <v>5797</v>
      </c>
      <c r="C846" s="3" t="s">
        <v>5798</v>
      </c>
      <c r="D846" s="3" t="s">
        <v>5743</v>
      </c>
      <c r="E846" s="3" t="s">
        <v>5744</v>
      </c>
      <c r="F846" s="2" t="s">
        <v>5799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f t="shared" si="1"/>
        <v>846</v>
      </c>
      <c r="B847" s="3" t="s">
        <v>5800</v>
      </c>
      <c r="C847" s="3" t="s">
        <v>5801</v>
      </c>
      <c r="D847" s="3" t="s">
        <v>5743</v>
      </c>
      <c r="E847" s="3" t="s">
        <v>5744</v>
      </c>
      <c r="F847" s="2" t="s">
        <v>5802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f t="shared" si="1"/>
        <v>847</v>
      </c>
      <c r="B848" s="3" t="s">
        <v>5803</v>
      </c>
      <c r="C848" s="3" t="s">
        <v>5804</v>
      </c>
      <c r="D848" s="3" t="s">
        <v>5743</v>
      </c>
      <c r="E848" s="3" t="s">
        <v>5744</v>
      </c>
      <c r="F848" s="2" t="s">
        <v>5805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f t="shared" si="1"/>
        <v>848</v>
      </c>
      <c r="B849" s="3" t="s">
        <v>5806</v>
      </c>
      <c r="C849" s="3" t="s">
        <v>5807</v>
      </c>
      <c r="D849" s="3" t="s">
        <v>5743</v>
      </c>
      <c r="E849" s="3" t="s">
        <v>5744</v>
      </c>
      <c r="F849" s="2" t="s">
        <v>5808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f t="shared" si="1"/>
        <v>849</v>
      </c>
      <c r="B850" s="3" t="s">
        <v>5809</v>
      </c>
      <c r="C850" s="3" t="s">
        <v>5810</v>
      </c>
      <c r="D850" s="3" t="s">
        <v>5743</v>
      </c>
      <c r="E850" s="3" t="s">
        <v>5744</v>
      </c>
      <c r="F850" s="2" t="s">
        <v>5811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f t="shared" si="1"/>
        <v>850</v>
      </c>
      <c r="B851" s="3" t="s">
        <v>5812</v>
      </c>
      <c r="C851" s="3" t="s">
        <v>5813</v>
      </c>
      <c r="D851" s="3" t="s">
        <v>5743</v>
      </c>
      <c r="E851" s="3" t="s">
        <v>5744</v>
      </c>
      <c r="F851" s="2" t="s">
        <v>5814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f t="shared" si="1"/>
        <v>851</v>
      </c>
      <c r="B852" s="3" t="s">
        <v>5815</v>
      </c>
      <c r="C852" s="3" t="s">
        <v>5816</v>
      </c>
      <c r="D852" s="3" t="s">
        <v>5743</v>
      </c>
      <c r="E852" s="3" t="s">
        <v>5744</v>
      </c>
      <c r="F852" s="2" t="s">
        <v>5817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f t="shared" si="1"/>
        <v>852</v>
      </c>
      <c r="B853" s="3" t="s">
        <v>5818</v>
      </c>
      <c r="C853" s="3" t="s">
        <v>5819</v>
      </c>
      <c r="D853" s="3" t="s">
        <v>5743</v>
      </c>
      <c r="E853" s="3" t="s">
        <v>5744</v>
      </c>
      <c r="F853" s="2" t="s">
        <v>5820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f t="shared" si="1"/>
        <v>853</v>
      </c>
      <c r="B854" s="3" t="s">
        <v>5821</v>
      </c>
      <c r="C854" s="3" t="s">
        <v>5822</v>
      </c>
      <c r="D854" s="3" t="s">
        <v>5743</v>
      </c>
      <c r="E854" s="3" t="s">
        <v>5744</v>
      </c>
      <c r="F854" s="2" t="s">
        <v>5823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f t="shared" si="1"/>
        <v>854</v>
      </c>
      <c r="B855" s="3" t="s">
        <v>5824</v>
      </c>
      <c r="C855" s="3" t="s">
        <v>5825</v>
      </c>
      <c r="D855" s="3" t="s">
        <v>5743</v>
      </c>
      <c r="E855" s="3" t="s">
        <v>5744</v>
      </c>
      <c r="F855" s="2" t="s">
        <v>5826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f t="shared" si="1"/>
        <v>855</v>
      </c>
      <c r="B856" s="3" t="s">
        <v>5827</v>
      </c>
      <c r="C856" s="3" t="s">
        <v>5828</v>
      </c>
      <c r="D856" s="3" t="s">
        <v>5743</v>
      </c>
      <c r="E856" s="3" t="s">
        <v>5744</v>
      </c>
      <c r="F856" s="2" t="s">
        <v>5829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f t="shared" si="1"/>
        <v>856</v>
      </c>
      <c r="B857" s="3" t="s">
        <v>5830</v>
      </c>
      <c r="C857" s="3" t="s">
        <v>5831</v>
      </c>
      <c r="D857" s="3" t="s">
        <v>5743</v>
      </c>
      <c r="E857" s="3" t="s">
        <v>5744</v>
      </c>
      <c r="F857" s="2" t="s">
        <v>5832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f t="shared" si="1"/>
        <v>857</v>
      </c>
      <c r="B858" s="3" t="s">
        <v>5833</v>
      </c>
      <c r="C858" s="3" t="s">
        <v>5834</v>
      </c>
      <c r="D858" s="3" t="s">
        <v>5743</v>
      </c>
      <c r="E858" s="3" t="s">
        <v>5744</v>
      </c>
      <c r="F858" s="2" t="s">
        <v>5835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f t="shared" si="1"/>
        <v>858</v>
      </c>
      <c r="B859" s="3" t="s">
        <v>5836</v>
      </c>
      <c r="C859" s="3" t="s">
        <v>5837</v>
      </c>
      <c r="D859" s="3" t="s">
        <v>5743</v>
      </c>
      <c r="E859" s="3" t="s">
        <v>5744</v>
      </c>
      <c r="F859" s="2" t="s">
        <v>5838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f t="shared" si="1"/>
        <v>859</v>
      </c>
      <c r="B860" s="3" t="s">
        <v>5839</v>
      </c>
      <c r="C860" s="3" t="s">
        <v>5840</v>
      </c>
      <c r="D860" s="3" t="s">
        <v>5743</v>
      </c>
      <c r="E860" s="3" t="s">
        <v>5744</v>
      </c>
      <c r="F860" s="2" t="s">
        <v>5841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f t="shared" si="1"/>
        <v>860</v>
      </c>
      <c r="B861" s="3" t="s">
        <v>5842</v>
      </c>
      <c r="C861" s="3" t="s">
        <v>5843</v>
      </c>
      <c r="D861" s="3" t="s">
        <v>5743</v>
      </c>
      <c r="E861" s="3" t="s">
        <v>5744</v>
      </c>
      <c r="F861" s="2" t="s">
        <v>5844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f t="shared" si="1"/>
        <v>861</v>
      </c>
      <c r="B862" s="3" t="s">
        <v>5845</v>
      </c>
      <c r="C862" s="3" t="s">
        <v>5846</v>
      </c>
      <c r="D862" s="3" t="s">
        <v>5743</v>
      </c>
      <c r="E862" s="3" t="s">
        <v>5744</v>
      </c>
      <c r="F862" s="2" t="s">
        <v>5847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f t="shared" si="1"/>
        <v>862</v>
      </c>
      <c r="B863" s="3" t="s">
        <v>5848</v>
      </c>
      <c r="C863" s="3" t="s">
        <v>5849</v>
      </c>
      <c r="D863" s="3" t="s">
        <v>5743</v>
      </c>
      <c r="E863" s="3" t="s">
        <v>5744</v>
      </c>
      <c r="F863" s="2" t="s">
        <v>5850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f t="shared" si="1"/>
        <v>863</v>
      </c>
      <c r="B864" s="3" t="s">
        <v>5851</v>
      </c>
      <c r="C864" s="3" t="s">
        <v>5852</v>
      </c>
      <c r="D864" s="3" t="s">
        <v>5743</v>
      </c>
      <c r="E864" s="3" t="s">
        <v>5744</v>
      </c>
      <c r="F864" s="2" t="s">
        <v>5853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f t="shared" si="1"/>
        <v>864</v>
      </c>
      <c r="B865" s="3" t="s">
        <v>5854</v>
      </c>
      <c r="C865" s="3" t="s">
        <v>5855</v>
      </c>
      <c r="D865" s="3" t="s">
        <v>5743</v>
      </c>
      <c r="E865" s="3" t="s">
        <v>5744</v>
      </c>
      <c r="F865" s="2" t="s">
        <v>5856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f t="shared" si="1"/>
        <v>865</v>
      </c>
      <c r="B866" s="3" t="s">
        <v>5857</v>
      </c>
      <c r="C866" s="3" t="s">
        <v>5858</v>
      </c>
      <c r="D866" s="3" t="s">
        <v>5743</v>
      </c>
      <c r="E866" s="3" t="s">
        <v>5744</v>
      </c>
      <c r="F866" s="2" t="s">
        <v>5859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f t="shared" si="1"/>
        <v>866</v>
      </c>
      <c r="B867" s="3" t="s">
        <v>5860</v>
      </c>
      <c r="C867" s="3" t="s">
        <v>5861</v>
      </c>
      <c r="D867" s="3" t="s">
        <v>5743</v>
      </c>
      <c r="E867" s="3" t="s">
        <v>5744</v>
      </c>
      <c r="F867" s="2" t="s">
        <v>5862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f t="shared" si="1"/>
        <v>867</v>
      </c>
      <c r="B868" s="3" t="s">
        <v>5863</v>
      </c>
      <c r="C868" s="3" t="s">
        <v>5864</v>
      </c>
      <c r="D868" s="3" t="s">
        <v>5865</v>
      </c>
      <c r="E868" s="3" t="s">
        <v>5866</v>
      </c>
      <c r="F868" s="2" t="s">
        <v>5867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f t="shared" si="1"/>
        <v>868</v>
      </c>
      <c r="B869" s="3" t="s">
        <v>5868</v>
      </c>
      <c r="C869" s="3" t="s">
        <v>5869</v>
      </c>
      <c r="D869" s="3" t="s">
        <v>5865</v>
      </c>
      <c r="E869" s="3" t="s">
        <v>5866</v>
      </c>
      <c r="F869" s="2" t="s">
        <v>5870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f t="shared" si="1"/>
        <v>869</v>
      </c>
      <c r="B870" s="3" t="s">
        <v>5871</v>
      </c>
      <c r="C870" s="3" t="s">
        <v>5872</v>
      </c>
      <c r="D870" s="3" t="s">
        <v>5865</v>
      </c>
      <c r="E870" s="3" t="s">
        <v>5866</v>
      </c>
      <c r="F870" s="2" t="s">
        <v>5873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f t="shared" si="1"/>
        <v>870</v>
      </c>
      <c r="B871" s="3" t="s">
        <v>5874</v>
      </c>
      <c r="C871" s="3" t="s">
        <v>5875</v>
      </c>
      <c r="D871" s="3" t="s">
        <v>5865</v>
      </c>
      <c r="E871" s="3" t="s">
        <v>5866</v>
      </c>
      <c r="F871" s="2" t="s">
        <v>5876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f t="shared" si="1"/>
        <v>871</v>
      </c>
      <c r="B872" s="3" t="s">
        <v>5877</v>
      </c>
      <c r="C872" s="3" t="s">
        <v>5878</v>
      </c>
      <c r="D872" s="3" t="s">
        <v>5865</v>
      </c>
      <c r="E872" s="3" t="s">
        <v>5866</v>
      </c>
      <c r="F872" s="2" t="s">
        <v>5879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f t="shared" si="1"/>
        <v>872</v>
      </c>
      <c r="B873" s="3" t="s">
        <v>5880</v>
      </c>
      <c r="C873" s="3" t="s">
        <v>5881</v>
      </c>
      <c r="D873" s="3" t="s">
        <v>5865</v>
      </c>
      <c r="E873" s="3" t="s">
        <v>5866</v>
      </c>
      <c r="F873" s="2" t="s">
        <v>5882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f t="shared" si="1"/>
        <v>873</v>
      </c>
      <c r="B874" s="3" t="s">
        <v>5883</v>
      </c>
      <c r="C874" s="3" t="s">
        <v>5884</v>
      </c>
      <c r="D874" s="3" t="s">
        <v>5865</v>
      </c>
      <c r="E874" s="3" t="s">
        <v>5866</v>
      </c>
      <c r="F874" s="2" t="s">
        <v>5885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f t="shared" si="1"/>
        <v>874</v>
      </c>
      <c r="B875" s="3" t="s">
        <v>5886</v>
      </c>
      <c r="C875" s="3" t="s">
        <v>5887</v>
      </c>
      <c r="D875" s="3" t="s">
        <v>5865</v>
      </c>
      <c r="E875" s="3" t="s">
        <v>5866</v>
      </c>
      <c r="F875" s="2" t="s">
        <v>5888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f t="shared" si="1"/>
        <v>875</v>
      </c>
      <c r="B876" s="3" t="s">
        <v>5889</v>
      </c>
      <c r="C876" s="3" t="s">
        <v>5890</v>
      </c>
      <c r="D876" s="3" t="s">
        <v>5865</v>
      </c>
      <c r="E876" s="3" t="s">
        <v>5866</v>
      </c>
      <c r="F876" s="2" t="s">
        <v>5891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f t="shared" si="1"/>
        <v>876</v>
      </c>
      <c r="B877" s="3" t="s">
        <v>5892</v>
      </c>
      <c r="C877" s="3" t="s">
        <v>5893</v>
      </c>
      <c r="D877" s="3" t="s">
        <v>5865</v>
      </c>
      <c r="E877" s="3" t="s">
        <v>5866</v>
      </c>
      <c r="F877" s="2" t="s">
        <v>5894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f t="shared" si="1"/>
        <v>877</v>
      </c>
      <c r="B878" s="3" t="s">
        <v>5895</v>
      </c>
      <c r="C878" s="3" t="s">
        <v>5896</v>
      </c>
      <c r="D878" s="3" t="s">
        <v>5865</v>
      </c>
      <c r="E878" s="3" t="s">
        <v>5866</v>
      </c>
      <c r="F878" s="2" t="s">
        <v>5897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f t="shared" si="1"/>
        <v>878</v>
      </c>
      <c r="B879" s="3" t="s">
        <v>5898</v>
      </c>
      <c r="C879" s="3" t="s">
        <v>5899</v>
      </c>
      <c r="D879" s="3" t="s">
        <v>5865</v>
      </c>
      <c r="E879" s="3" t="s">
        <v>5866</v>
      </c>
      <c r="F879" s="2" t="s">
        <v>5900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f t="shared" si="1"/>
        <v>879</v>
      </c>
      <c r="B880" s="3" t="s">
        <v>5901</v>
      </c>
      <c r="C880" s="3" t="s">
        <v>5902</v>
      </c>
      <c r="D880" s="3" t="s">
        <v>5865</v>
      </c>
      <c r="E880" s="3" t="s">
        <v>5866</v>
      </c>
      <c r="F880" s="2" t="s">
        <v>5903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f t="shared" si="1"/>
        <v>880</v>
      </c>
      <c r="B881" s="3" t="s">
        <v>5904</v>
      </c>
      <c r="C881" s="3" t="s">
        <v>5905</v>
      </c>
      <c r="D881" s="3" t="s">
        <v>5865</v>
      </c>
      <c r="E881" s="3" t="s">
        <v>5866</v>
      </c>
      <c r="F881" s="2" t="s">
        <v>5906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f t="shared" si="1"/>
        <v>881</v>
      </c>
      <c r="B882" s="3" t="s">
        <v>5907</v>
      </c>
      <c r="C882" s="3" t="s">
        <v>5908</v>
      </c>
      <c r="D882" s="3" t="s">
        <v>5865</v>
      </c>
      <c r="E882" s="3" t="s">
        <v>5866</v>
      </c>
      <c r="F882" s="2" t="s">
        <v>5909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f t="shared" si="1"/>
        <v>882</v>
      </c>
      <c r="B883" s="3" t="s">
        <v>5910</v>
      </c>
      <c r="C883" s="3" t="s">
        <v>5911</v>
      </c>
      <c r="D883" s="3" t="s">
        <v>5865</v>
      </c>
      <c r="E883" s="3" t="s">
        <v>5866</v>
      </c>
      <c r="F883" s="2" t="s">
        <v>5912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f t="shared" si="1"/>
        <v>883</v>
      </c>
      <c r="B884" s="3" t="s">
        <v>5913</v>
      </c>
      <c r="C884" s="3" t="s">
        <v>5914</v>
      </c>
      <c r="D884" s="3" t="s">
        <v>5865</v>
      </c>
      <c r="E884" s="3" t="s">
        <v>5866</v>
      </c>
      <c r="F884" s="2" t="s">
        <v>5915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f t="shared" si="1"/>
        <v>884</v>
      </c>
      <c r="B885" s="3" t="s">
        <v>5916</v>
      </c>
      <c r="C885" s="3" t="s">
        <v>5917</v>
      </c>
      <c r="D885" s="3" t="s">
        <v>5865</v>
      </c>
      <c r="E885" s="3" t="s">
        <v>5866</v>
      </c>
      <c r="F885" s="2" t="s">
        <v>5918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f t="shared" si="1"/>
        <v>885</v>
      </c>
      <c r="B886" s="3" t="s">
        <v>5919</v>
      </c>
      <c r="C886" s="3" t="s">
        <v>5920</v>
      </c>
      <c r="D886" s="3" t="s">
        <v>5865</v>
      </c>
      <c r="E886" s="3" t="s">
        <v>5866</v>
      </c>
      <c r="F886" s="2" t="s">
        <v>5921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f t="shared" si="1"/>
        <v>886</v>
      </c>
      <c r="B887" s="3" t="s">
        <v>5922</v>
      </c>
      <c r="C887" s="3" t="s">
        <v>5923</v>
      </c>
      <c r="D887" s="3" t="s">
        <v>5865</v>
      </c>
      <c r="E887" s="3" t="s">
        <v>5866</v>
      </c>
      <c r="F887" s="2" t="s">
        <v>5924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f t="shared" si="1"/>
        <v>887</v>
      </c>
      <c r="B888" s="3" t="s">
        <v>5925</v>
      </c>
      <c r="C888" s="3" t="s">
        <v>5926</v>
      </c>
      <c r="D888" s="3" t="s">
        <v>5865</v>
      </c>
      <c r="E888" s="3" t="s">
        <v>5866</v>
      </c>
      <c r="F888" s="2" t="s">
        <v>5927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f t="shared" si="1"/>
        <v>888</v>
      </c>
      <c r="B889" s="3" t="s">
        <v>5928</v>
      </c>
      <c r="C889" s="3" t="s">
        <v>5929</v>
      </c>
      <c r="D889" s="3" t="s">
        <v>5865</v>
      </c>
      <c r="E889" s="3" t="s">
        <v>5866</v>
      </c>
      <c r="F889" s="2" t="s">
        <v>5930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f t="shared" si="1"/>
        <v>889</v>
      </c>
      <c r="B890" s="3" t="s">
        <v>5931</v>
      </c>
      <c r="C890" s="3" t="s">
        <v>5932</v>
      </c>
      <c r="D890" s="3" t="s">
        <v>5865</v>
      </c>
      <c r="E890" s="3" t="s">
        <v>5866</v>
      </c>
      <c r="F890" s="2" t="s">
        <v>5933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f t="shared" si="1"/>
        <v>890</v>
      </c>
      <c r="B891" s="3" t="s">
        <v>5934</v>
      </c>
      <c r="C891" s="3" t="s">
        <v>5935</v>
      </c>
      <c r="D891" s="3" t="s">
        <v>5865</v>
      </c>
      <c r="E891" s="3" t="s">
        <v>5866</v>
      </c>
      <c r="F891" s="2" t="s">
        <v>5936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f t="shared" si="1"/>
        <v>891</v>
      </c>
      <c r="B892" s="3" t="s">
        <v>5937</v>
      </c>
      <c r="C892" s="3" t="s">
        <v>5938</v>
      </c>
      <c r="D892" s="3" t="s">
        <v>5865</v>
      </c>
      <c r="E892" s="3" t="s">
        <v>5866</v>
      </c>
      <c r="F892" s="2" t="s">
        <v>5939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f t="shared" si="1"/>
        <v>892</v>
      </c>
      <c r="B893" s="3" t="s">
        <v>5940</v>
      </c>
      <c r="C893" s="3" t="s">
        <v>5941</v>
      </c>
      <c r="D893" s="3" t="s">
        <v>5865</v>
      </c>
      <c r="E893" s="3" t="s">
        <v>5866</v>
      </c>
      <c r="F893" s="2" t="s">
        <v>5942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f t="shared" si="1"/>
        <v>893</v>
      </c>
      <c r="B894" s="3" t="s">
        <v>5943</v>
      </c>
      <c r="C894" s="3" t="s">
        <v>5944</v>
      </c>
      <c r="D894" s="3" t="s">
        <v>5865</v>
      </c>
      <c r="E894" s="3" t="s">
        <v>5866</v>
      </c>
      <c r="F894" s="2" t="s">
        <v>5945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f t="shared" si="1"/>
        <v>894</v>
      </c>
      <c r="B895" s="3" t="s">
        <v>5946</v>
      </c>
      <c r="C895" s="3" t="s">
        <v>5947</v>
      </c>
      <c r="D895" s="3" t="s">
        <v>5865</v>
      </c>
      <c r="E895" s="3" t="s">
        <v>5866</v>
      </c>
      <c r="F895" s="2" t="s">
        <v>5948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f t="shared" si="1"/>
        <v>895</v>
      </c>
      <c r="B896" s="3" t="s">
        <v>5949</v>
      </c>
      <c r="C896" s="3" t="s">
        <v>5950</v>
      </c>
      <c r="D896" s="3" t="s">
        <v>5865</v>
      </c>
      <c r="E896" s="3" t="s">
        <v>5866</v>
      </c>
      <c r="F896" s="2" t="s">
        <v>5951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f t="shared" si="1"/>
        <v>896</v>
      </c>
      <c r="B897" s="3" t="s">
        <v>5952</v>
      </c>
      <c r="C897" s="3" t="s">
        <v>5953</v>
      </c>
      <c r="D897" s="3" t="s">
        <v>5865</v>
      </c>
      <c r="E897" s="3" t="s">
        <v>5866</v>
      </c>
      <c r="F897" s="2" t="s">
        <v>5954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f t="shared" si="1"/>
        <v>897</v>
      </c>
      <c r="B898" s="3" t="s">
        <v>5955</v>
      </c>
      <c r="C898" s="3" t="s">
        <v>5956</v>
      </c>
      <c r="D898" s="3" t="s">
        <v>5865</v>
      </c>
      <c r="E898" s="3" t="s">
        <v>5866</v>
      </c>
      <c r="F898" s="2" t="s">
        <v>5957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f t="shared" si="1"/>
        <v>898</v>
      </c>
      <c r="B899" s="3" t="s">
        <v>5958</v>
      </c>
      <c r="C899" s="3" t="s">
        <v>5959</v>
      </c>
      <c r="D899" s="3" t="s">
        <v>5865</v>
      </c>
      <c r="E899" s="3" t="s">
        <v>5866</v>
      </c>
      <c r="F899" s="2" t="s">
        <v>5960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f t="shared" si="1"/>
        <v>899</v>
      </c>
      <c r="B900" s="3" t="s">
        <v>5961</v>
      </c>
      <c r="C900" s="3" t="s">
        <v>5962</v>
      </c>
      <c r="D900" s="3" t="s">
        <v>5963</v>
      </c>
      <c r="E900" s="3" t="s">
        <v>5964</v>
      </c>
      <c r="F900" s="2" t="s">
        <v>5965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f t="shared" si="1"/>
        <v>900</v>
      </c>
      <c r="B901" s="3" t="s">
        <v>5966</v>
      </c>
      <c r="C901" s="3" t="s">
        <v>5967</v>
      </c>
      <c r="D901" s="3" t="s">
        <v>5963</v>
      </c>
      <c r="E901" s="3" t="s">
        <v>5964</v>
      </c>
      <c r="F901" s="2" t="s">
        <v>5968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f t="shared" si="1"/>
        <v>901</v>
      </c>
      <c r="B902" s="3" t="s">
        <v>5969</v>
      </c>
      <c r="C902" s="3" t="s">
        <v>5970</v>
      </c>
      <c r="D902" s="3" t="s">
        <v>5963</v>
      </c>
      <c r="E902" s="3" t="s">
        <v>5964</v>
      </c>
      <c r="F902" s="2" t="s">
        <v>5971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f t="shared" si="1"/>
        <v>902</v>
      </c>
      <c r="B903" s="3" t="s">
        <v>5972</v>
      </c>
      <c r="C903" s="3" t="s">
        <v>5973</v>
      </c>
      <c r="D903" s="3" t="s">
        <v>5963</v>
      </c>
      <c r="E903" s="3" t="s">
        <v>5964</v>
      </c>
      <c r="F903" s="2" t="s">
        <v>5974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f t="shared" si="1"/>
        <v>903</v>
      </c>
      <c r="B904" s="3" t="s">
        <v>5975</v>
      </c>
      <c r="C904" s="3" t="s">
        <v>5976</v>
      </c>
      <c r="D904" s="3" t="s">
        <v>5963</v>
      </c>
      <c r="E904" s="3" t="s">
        <v>5964</v>
      </c>
      <c r="F904" s="2" t="s">
        <v>5977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f t="shared" si="1"/>
        <v>904</v>
      </c>
      <c r="B905" s="3" t="s">
        <v>5978</v>
      </c>
      <c r="C905" s="3" t="s">
        <v>5979</v>
      </c>
      <c r="D905" s="3" t="s">
        <v>5963</v>
      </c>
      <c r="E905" s="3" t="s">
        <v>5964</v>
      </c>
      <c r="F905" s="2" t="s">
        <v>5980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f t="shared" si="1"/>
        <v>905</v>
      </c>
      <c r="B906" s="3" t="s">
        <v>5981</v>
      </c>
      <c r="C906" s="3" t="s">
        <v>5982</v>
      </c>
      <c r="D906" s="3" t="s">
        <v>5963</v>
      </c>
      <c r="E906" s="3" t="s">
        <v>5964</v>
      </c>
      <c r="F906" s="2" t="s">
        <v>5983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f t="shared" si="1"/>
        <v>906</v>
      </c>
      <c r="B907" s="3" t="s">
        <v>5984</v>
      </c>
      <c r="C907" s="3" t="s">
        <v>5985</v>
      </c>
      <c r="D907" s="3" t="s">
        <v>5963</v>
      </c>
      <c r="E907" s="3" t="s">
        <v>5964</v>
      </c>
      <c r="F907" s="2" t="s">
        <v>5986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f t="shared" si="1"/>
        <v>907</v>
      </c>
      <c r="B908" s="3" t="s">
        <v>5987</v>
      </c>
      <c r="C908" s="3" t="s">
        <v>5988</v>
      </c>
      <c r="D908" s="3" t="s">
        <v>5963</v>
      </c>
      <c r="E908" s="3" t="s">
        <v>5964</v>
      </c>
      <c r="F908" s="2" t="s">
        <v>5989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f t="shared" si="1"/>
        <v>908</v>
      </c>
      <c r="B909" s="3" t="s">
        <v>5990</v>
      </c>
      <c r="C909" s="3" t="s">
        <v>5991</v>
      </c>
      <c r="D909" s="3" t="s">
        <v>5963</v>
      </c>
      <c r="E909" s="3" t="s">
        <v>5964</v>
      </c>
      <c r="F909" s="2" t="s">
        <v>5992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f t="shared" si="1"/>
        <v>909</v>
      </c>
      <c r="B910" s="3" t="s">
        <v>5993</v>
      </c>
      <c r="C910" s="3" t="s">
        <v>5994</v>
      </c>
      <c r="D910" s="3" t="s">
        <v>5963</v>
      </c>
      <c r="E910" s="3" t="s">
        <v>5964</v>
      </c>
      <c r="F910" s="2" t="s">
        <v>5995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f t="shared" si="1"/>
        <v>910</v>
      </c>
      <c r="B911" s="3" t="s">
        <v>5996</v>
      </c>
      <c r="C911" s="3" t="s">
        <v>5997</v>
      </c>
      <c r="D911" s="3" t="s">
        <v>5963</v>
      </c>
      <c r="E911" s="3" t="s">
        <v>5964</v>
      </c>
      <c r="F911" s="2" t="s">
        <v>5998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f t="shared" si="1"/>
        <v>911</v>
      </c>
      <c r="B912" s="3" t="s">
        <v>5999</v>
      </c>
      <c r="C912" s="3" t="s">
        <v>6000</v>
      </c>
      <c r="D912" s="3" t="s">
        <v>5963</v>
      </c>
      <c r="E912" s="3" t="s">
        <v>5964</v>
      </c>
      <c r="F912" s="2" t="s">
        <v>6001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f t="shared" si="1"/>
        <v>912</v>
      </c>
      <c r="B913" s="3" t="s">
        <v>6002</v>
      </c>
      <c r="C913" s="3" t="s">
        <v>6003</v>
      </c>
      <c r="D913" s="3" t="s">
        <v>5963</v>
      </c>
      <c r="E913" s="3" t="s">
        <v>5964</v>
      </c>
      <c r="F913" s="2" t="s">
        <v>6004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f t="shared" si="1"/>
        <v>913</v>
      </c>
      <c r="B914" s="3" t="s">
        <v>6005</v>
      </c>
      <c r="C914" s="3" t="s">
        <v>6006</v>
      </c>
      <c r="D914" s="3" t="s">
        <v>5963</v>
      </c>
      <c r="E914" s="3" t="s">
        <v>5964</v>
      </c>
      <c r="F914" s="2" t="s">
        <v>6007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f t="shared" si="1"/>
        <v>914</v>
      </c>
      <c r="B915" s="3" t="s">
        <v>6008</v>
      </c>
      <c r="C915" s="3" t="s">
        <v>6009</v>
      </c>
      <c r="D915" s="3" t="s">
        <v>5963</v>
      </c>
      <c r="E915" s="3" t="s">
        <v>5964</v>
      </c>
      <c r="F915" s="2" t="s">
        <v>6010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f t="shared" si="1"/>
        <v>915</v>
      </c>
      <c r="B916" s="3" t="s">
        <v>6011</v>
      </c>
      <c r="C916" s="3" t="s">
        <v>6012</v>
      </c>
      <c r="D916" s="3" t="s">
        <v>5963</v>
      </c>
      <c r="E916" s="3" t="s">
        <v>5964</v>
      </c>
      <c r="F916" s="2" t="s">
        <v>6013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f t="shared" si="1"/>
        <v>916</v>
      </c>
      <c r="B917" s="3" t="s">
        <v>6014</v>
      </c>
      <c r="C917" s="3" t="s">
        <v>6015</v>
      </c>
      <c r="D917" s="3" t="s">
        <v>5963</v>
      </c>
      <c r="E917" s="3" t="s">
        <v>5964</v>
      </c>
      <c r="F917" s="2" t="s">
        <v>6016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f t="shared" si="1"/>
        <v>917</v>
      </c>
      <c r="B918" s="3" t="s">
        <v>6017</v>
      </c>
      <c r="C918" s="3" t="s">
        <v>6018</v>
      </c>
      <c r="D918" s="3" t="s">
        <v>5963</v>
      </c>
      <c r="E918" s="3" t="s">
        <v>5964</v>
      </c>
      <c r="F918" s="2" t="s">
        <v>6019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f t="shared" si="1"/>
        <v>918</v>
      </c>
      <c r="B919" s="3" t="s">
        <v>6020</v>
      </c>
      <c r="C919" s="3" t="s">
        <v>6021</v>
      </c>
      <c r="D919" s="3" t="s">
        <v>5963</v>
      </c>
      <c r="E919" s="3" t="s">
        <v>5964</v>
      </c>
      <c r="F919" s="2" t="s">
        <v>6022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f t="shared" si="1"/>
        <v>919</v>
      </c>
      <c r="B920" s="3" t="s">
        <v>6023</v>
      </c>
      <c r="C920" s="3" t="s">
        <v>6024</v>
      </c>
      <c r="D920" s="3" t="s">
        <v>5963</v>
      </c>
      <c r="E920" s="3" t="s">
        <v>5964</v>
      </c>
      <c r="F920" s="2" t="s">
        <v>6025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f t="shared" si="1"/>
        <v>920</v>
      </c>
      <c r="B921" s="3" t="s">
        <v>6026</v>
      </c>
      <c r="C921" s="3" t="s">
        <v>6027</v>
      </c>
      <c r="D921" s="3" t="s">
        <v>5963</v>
      </c>
      <c r="E921" s="3" t="s">
        <v>5964</v>
      </c>
      <c r="F921" s="2" t="s">
        <v>6028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f t="shared" si="1"/>
        <v>921</v>
      </c>
      <c r="B922" s="3" t="s">
        <v>6029</v>
      </c>
      <c r="C922" s="3" t="s">
        <v>6030</v>
      </c>
      <c r="D922" s="3" t="s">
        <v>5963</v>
      </c>
      <c r="E922" s="3" t="s">
        <v>5964</v>
      </c>
      <c r="F922" s="2" t="s">
        <v>6031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f t="shared" si="1"/>
        <v>922</v>
      </c>
      <c r="B923" s="3" t="s">
        <v>6032</v>
      </c>
      <c r="C923" s="3" t="s">
        <v>6033</v>
      </c>
      <c r="D923" s="3" t="s">
        <v>5963</v>
      </c>
      <c r="E923" s="3" t="s">
        <v>5964</v>
      </c>
      <c r="F923" s="2" t="s">
        <v>6034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f t="shared" si="1"/>
        <v>923</v>
      </c>
      <c r="B924" s="3" t="s">
        <v>6035</v>
      </c>
      <c r="C924" s="3" t="s">
        <v>6036</v>
      </c>
      <c r="D924" s="3" t="s">
        <v>5963</v>
      </c>
      <c r="E924" s="3" t="s">
        <v>5964</v>
      </c>
      <c r="F924" s="2" t="s">
        <v>6037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f t="shared" si="1"/>
        <v>924</v>
      </c>
      <c r="B925" s="3" t="s">
        <v>6038</v>
      </c>
      <c r="C925" s="3" t="s">
        <v>6039</v>
      </c>
      <c r="D925" s="3" t="s">
        <v>5963</v>
      </c>
      <c r="E925" s="3" t="s">
        <v>5964</v>
      </c>
      <c r="F925" s="2" t="s">
        <v>6040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f t="shared" si="1"/>
        <v>925</v>
      </c>
      <c r="B926" s="3" t="s">
        <v>6041</v>
      </c>
      <c r="C926" s="3" t="s">
        <v>6042</v>
      </c>
      <c r="D926" s="3" t="s">
        <v>5963</v>
      </c>
      <c r="E926" s="3" t="s">
        <v>5964</v>
      </c>
      <c r="F926" s="2" t="s">
        <v>6043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f t="shared" si="1"/>
        <v>926</v>
      </c>
      <c r="B927" s="3" t="s">
        <v>6044</v>
      </c>
      <c r="C927" s="3" t="s">
        <v>6045</v>
      </c>
      <c r="D927" s="3" t="s">
        <v>5963</v>
      </c>
      <c r="E927" s="3" t="s">
        <v>5964</v>
      </c>
      <c r="F927" s="2" t="s">
        <v>6046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f t="shared" si="1"/>
        <v>927</v>
      </c>
      <c r="B928" s="3" t="s">
        <v>6047</v>
      </c>
      <c r="C928" s="3" t="s">
        <v>6048</v>
      </c>
      <c r="D928" s="3" t="s">
        <v>5963</v>
      </c>
      <c r="E928" s="3" t="s">
        <v>5964</v>
      </c>
      <c r="F928" s="2" t="s">
        <v>6049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f t="shared" si="1"/>
        <v>928</v>
      </c>
      <c r="B929" s="3" t="s">
        <v>6050</v>
      </c>
      <c r="C929" s="3" t="s">
        <v>6051</v>
      </c>
      <c r="D929" s="3" t="s">
        <v>5963</v>
      </c>
      <c r="E929" s="3" t="s">
        <v>5964</v>
      </c>
      <c r="F929" s="2" t="s">
        <v>6052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f t="shared" si="1"/>
        <v>929</v>
      </c>
      <c r="B930" s="3" t="s">
        <v>6053</v>
      </c>
      <c r="C930" s="3" t="s">
        <v>6054</v>
      </c>
      <c r="D930" s="3" t="s">
        <v>5963</v>
      </c>
      <c r="E930" s="3" t="s">
        <v>5964</v>
      </c>
      <c r="F930" s="2" t="s">
        <v>6055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f t="shared" si="1"/>
        <v>930</v>
      </c>
      <c r="B931" s="3" t="s">
        <v>6056</v>
      </c>
      <c r="C931" s="3" t="s">
        <v>6057</v>
      </c>
      <c r="D931" s="3" t="s">
        <v>5963</v>
      </c>
      <c r="E931" s="3" t="s">
        <v>5964</v>
      </c>
      <c r="F931" s="2" t="s">
        <v>6058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f t="shared" si="1"/>
        <v>931</v>
      </c>
      <c r="B932" s="3" t="s">
        <v>6059</v>
      </c>
      <c r="C932" s="3" t="s">
        <v>6060</v>
      </c>
      <c r="D932" s="3" t="s">
        <v>5963</v>
      </c>
      <c r="E932" s="3" t="s">
        <v>5964</v>
      </c>
      <c r="F932" s="2" t="s">
        <v>6061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f t="shared" si="1"/>
        <v>932</v>
      </c>
      <c r="B933" s="3" t="s">
        <v>6062</v>
      </c>
      <c r="C933" s="3" t="s">
        <v>6063</v>
      </c>
      <c r="D933" s="3" t="s">
        <v>5963</v>
      </c>
      <c r="E933" s="3" t="s">
        <v>5964</v>
      </c>
      <c r="F933" s="2" t="s">
        <v>6064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f t="shared" si="1"/>
        <v>933</v>
      </c>
      <c r="B934" s="3" t="s">
        <v>6065</v>
      </c>
      <c r="C934" s="3" t="s">
        <v>6066</v>
      </c>
      <c r="D934" s="3" t="s">
        <v>6067</v>
      </c>
      <c r="E934" s="3" t="s">
        <v>6068</v>
      </c>
      <c r="F934" s="2" t="s">
        <v>6069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f t="shared" si="1"/>
        <v>934</v>
      </c>
      <c r="B935" s="3" t="s">
        <v>6070</v>
      </c>
      <c r="C935" s="3" t="s">
        <v>6071</v>
      </c>
      <c r="D935" s="3" t="s">
        <v>6067</v>
      </c>
      <c r="E935" s="3" t="s">
        <v>6068</v>
      </c>
      <c r="F935" s="2" t="s">
        <v>6072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f t="shared" si="1"/>
        <v>935</v>
      </c>
      <c r="B936" s="3" t="s">
        <v>6073</v>
      </c>
      <c r="C936" s="3" t="s">
        <v>6074</v>
      </c>
      <c r="D936" s="3" t="s">
        <v>6067</v>
      </c>
      <c r="E936" s="3" t="s">
        <v>6068</v>
      </c>
      <c r="F936" s="2" t="s">
        <v>6075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f t="shared" si="1"/>
        <v>936</v>
      </c>
      <c r="B937" s="3" t="s">
        <v>6076</v>
      </c>
      <c r="C937" s="3" t="s">
        <v>6077</v>
      </c>
      <c r="D937" s="3" t="s">
        <v>6067</v>
      </c>
      <c r="E937" s="3" t="s">
        <v>6068</v>
      </c>
      <c r="F937" s="2" t="s">
        <v>6078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f t="shared" si="1"/>
        <v>937</v>
      </c>
      <c r="B938" s="3" t="s">
        <v>6079</v>
      </c>
      <c r="C938" s="3" t="s">
        <v>6080</v>
      </c>
      <c r="D938" s="3" t="s">
        <v>6067</v>
      </c>
      <c r="E938" s="3" t="s">
        <v>6068</v>
      </c>
      <c r="F938" s="2" t="s">
        <v>6081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f t="shared" si="1"/>
        <v>938</v>
      </c>
      <c r="B939" s="3" t="s">
        <v>6082</v>
      </c>
      <c r="C939" s="3" t="s">
        <v>6083</v>
      </c>
      <c r="D939" s="3" t="s">
        <v>6067</v>
      </c>
      <c r="E939" s="3" t="s">
        <v>6068</v>
      </c>
      <c r="F939" s="2" t="s">
        <v>6084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f t="shared" si="1"/>
        <v>939</v>
      </c>
      <c r="B940" s="3" t="s">
        <v>6085</v>
      </c>
      <c r="C940" s="3" t="s">
        <v>6086</v>
      </c>
      <c r="D940" s="3" t="s">
        <v>6067</v>
      </c>
      <c r="E940" s="3" t="s">
        <v>6068</v>
      </c>
      <c r="F940" s="2" t="s">
        <v>6087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f t="shared" si="1"/>
        <v>940</v>
      </c>
      <c r="B941" s="3" t="s">
        <v>6088</v>
      </c>
      <c r="C941" s="3" t="s">
        <v>6089</v>
      </c>
      <c r="D941" s="3" t="s">
        <v>6067</v>
      </c>
      <c r="E941" s="3" t="s">
        <v>6068</v>
      </c>
      <c r="F941" s="2" t="s">
        <v>6090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f t="shared" si="1"/>
        <v>941</v>
      </c>
      <c r="B942" s="3" t="s">
        <v>6091</v>
      </c>
      <c r="C942" s="3" t="s">
        <v>6092</v>
      </c>
      <c r="D942" s="3" t="s">
        <v>6067</v>
      </c>
      <c r="E942" s="3" t="s">
        <v>6068</v>
      </c>
      <c r="F942" s="2" t="s">
        <v>6093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f t="shared" si="1"/>
        <v>942</v>
      </c>
      <c r="B943" s="3" t="s">
        <v>6094</v>
      </c>
      <c r="C943" s="3" t="s">
        <v>6095</v>
      </c>
      <c r="D943" s="3" t="s">
        <v>6067</v>
      </c>
      <c r="E943" s="3" t="s">
        <v>6068</v>
      </c>
      <c r="F943" s="2" t="s">
        <v>6096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f t="shared" si="1"/>
        <v>943</v>
      </c>
      <c r="B944" s="3" t="s">
        <v>6097</v>
      </c>
      <c r="C944" s="3" t="s">
        <v>6098</v>
      </c>
      <c r="D944" s="3" t="s">
        <v>6067</v>
      </c>
      <c r="E944" s="3" t="s">
        <v>6068</v>
      </c>
      <c r="F944" s="2" t="s">
        <v>6099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f t="shared" si="1"/>
        <v>944</v>
      </c>
      <c r="B945" s="3" t="s">
        <v>6100</v>
      </c>
      <c r="C945" s="3" t="s">
        <v>6101</v>
      </c>
      <c r="D945" s="3" t="s">
        <v>6067</v>
      </c>
      <c r="E945" s="3" t="s">
        <v>6068</v>
      </c>
      <c r="F945" s="2" t="s">
        <v>6102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f t="shared" si="1"/>
        <v>945</v>
      </c>
      <c r="B946" s="3" t="s">
        <v>6103</v>
      </c>
      <c r="C946" s="3" t="s">
        <v>6104</v>
      </c>
      <c r="D946" s="3" t="s">
        <v>6067</v>
      </c>
      <c r="E946" s="3" t="s">
        <v>6068</v>
      </c>
      <c r="F946" s="2" t="s">
        <v>6105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f t="shared" si="1"/>
        <v>946</v>
      </c>
      <c r="B947" s="3" t="s">
        <v>6106</v>
      </c>
      <c r="C947" s="3" t="s">
        <v>6107</v>
      </c>
      <c r="D947" s="3" t="s">
        <v>6067</v>
      </c>
      <c r="E947" s="3" t="s">
        <v>6068</v>
      </c>
      <c r="F947" s="2" t="s">
        <v>6108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f t="shared" si="1"/>
        <v>947</v>
      </c>
      <c r="B948" s="3" t="s">
        <v>6109</v>
      </c>
      <c r="C948" s="3" t="s">
        <v>6110</v>
      </c>
      <c r="D948" s="3" t="s">
        <v>6067</v>
      </c>
      <c r="E948" s="3" t="s">
        <v>6068</v>
      </c>
      <c r="F948" s="2" t="s">
        <v>6111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f t="shared" si="1"/>
        <v>948</v>
      </c>
      <c r="B949" s="3" t="s">
        <v>6112</v>
      </c>
      <c r="C949" s="3" t="s">
        <v>6113</v>
      </c>
      <c r="D949" s="3" t="s">
        <v>6067</v>
      </c>
      <c r="E949" s="3" t="s">
        <v>6068</v>
      </c>
      <c r="F949" s="2" t="s">
        <v>6114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f t="shared" si="1"/>
        <v>949</v>
      </c>
      <c r="B950" s="3" t="s">
        <v>6115</v>
      </c>
      <c r="C950" s="3" t="s">
        <v>6116</v>
      </c>
      <c r="D950" s="3" t="s">
        <v>6067</v>
      </c>
      <c r="E950" s="3" t="s">
        <v>6068</v>
      </c>
      <c r="F950" s="2" t="s">
        <v>6117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f t="shared" si="1"/>
        <v>950</v>
      </c>
      <c r="B951" s="3" t="s">
        <v>6118</v>
      </c>
      <c r="C951" s="3" t="s">
        <v>6119</v>
      </c>
      <c r="D951" s="3" t="s">
        <v>6067</v>
      </c>
      <c r="E951" s="3" t="s">
        <v>6068</v>
      </c>
      <c r="F951" s="2" t="s">
        <v>6120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f t="shared" si="1"/>
        <v>951</v>
      </c>
      <c r="B952" s="3" t="s">
        <v>6121</v>
      </c>
      <c r="C952" s="3" t="s">
        <v>6122</v>
      </c>
      <c r="D952" s="3" t="s">
        <v>6067</v>
      </c>
      <c r="E952" s="3" t="s">
        <v>6068</v>
      </c>
      <c r="F952" s="2" t="s">
        <v>6123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f t="shared" si="1"/>
        <v>952</v>
      </c>
      <c r="B953" s="3" t="s">
        <v>6124</v>
      </c>
      <c r="C953" s="3" t="s">
        <v>6125</v>
      </c>
      <c r="D953" s="3" t="s">
        <v>6067</v>
      </c>
      <c r="E953" s="3" t="s">
        <v>6068</v>
      </c>
      <c r="F953" s="2" t="s">
        <v>6126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f t="shared" si="1"/>
        <v>953</v>
      </c>
      <c r="B954" s="3" t="s">
        <v>6127</v>
      </c>
      <c r="C954" s="3" t="s">
        <v>6128</v>
      </c>
      <c r="D954" s="3" t="s">
        <v>6067</v>
      </c>
      <c r="E954" s="3" t="s">
        <v>6068</v>
      </c>
      <c r="F954" s="2" t="s">
        <v>6129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f t="shared" si="1"/>
        <v>954</v>
      </c>
      <c r="B955" s="3" t="s">
        <v>6130</v>
      </c>
      <c r="C955" s="3" t="s">
        <v>6131</v>
      </c>
      <c r="D955" s="3" t="s">
        <v>6067</v>
      </c>
      <c r="E955" s="3" t="s">
        <v>6068</v>
      </c>
      <c r="F955" s="2" t="s">
        <v>6132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f t="shared" si="1"/>
        <v>955</v>
      </c>
      <c r="B956" s="3" t="s">
        <v>6133</v>
      </c>
      <c r="C956" s="3" t="s">
        <v>6134</v>
      </c>
      <c r="D956" s="3" t="s">
        <v>6067</v>
      </c>
      <c r="E956" s="3" t="s">
        <v>6068</v>
      </c>
      <c r="F956" s="2" t="s">
        <v>6135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f t="shared" si="1"/>
        <v>956</v>
      </c>
      <c r="B957" s="3" t="s">
        <v>6136</v>
      </c>
      <c r="C957" s="3" t="s">
        <v>6137</v>
      </c>
      <c r="D957" s="3" t="s">
        <v>6067</v>
      </c>
      <c r="E957" s="3" t="s">
        <v>6068</v>
      </c>
      <c r="F957" s="2" t="s">
        <v>6138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f t="shared" si="1"/>
        <v>957</v>
      </c>
      <c r="B958" s="3" t="s">
        <v>6139</v>
      </c>
      <c r="C958" s="3" t="s">
        <v>6140</v>
      </c>
      <c r="D958" s="3" t="s">
        <v>6067</v>
      </c>
      <c r="E958" s="3" t="s">
        <v>6068</v>
      </c>
      <c r="F958" s="2" t="s">
        <v>6141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f t="shared" si="1"/>
        <v>958</v>
      </c>
      <c r="B959" s="3" t="s">
        <v>6142</v>
      </c>
      <c r="C959" s="3" t="s">
        <v>6143</v>
      </c>
      <c r="D959" s="3" t="s">
        <v>6067</v>
      </c>
      <c r="E959" s="3" t="s">
        <v>6068</v>
      </c>
      <c r="F959" s="2" t="s">
        <v>6144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f t="shared" si="1"/>
        <v>959</v>
      </c>
      <c r="B960" s="3" t="s">
        <v>6145</v>
      </c>
      <c r="C960" s="3" t="s">
        <v>6146</v>
      </c>
      <c r="D960" s="3" t="s">
        <v>6067</v>
      </c>
      <c r="E960" s="3" t="s">
        <v>6068</v>
      </c>
      <c r="F960" s="2" t="s">
        <v>6147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f t="shared" si="1"/>
        <v>960</v>
      </c>
      <c r="B961" s="3" t="s">
        <v>6148</v>
      </c>
      <c r="C961" s="3" t="s">
        <v>6149</v>
      </c>
      <c r="D961" s="3" t="s">
        <v>6067</v>
      </c>
      <c r="E961" s="3" t="s">
        <v>6068</v>
      </c>
      <c r="F961" s="2" t="s">
        <v>6150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f t="shared" si="1"/>
        <v>961</v>
      </c>
      <c r="B962" s="3" t="s">
        <v>6151</v>
      </c>
      <c r="C962" s="3" t="s">
        <v>6152</v>
      </c>
      <c r="D962" s="3" t="s">
        <v>6067</v>
      </c>
      <c r="E962" s="3" t="s">
        <v>6068</v>
      </c>
      <c r="F962" s="2" t="s">
        <v>6153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f t="shared" si="1"/>
        <v>962</v>
      </c>
      <c r="B963" s="3" t="s">
        <v>6154</v>
      </c>
      <c r="C963" s="3" t="s">
        <v>6155</v>
      </c>
      <c r="D963" s="3" t="s">
        <v>6067</v>
      </c>
      <c r="E963" s="3" t="s">
        <v>6068</v>
      </c>
      <c r="F963" s="2" t="s">
        <v>6156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f t="shared" si="1"/>
        <v>963</v>
      </c>
      <c r="B964" s="3" t="s">
        <v>6157</v>
      </c>
      <c r="C964" s="3" t="s">
        <v>6158</v>
      </c>
      <c r="D964" s="3" t="s">
        <v>6067</v>
      </c>
      <c r="E964" s="3" t="s">
        <v>6068</v>
      </c>
      <c r="F964" s="2" t="s">
        <v>6159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f t="shared" si="1"/>
        <v>964</v>
      </c>
      <c r="B965" s="3" t="s">
        <v>6160</v>
      </c>
      <c r="C965" s="3" t="s">
        <v>6161</v>
      </c>
      <c r="D965" s="3" t="s">
        <v>6067</v>
      </c>
      <c r="E965" s="3" t="s">
        <v>6068</v>
      </c>
      <c r="F965" s="2" t="s">
        <v>6162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f t="shared" si="1"/>
        <v>965</v>
      </c>
      <c r="B966" s="3" t="s">
        <v>6163</v>
      </c>
      <c r="C966" s="3" t="s">
        <v>6164</v>
      </c>
      <c r="D966" s="3" t="s">
        <v>6067</v>
      </c>
      <c r="E966" s="3" t="s">
        <v>6068</v>
      </c>
      <c r="F966" s="2" t="s">
        <v>6165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f t="shared" si="1"/>
        <v>966</v>
      </c>
      <c r="B967" s="3" t="s">
        <v>6166</v>
      </c>
      <c r="C967" s="3" t="s">
        <v>6167</v>
      </c>
      <c r="D967" s="3" t="s">
        <v>6067</v>
      </c>
      <c r="E967" s="3" t="s">
        <v>6068</v>
      </c>
      <c r="F967" s="2" t="s">
        <v>6168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f t="shared" si="1"/>
        <v>967</v>
      </c>
      <c r="B968" s="3" t="s">
        <v>6169</v>
      </c>
      <c r="C968" s="3" t="s">
        <v>6170</v>
      </c>
      <c r="D968" s="3" t="s">
        <v>6067</v>
      </c>
      <c r="E968" s="3" t="s">
        <v>6068</v>
      </c>
      <c r="F968" s="2" t="s">
        <v>6171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f t="shared" si="1"/>
        <v>968</v>
      </c>
      <c r="B969" s="3" t="s">
        <v>6172</v>
      </c>
      <c r="C969" s="3" t="s">
        <v>6173</v>
      </c>
      <c r="D969" s="3" t="s">
        <v>6067</v>
      </c>
      <c r="E969" s="3" t="s">
        <v>6068</v>
      </c>
      <c r="F969" s="2" t="s">
        <v>6174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f t="shared" si="1"/>
        <v>969</v>
      </c>
      <c r="B970" s="3" t="s">
        <v>6175</v>
      </c>
      <c r="C970" s="3" t="s">
        <v>6176</v>
      </c>
      <c r="D970" s="3" t="s">
        <v>6067</v>
      </c>
      <c r="E970" s="3" t="s">
        <v>6068</v>
      </c>
      <c r="F970" s="2" t="s">
        <v>6177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f t="shared" si="1"/>
        <v>970</v>
      </c>
      <c r="B971" s="3" t="s">
        <v>6178</v>
      </c>
      <c r="C971" s="3" t="s">
        <v>6179</v>
      </c>
      <c r="D971" s="3" t="s">
        <v>6180</v>
      </c>
      <c r="E971" s="3" t="s">
        <v>6181</v>
      </c>
      <c r="F971" s="2" t="s">
        <v>6182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f t="shared" si="1"/>
        <v>971</v>
      </c>
      <c r="B972" s="3" t="s">
        <v>6183</v>
      </c>
      <c r="C972" s="3" t="s">
        <v>6184</v>
      </c>
      <c r="D972" s="3" t="s">
        <v>6180</v>
      </c>
      <c r="E972" s="3" t="s">
        <v>6181</v>
      </c>
      <c r="F972" s="2" t="s">
        <v>6185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f t="shared" si="1"/>
        <v>972</v>
      </c>
      <c r="B973" s="3" t="s">
        <v>6186</v>
      </c>
      <c r="C973" s="3" t="s">
        <v>6187</v>
      </c>
      <c r="D973" s="3" t="s">
        <v>6180</v>
      </c>
      <c r="E973" s="3" t="s">
        <v>6181</v>
      </c>
      <c r="F973" s="2" t="s">
        <v>6188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f t="shared" si="1"/>
        <v>973</v>
      </c>
      <c r="B974" s="3" t="s">
        <v>6189</v>
      </c>
      <c r="C974" s="3" t="s">
        <v>6190</v>
      </c>
      <c r="D974" s="3" t="s">
        <v>6180</v>
      </c>
      <c r="E974" s="3" t="s">
        <v>6181</v>
      </c>
      <c r="F974" s="2" t="s">
        <v>6191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f t="shared" si="1"/>
        <v>974</v>
      </c>
      <c r="B975" s="3" t="s">
        <v>6192</v>
      </c>
      <c r="C975" s="3" t="s">
        <v>6193</v>
      </c>
      <c r="D975" s="3" t="s">
        <v>6180</v>
      </c>
      <c r="E975" s="3" t="s">
        <v>6181</v>
      </c>
      <c r="F975" s="2" t="s">
        <v>6194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f t="shared" si="1"/>
        <v>975</v>
      </c>
      <c r="B976" s="3" t="s">
        <v>6195</v>
      </c>
      <c r="C976" s="3" t="s">
        <v>6196</v>
      </c>
      <c r="D976" s="3" t="s">
        <v>6180</v>
      </c>
      <c r="E976" s="3" t="s">
        <v>6181</v>
      </c>
      <c r="F976" s="2" t="s">
        <v>6197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f t="shared" si="1"/>
        <v>976</v>
      </c>
      <c r="B977" s="3" t="s">
        <v>6198</v>
      </c>
      <c r="C977" s="3" t="s">
        <v>6199</v>
      </c>
      <c r="D977" s="3" t="s">
        <v>6180</v>
      </c>
      <c r="E977" s="3" t="s">
        <v>6181</v>
      </c>
      <c r="F977" s="2" t="s">
        <v>6200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f t="shared" si="1"/>
        <v>977</v>
      </c>
      <c r="B978" s="3" t="s">
        <v>6201</v>
      </c>
      <c r="C978" s="3" t="s">
        <v>6202</v>
      </c>
      <c r="D978" s="3" t="s">
        <v>6180</v>
      </c>
      <c r="E978" s="3" t="s">
        <v>6181</v>
      </c>
      <c r="F978" s="2" t="s">
        <v>6203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f t="shared" si="1"/>
        <v>978</v>
      </c>
      <c r="B979" s="3" t="s">
        <v>6204</v>
      </c>
      <c r="C979" s="3" t="s">
        <v>6205</v>
      </c>
      <c r="D979" s="3" t="s">
        <v>6180</v>
      </c>
      <c r="E979" s="3" t="s">
        <v>6181</v>
      </c>
      <c r="F979" s="2" t="s">
        <v>6206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f t="shared" si="1"/>
        <v>979</v>
      </c>
      <c r="B980" s="3" t="s">
        <v>6207</v>
      </c>
      <c r="C980" s="3" t="s">
        <v>6208</v>
      </c>
      <c r="D980" s="3" t="s">
        <v>6180</v>
      </c>
      <c r="E980" s="3" t="s">
        <v>6181</v>
      </c>
      <c r="F980" s="2" t="s">
        <v>6209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f t="shared" si="1"/>
        <v>980</v>
      </c>
      <c r="B981" s="3" t="s">
        <v>6210</v>
      </c>
      <c r="C981" s="3" t="s">
        <v>6211</v>
      </c>
      <c r="D981" s="3" t="s">
        <v>6180</v>
      </c>
      <c r="E981" s="3" t="s">
        <v>6181</v>
      </c>
      <c r="F981" s="2" t="s">
        <v>6212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f t="shared" si="1"/>
        <v>981</v>
      </c>
      <c r="B982" s="3" t="s">
        <v>6213</v>
      </c>
      <c r="C982" s="3" t="s">
        <v>6214</v>
      </c>
      <c r="D982" s="3" t="s">
        <v>6180</v>
      </c>
      <c r="E982" s="3" t="s">
        <v>6181</v>
      </c>
      <c r="F982" s="2" t="s">
        <v>6215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f t="shared" si="1"/>
        <v>982</v>
      </c>
      <c r="B983" s="3" t="s">
        <v>6216</v>
      </c>
      <c r="C983" s="3" t="s">
        <v>6217</v>
      </c>
      <c r="D983" s="3" t="s">
        <v>6180</v>
      </c>
      <c r="E983" s="3" t="s">
        <v>6181</v>
      </c>
      <c r="F983" s="2" t="s">
        <v>6218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f t="shared" si="1"/>
        <v>983</v>
      </c>
      <c r="B984" s="3" t="s">
        <v>6219</v>
      </c>
      <c r="C984" s="3" t="s">
        <v>6220</v>
      </c>
      <c r="D984" s="3" t="s">
        <v>6180</v>
      </c>
      <c r="E984" s="3" t="s">
        <v>6181</v>
      </c>
      <c r="F984" s="2" t="s">
        <v>6221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f t="shared" si="1"/>
        <v>984</v>
      </c>
      <c r="B985" s="3" t="s">
        <v>6222</v>
      </c>
      <c r="C985" s="3" t="s">
        <v>6223</v>
      </c>
      <c r="D985" s="3" t="s">
        <v>6180</v>
      </c>
      <c r="E985" s="3" t="s">
        <v>6181</v>
      </c>
      <c r="F985" s="2" t="s">
        <v>6224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f t="shared" si="1"/>
        <v>985</v>
      </c>
      <c r="B986" s="3" t="s">
        <v>6225</v>
      </c>
      <c r="C986" s="3" t="s">
        <v>6226</v>
      </c>
      <c r="D986" s="3" t="s">
        <v>6180</v>
      </c>
      <c r="E986" s="3" t="s">
        <v>6181</v>
      </c>
      <c r="F986" s="2" t="s">
        <v>6227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f t="shared" si="1"/>
        <v>986</v>
      </c>
      <c r="B987" s="3" t="s">
        <v>6228</v>
      </c>
      <c r="C987" s="3" t="s">
        <v>6229</v>
      </c>
      <c r="D987" s="3" t="s">
        <v>6180</v>
      </c>
      <c r="E987" s="3" t="s">
        <v>6181</v>
      </c>
      <c r="F987" s="2" t="s">
        <v>6230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f t="shared" si="1"/>
        <v>987</v>
      </c>
      <c r="B988" s="3" t="s">
        <v>6231</v>
      </c>
      <c r="C988" s="3" t="s">
        <v>6232</v>
      </c>
      <c r="D988" s="3" t="s">
        <v>6180</v>
      </c>
      <c r="E988" s="3" t="s">
        <v>6181</v>
      </c>
      <c r="F988" s="2" t="s">
        <v>6233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f t="shared" si="1"/>
        <v>988</v>
      </c>
      <c r="B989" s="3" t="s">
        <v>6234</v>
      </c>
      <c r="C989" s="3" t="s">
        <v>6235</v>
      </c>
      <c r="D989" s="3" t="s">
        <v>6180</v>
      </c>
      <c r="E989" s="3" t="s">
        <v>6181</v>
      </c>
      <c r="F989" s="2" t="s">
        <v>6236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f t="shared" si="1"/>
        <v>989</v>
      </c>
      <c r="B990" s="3" t="s">
        <v>6237</v>
      </c>
      <c r="C990" s="3" t="s">
        <v>6238</v>
      </c>
      <c r="D990" s="3" t="s">
        <v>6180</v>
      </c>
      <c r="E990" s="3" t="s">
        <v>6181</v>
      </c>
      <c r="F990" s="2" t="s">
        <v>6239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f t="shared" si="1"/>
        <v>990</v>
      </c>
      <c r="B991" s="3" t="s">
        <v>6240</v>
      </c>
      <c r="C991" s="3" t="s">
        <v>6241</v>
      </c>
      <c r="D991" s="3" t="s">
        <v>6180</v>
      </c>
      <c r="E991" s="3" t="s">
        <v>6181</v>
      </c>
      <c r="F991" s="2" t="s">
        <v>6242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f t="shared" si="1"/>
        <v>991</v>
      </c>
      <c r="B992" s="3" t="s">
        <v>6243</v>
      </c>
      <c r="C992" s="3" t="s">
        <v>6244</v>
      </c>
      <c r="D992" s="3" t="s">
        <v>6180</v>
      </c>
      <c r="E992" s="3" t="s">
        <v>6181</v>
      </c>
      <c r="F992" s="2" t="s">
        <v>6245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f t="shared" si="1"/>
        <v>992</v>
      </c>
      <c r="B993" s="3" t="s">
        <v>6246</v>
      </c>
      <c r="C993" s="3" t="s">
        <v>6247</v>
      </c>
      <c r="D993" s="3" t="s">
        <v>6180</v>
      </c>
      <c r="E993" s="3" t="s">
        <v>6181</v>
      </c>
      <c r="F993" s="2" t="s">
        <v>6248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f t="shared" si="1"/>
        <v>993</v>
      </c>
      <c r="B994" s="3" t="s">
        <v>6249</v>
      </c>
      <c r="C994" s="3" t="s">
        <v>6250</v>
      </c>
      <c r="D994" s="3" t="s">
        <v>6180</v>
      </c>
      <c r="E994" s="3" t="s">
        <v>6181</v>
      </c>
      <c r="F994" s="2" t="s">
        <v>6251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f t="shared" si="1"/>
        <v>994</v>
      </c>
      <c r="B995" s="3" t="s">
        <v>6252</v>
      </c>
      <c r="C995" s="3" t="s">
        <v>6253</v>
      </c>
      <c r="D995" s="3" t="s">
        <v>6180</v>
      </c>
      <c r="E995" s="3" t="s">
        <v>6181</v>
      </c>
      <c r="F995" s="2" t="s">
        <v>6254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f t="shared" si="1"/>
        <v>995</v>
      </c>
      <c r="B996" s="3" t="s">
        <v>6255</v>
      </c>
      <c r="C996" s="3" t="s">
        <v>6256</v>
      </c>
      <c r="D996" s="3" t="s">
        <v>6180</v>
      </c>
      <c r="E996" s="3" t="s">
        <v>6181</v>
      </c>
      <c r="F996" s="2" t="s">
        <v>6257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f t="shared" si="1"/>
        <v>996</v>
      </c>
      <c r="B997" s="3" t="s">
        <v>6258</v>
      </c>
      <c r="C997" s="3" t="s">
        <v>6259</v>
      </c>
      <c r="D997" s="3" t="s">
        <v>6180</v>
      </c>
      <c r="E997" s="3" t="s">
        <v>6181</v>
      </c>
      <c r="F997" s="2" t="s">
        <v>6260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f t="shared" si="1"/>
        <v>997</v>
      </c>
      <c r="B998" s="3" t="s">
        <v>6261</v>
      </c>
      <c r="C998" s="3" t="s">
        <v>6262</v>
      </c>
      <c r="D998" s="3" t="s">
        <v>6180</v>
      </c>
      <c r="E998" s="3" t="s">
        <v>6181</v>
      </c>
      <c r="F998" s="2" t="s">
        <v>6263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f t="shared" si="1"/>
        <v>998</v>
      </c>
      <c r="B999" s="3" t="s">
        <v>6264</v>
      </c>
      <c r="C999" s="3" t="s">
        <v>6265</v>
      </c>
      <c r="D999" s="3" t="s">
        <v>6180</v>
      </c>
      <c r="E999" s="3" t="s">
        <v>6181</v>
      </c>
      <c r="F999" s="2" t="s">
        <v>6266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f t="shared" si="1"/>
        <v>999</v>
      </c>
      <c r="B1000" s="3" t="s">
        <v>6267</v>
      </c>
      <c r="C1000" s="3" t="s">
        <v>6268</v>
      </c>
      <c r="D1000" s="3" t="s">
        <v>6180</v>
      </c>
      <c r="E1000" s="3" t="s">
        <v>6181</v>
      </c>
      <c r="F1000" s="2" t="s">
        <v>6269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f t="shared" si="1"/>
        <v>1000</v>
      </c>
      <c r="B1001" s="3" t="s">
        <v>6270</v>
      </c>
      <c r="C1001" s="3" t="s">
        <v>6271</v>
      </c>
      <c r="D1001" s="3" t="s">
        <v>6180</v>
      </c>
      <c r="E1001" s="3" t="s">
        <v>6181</v>
      </c>
      <c r="F1001" s="2" t="s">
        <v>6272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f t="shared" si="1"/>
        <v>1001</v>
      </c>
      <c r="B1002" s="3" t="s">
        <v>6273</v>
      </c>
      <c r="C1002" s="3" t="s">
        <v>6274</v>
      </c>
      <c r="D1002" s="3" t="s">
        <v>6180</v>
      </c>
      <c r="E1002" s="3" t="s">
        <v>6181</v>
      </c>
      <c r="F1002" s="2" t="s">
        <v>6275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f t="shared" si="1"/>
        <v>1002</v>
      </c>
      <c r="B1003" s="3" t="s">
        <v>6276</v>
      </c>
      <c r="C1003" s="3" t="s">
        <v>6277</v>
      </c>
      <c r="D1003" s="3" t="s">
        <v>6278</v>
      </c>
      <c r="E1003" s="3" t="s">
        <v>6279</v>
      </c>
      <c r="F1003" s="2" t="s">
        <v>6280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f t="shared" si="1"/>
        <v>1003</v>
      </c>
      <c r="B1004" s="3" t="s">
        <v>6281</v>
      </c>
      <c r="C1004" s="3" t="s">
        <v>6282</v>
      </c>
      <c r="D1004" s="3" t="s">
        <v>6278</v>
      </c>
      <c r="E1004" s="3" t="s">
        <v>6279</v>
      </c>
      <c r="F1004" s="2" t="s">
        <v>6283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f t="shared" si="1"/>
        <v>1004</v>
      </c>
      <c r="B1005" s="3" t="s">
        <v>6284</v>
      </c>
      <c r="C1005" s="3" t="s">
        <v>6285</v>
      </c>
      <c r="D1005" s="3" t="s">
        <v>6278</v>
      </c>
      <c r="E1005" s="3" t="s">
        <v>6279</v>
      </c>
      <c r="F1005" s="2" t="s">
        <v>6286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f t="shared" si="1"/>
        <v>1005</v>
      </c>
      <c r="B1006" s="3" t="s">
        <v>6287</v>
      </c>
      <c r="C1006" s="3" t="s">
        <v>6288</v>
      </c>
      <c r="D1006" s="3" t="s">
        <v>6278</v>
      </c>
      <c r="E1006" s="3" t="s">
        <v>6279</v>
      </c>
      <c r="F1006" s="2" t="s">
        <v>6289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f t="shared" si="1"/>
        <v>1006</v>
      </c>
      <c r="B1007" s="3" t="s">
        <v>6290</v>
      </c>
      <c r="C1007" s="3" t="s">
        <v>6291</v>
      </c>
      <c r="D1007" s="3" t="s">
        <v>6278</v>
      </c>
      <c r="E1007" s="3" t="s">
        <v>6279</v>
      </c>
      <c r="F1007" s="2" t="s">
        <v>6292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f t="shared" si="1"/>
        <v>1007</v>
      </c>
      <c r="B1008" s="3" t="s">
        <v>6293</v>
      </c>
      <c r="C1008" s="3" t="s">
        <v>6294</v>
      </c>
      <c r="D1008" s="3" t="s">
        <v>6278</v>
      </c>
      <c r="E1008" s="3" t="s">
        <v>6279</v>
      </c>
      <c r="F1008" s="2" t="s">
        <v>6295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f t="shared" si="1"/>
        <v>1008</v>
      </c>
      <c r="B1009" s="3" t="s">
        <v>6296</v>
      </c>
      <c r="C1009" s="3" t="s">
        <v>6297</v>
      </c>
      <c r="D1009" s="3" t="s">
        <v>6278</v>
      </c>
      <c r="E1009" s="3" t="s">
        <v>6279</v>
      </c>
      <c r="F1009" s="2" t="s">
        <v>6298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f t="shared" si="1"/>
        <v>1009</v>
      </c>
      <c r="B1010" s="3" t="s">
        <v>6299</v>
      </c>
      <c r="C1010" s="3" t="s">
        <v>6300</v>
      </c>
      <c r="D1010" s="3" t="s">
        <v>6278</v>
      </c>
      <c r="E1010" s="3" t="s">
        <v>6279</v>
      </c>
      <c r="F1010" s="2" t="s">
        <v>6301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f t="shared" si="1"/>
        <v>1010</v>
      </c>
      <c r="B1011" s="3" t="s">
        <v>6302</v>
      </c>
      <c r="C1011" s="3" t="s">
        <v>6303</v>
      </c>
      <c r="D1011" s="3" t="s">
        <v>6278</v>
      </c>
      <c r="E1011" s="3" t="s">
        <v>6279</v>
      </c>
      <c r="F1011" s="2" t="s">
        <v>6304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f t="shared" si="1"/>
        <v>1011</v>
      </c>
      <c r="B1012" s="3" t="s">
        <v>6305</v>
      </c>
      <c r="C1012" s="3" t="s">
        <v>6306</v>
      </c>
      <c r="D1012" s="3" t="s">
        <v>6278</v>
      </c>
      <c r="E1012" s="3" t="s">
        <v>6279</v>
      </c>
      <c r="F1012" s="2" t="s">
        <v>6307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f t="shared" si="1"/>
        <v>1012</v>
      </c>
      <c r="B1013" s="3" t="s">
        <v>6308</v>
      </c>
      <c r="C1013" s="3" t="s">
        <v>6309</v>
      </c>
      <c r="D1013" s="3" t="s">
        <v>6278</v>
      </c>
      <c r="E1013" s="3" t="s">
        <v>6279</v>
      </c>
      <c r="F1013" s="2" t="s">
        <v>6310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f t="shared" si="1"/>
        <v>1013</v>
      </c>
      <c r="B1014" s="3" t="s">
        <v>6311</v>
      </c>
      <c r="C1014" s="3" t="s">
        <v>6312</v>
      </c>
      <c r="D1014" s="3" t="s">
        <v>6278</v>
      </c>
      <c r="E1014" s="3" t="s">
        <v>6279</v>
      </c>
      <c r="F1014" s="2" t="s">
        <v>6313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f t="shared" si="1"/>
        <v>1014</v>
      </c>
      <c r="B1015" s="3" t="s">
        <v>6314</v>
      </c>
      <c r="C1015" s="3" t="s">
        <v>6315</v>
      </c>
      <c r="D1015" s="3" t="s">
        <v>6278</v>
      </c>
      <c r="E1015" s="3" t="s">
        <v>6279</v>
      </c>
      <c r="F1015" s="2" t="s">
        <v>6316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f t="shared" si="1"/>
        <v>1015</v>
      </c>
      <c r="B1016" s="3" t="s">
        <v>697</v>
      </c>
      <c r="C1016" s="3" t="s">
        <v>3204</v>
      </c>
      <c r="D1016" s="3" t="s">
        <v>6278</v>
      </c>
      <c r="E1016" s="3" t="s">
        <v>6279</v>
      </c>
      <c r="F1016" s="2" t="s">
        <v>6317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f t="shared" si="1"/>
        <v>1016</v>
      </c>
      <c r="B1017" s="3" t="s">
        <v>6318</v>
      </c>
      <c r="C1017" s="3" t="s">
        <v>6319</v>
      </c>
      <c r="D1017" s="3" t="s">
        <v>6278</v>
      </c>
      <c r="E1017" s="3" t="s">
        <v>6279</v>
      </c>
      <c r="F1017" s="2" t="s">
        <v>6320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f t="shared" si="1"/>
        <v>1017</v>
      </c>
      <c r="B1018" s="3" t="s">
        <v>6321</v>
      </c>
      <c r="C1018" s="3" t="s">
        <v>6322</v>
      </c>
      <c r="D1018" s="3" t="s">
        <v>6278</v>
      </c>
      <c r="E1018" s="3" t="s">
        <v>6279</v>
      </c>
      <c r="F1018" s="2" t="s">
        <v>6323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f t="shared" si="1"/>
        <v>1018</v>
      </c>
      <c r="B1019" s="3" t="s">
        <v>6324</v>
      </c>
      <c r="C1019" s="3" t="s">
        <v>6325</v>
      </c>
      <c r="D1019" s="3" t="s">
        <v>6278</v>
      </c>
      <c r="E1019" s="3" t="s">
        <v>6279</v>
      </c>
      <c r="F1019" s="2" t="s">
        <v>6326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f t="shared" si="1"/>
        <v>1019</v>
      </c>
      <c r="B1020" s="3" t="s">
        <v>6327</v>
      </c>
      <c r="C1020" s="3" t="s">
        <v>6328</v>
      </c>
      <c r="D1020" s="3" t="s">
        <v>6278</v>
      </c>
      <c r="E1020" s="3" t="s">
        <v>6279</v>
      </c>
      <c r="F1020" s="2" t="s">
        <v>6329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f t="shared" si="1"/>
        <v>1020</v>
      </c>
      <c r="B1021" s="3" t="s">
        <v>6330</v>
      </c>
      <c r="C1021" s="3" t="s">
        <v>6331</v>
      </c>
      <c r="D1021" s="3" t="s">
        <v>6278</v>
      </c>
      <c r="E1021" s="3" t="s">
        <v>6279</v>
      </c>
      <c r="F1021" s="2" t="s">
        <v>6332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f t="shared" si="1"/>
        <v>1021</v>
      </c>
      <c r="B1022" s="3" t="s">
        <v>6333</v>
      </c>
      <c r="C1022" s="3" t="s">
        <v>6334</v>
      </c>
      <c r="D1022" s="3" t="s">
        <v>6278</v>
      </c>
      <c r="E1022" s="3" t="s">
        <v>6279</v>
      </c>
      <c r="F1022" s="2" t="s">
        <v>6335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f t="shared" si="1"/>
        <v>1022</v>
      </c>
      <c r="B1023" s="3" t="s">
        <v>6336</v>
      </c>
      <c r="C1023" s="3" t="s">
        <v>6337</v>
      </c>
      <c r="D1023" s="3" t="s">
        <v>6278</v>
      </c>
      <c r="E1023" s="3" t="s">
        <v>6279</v>
      </c>
      <c r="F1023" s="2" t="s">
        <v>6338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f t="shared" si="1"/>
        <v>1023</v>
      </c>
      <c r="B1024" s="3" t="s">
        <v>6339</v>
      </c>
      <c r="C1024" s="3" t="s">
        <v>6340</v>
      </c>
      <c r="D1024" s="3" t="s">
        <v>6278</v>
      </c>
      <c r="E1024" s="3" t="s">
        <v>6279</v>
      </c>
      <c r="F1024" s="2" t="s">
        <v>6341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f t="shared" si="1"/>
        <v>1024</v>
      </c>
      <c r="B1025" s="3" t="s">
        <v>6342</v>
      </c>
      <c r="C1025" s="3" t="s">
        <v>6343</v>
      </c>
      <c r="D1025" s="3" t="s">
        <v>6278</v>
      </c>
      <c r="E1025" s="3" t="s">
        <v>6279</v>
      </c>
      <c r="F1025" s="2" t="s">
        <v>6344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f t="shared" si="1"/>
        <v>1025</v>
      </c>
      <c r="B1026" s="3" t="s">
        <v>6345</v>
      </c>
      <c r="C1026" s="3" t="s">
        <v>6346</v>
      </c>
      <c r="D1026" s="3" t="s">
        <v>6278</v>
      </c>
      <c r="E1026" s="3" t="s">
        <v>6279</v>
      </c>
      <c r="F1026" s="2" t="s">
        <v>6347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f t="shared" si="1"/>
        <v>1026</v>
      </c>
      <c r="B1027" s="3" t="s">
        <v>6348</v>
      </c>
      <c r="C1027" s="3" t="s">
        <v>6349</v>
      </c>
      <c r="D1027" s="3" t="s">
        <v>6278</v>
      </c>
      <c r="E1027" s="3" t="s">
        <v>6279</v>
      </c>
      <c r="F1027" s="2" t="s">
        <v>6350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f t="shared" si="1"/>
        <v>1027</v>
      </c>
      <c r="B1028" s="3" t="s">
        <v>6351</v>
      </c>
      <c r="C1028" s="3" t="s">
        <v>6352</v>
      </c>
      <c r="D1028" s="3" t="s">
        <v>6278</v>
      </c>
      <c r="E1028" s="3" t="s">
        <v>6279</v>
      </c>
      <c r="F1028" s="2" t="s">
        <v>6353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f t="shared" si="1"/>
        <v>1028</v>
      </c>
      <c r="B1029" s="3" t="s">
        <v>6354</v>
      </c>
      <c r="C1029" s="3" t="s">
        <v>6355</v>
      </c>
      <c r="D1029" s="3" t="s">
        <v>6278</v>
      </c>
      <c r="E1029" s="3" t="s">
        <v>6279</v>
      </c>
      <c r="F1029" s="2" t="s">
        <v>6356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f t="shared" si="1"/>
        <v>1029</v>
      </c>
      <c r="B1030" s="3" t="s">
        <v>6357</v>
      </c>
      <c r="C1030" s="3" t="s">
        <v>6358</v>
      </c>
      <c r="D1030" s="3" t="s">
        <v>6278</v>
      </c>
      <c r="E1030" s="3" t="s">
        <v>6279</v>
      </c>
      <c r="F1030" s="2" t="s">
        <v>6359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f t="shared" si="1"/>
        <v>1030</v>
      </c>
      <c r="B1031" s="3" t="s">
        <v>6360</v>
      </c>
      <c r="C1031" s="3" t="s">
        <v>6361</v>
      </c>
      <c r="D1031" s="3" t="s">
        <v>6278</v>
      </c>
      <c r="E1031" s="3" t="s">
        <v>6279</v>
      </c>
      <c r="F1031" s="2" t="s">
        <v>6362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f t="shared" si="1"/>
        <v>1031</v>
      </c>
      <c r="B1032" s="3" t="s">
        <v>6363</v>
      </c>
      <c r="C1032" s="3" t="s">
        <v>6364</v>
      </c>
      <c r="D1032" s="3" t="s">
        <v>6278</v>
      </c>
      <c r="E1032" s="3" t="s">
        <v>6279</v>
      </c>
      <c r="F1032" s="2" t="s">
        <v>6365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f t="shared" si="1"/>
        <v>1032</v>
      </c>
      <c r="B1033" s="3" t="s">
        <v>6366</v>
      </c>
      <c r="C1033" s="3" t="s">
        <v>6367</v>
      </c>
      <c r="D1033" s="3" t="s">
        <v>6278</v>
      </c>
      <c r="E1033" s="3" t="s">
        <v>6279</v>
      </c>
      <c r="F1033" s="2" t="s">
        <v>6368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f t="shared" si="1"/>
        <v>1033</v>
      </c>
      <c r="B1034" s="3" t="s">
        <v>6369</v>
      </c>
      <c r="C1034" s="3" t="s">
        <v>6370</v>
      </c>
      <c r="D1034" s="3" t="s">
        <v>6278</v>
      </c>
      <c r="E1034" s="3" t="s">
        <v>6279</v>
      </c>
      <c r="F1034" s="2" t="s">
        <v>6371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f t="shared" si="1"/>
        <v>1034</v>
      </c>
      <c r="B1035" s="3" t="s">
        <v>6372</v>
      </c>
      <c r="C1035" s="3" t="s">
        <v>6373</v>
      </c>
      <c r="D1035" s="3" t="s">
        <v>6278</v>
      </c>
      <c r="E1035" s="3" t="s">
        <v>6279</v>
      </c>
      <c r="F1035" s="2" t="s">
        <v>6374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f t="shared" si="1"/>
        <v>1035</v>
      </c>
      <c r="B1036" s="3" t="s">
        <v>6375</v>
      </c>
      <c r="C1036" s="3" t="s">
        <v>6376</v>
      </c>
      <c r="D1036" s="3" t="s">
        <v>6278</v>
      </c>
      <c r="E1036" s="3" t="s">
        <v>6279</v>
      </c>
      <c r="F1036" s="2" t="s">
        <v>6377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f t="shared" si="1"/>
        <v>1036</v>
      </c>
      <c r="B1037" s="3" t="s">
        <v>6378</v>
      </c>
      <c r="C1037" s="3" t="s">
        <v>6379</v>
      </c>
      <c r="D1037" s="3" t="s">
        <v>6278</v>
      </c>
      <c r="E1037" s="3" t="s">
        <v>6279</v>
      </c>
      <c r="F1037" s="2" t="s">
        <v>6380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f t="shared" si="1"/>
        <v>1037</v>
      </c>
      <c r="B1038" s="3" t="s">
        <v>6381</v>
      </c>
      <c r="C1038" s="3" t="s">
        <v>6382</v>
      </c>
      <c r="D1038" s="3" t="s">
        <v>6278</v>
      </c>
      <c r="E1038" s="3" t="s">
        <v>6279</v>
      </c>
      <c r="F1038" s="2" t="s">
        <v>6383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f t="shared" si="1"/>
        <v>1038</v>
      </c>
      <c r="B1039" s="3" t="s">
        <v>6384</v>
      </c>
      <c r="C1039" s="3" t="s">
        <v>6385</v>
      </c>
      <c r="D1039" s="3" t="s">
        <v>6278</v>
      </c>
      <c r="E1039" s="3" t="s">
        <v>6279</v>
      </c>
      <c r="F1039" s="2" t="s">
        <v>6386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f t="shared" si="1"/>
        <v>1039</v>
      </c>
      <c r="B1040" s="3" t="s">
        <v>6387</v>
      </c>
      <c r="C1040" s="3" t="s">
        <v>6388</v>
      </c>
      <c r="D1040" s="3" t="s">
        <v>6278</v>
      </c>
      <c r="E1040" s="3" t="s">
        <v>6279</v>
      </c>
      <c r="F1040" s="2" t="s">
        <v>6389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f t="shared" si="1"/>
        <v>1040</v>
      </c>
      <c r="B1041" s="3" t="s">
        <v>6390</v>
      </c>
      <c r="C1041" s="3" t="s">
        <v>6391</v>
      </c>
      <c r="D1041" s="3" t="s">
        <v>6278</v>
      </c>
      <c r="E1041" s="3" t="s">
        <v>6279</v>
      </c>
      <c r="F1041" s="2" t="s">
        <v>6392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f t="shared" si="1"/>
        <v>1041</v>
      </c>
      <c r="B1042" s="3" t="s">
        <v>694</v>
      </c>
      <c r="C1042" s="3" t="s">
        <v>3118</v>
      </c>
      <c r="D1042" s="3" t="s">
        <v>6278</v>
      </c>
      <c r="E1042" s="3" t="s">
        <v>6279</v>
      </c>
      <c r="F1042" s="2" t="s">
        <v>6393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f t="shared" si="1"/>
        <v>1042</v>
      </c>
      <c r="B1043" s="3" t="s">
        <v>6394</v>
      </c>
      <c r="C1043" s="3" t="s">
        <v>6395</v>
      </c>
      <c r="D1043" s="3" t="s">
        <v>6396</v>
      </c>
      <c r="E1043" s="3" t="s">
        <v>6397</v>
      </c>
      <c r="F1043" s="2" t="s">
        <v>6398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f t="shared" si="1"/>
        <v>1043</v>
      </c>
      <c r="B1044" s="3" t="s">
        <v>6399</v>
      </c>
      <c r="C1044" s="3" t="s">
        <v>6400</v>
      </c>
      <c r="D1044" s="3" t="s">
        <v>6396</v>
      </c>
      <c r="E1044" s="3" t="s">
        <v>6397</v>
      </c>
      <c r="F1044" s="2" t="s">
        <v>6401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f t="shared" si="1"/>
        <v>1044</v>
      </c>
      <c r="B1045" s="3" t="s">
        <v>6402</v>
      </c>
      <c r="C1045" s="3" t="s">
        <v>6403</v>
      </c>
      <c r="D1045" s="3" t="s">
        <v>6396</v>
      </c>
      <c r="E1045" s="3" t="s">
        <v>6397</v>
      </c>
      <c r="F1045" s="2" t="s">
        <v>6404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f t="shared" si="1"/>
        <v>1045</v>
      </c>
      <c r="B1046" s="3" t="s">
        <v>6405</v>
      </c>
      <c r="C1046" s="3" t="s">
        <v>6406</v>
      </c>
      <c r="D1046" s="3" t="s">
        <v>6396</v>
      </c>
      <c r="E1046" s="3" t="s">
        <v>6397</v>
      </c>
      <c r="F1046" s="2" t="s">
        <v>6407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f t="shared" si="1"/>
        <v>1046</v>
      </c>
      <c r="B1047" s="3" t="s">
        <v>6408</v>
      </c>
      <c r="C1047" s="3" t="s">
        <v>6409</v>
      </c>
      <c r="D1047" s="3" t="s">
        <v>6396</v>
      </c>
      <c r="E1047" s="3" t="s">
        <v>6397</v>
      </c>
      <c r="F1047" s="2" t="s">
        <v>6410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f t="shared" si="1"/>
        <v>1047</v>
      </c>
      <c r="B1048" s="3" t="s">
        <v>6411</v>
      </c>
      <c r="C1048" s="3" t="s">
        <v>6412</v>
      </c>
      <c r="D1048" s="3" t="s">
        <v>6396</v>
      </c>
      <c r="E1048" s="3" t="s">
        <v>6397</v>
      </c>
      <c r="F1048" s="2" t="s">
        <v>6413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f t="shared" si="1"/>
        <v>1048</v>
      </c>
      <c r="B1049" s="3" t="s">
        <v>6414</v>
      </c>
      <c r="C1049" s="3" t="s">
        <v>6415</v>
      </c>
      <c r="D1049" s="3" t="s">
        <v>6396</v>
      </c>
      <c r="E1049" s="3" t="s">
        <v>6397</v>
      </c>
      <c r="F1049" s="2" t="s">
        <v>6416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f t="shared" si="1"/>
        <v>1049</v>
      </c>
      <c r="B1050" s="3" t="s">
        <v>6417</v>
      </c>
      <c r="C1050" s="3" t="s">
        <v>6418</v>
      </c>
      <c r="D1050" s="3" t="s">
        <v>6396</v>
      </c>
      <c r="E1050" s="3" t="s">
        <v>6397</v>
      </c>
      <c r="F1050" s="2" t="s">
        <v>6419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f t="shared" si="1"/>
        <v>1050</v>
      </c>
      <c r="B1051" s="3" t="s">
        <v>6420</v>
      </c>
      <c r="C1051" s="3" t="s">
        <v>6421</v>
      </c>
      <c r="D1051" s="3" t="s">
        <v>6396</v>
      </c>
      <c r="E1051" s="3" t="s">
        <v>6397</v>
      </c>
      <c r="F1051" s="2" t="s">
        <v>6422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f t="shared" si="1"/>
        <v>1051</v>
      </c>
      <c r="B1052" s="3" t="s">
        <v>6423</v>
      </c>
      <c r="C1052" s="3" t="s">
        <v>6424</v>
      </c>
      <c r="D1052" s="3" t="s">
        <v>6396</v>
      </c>
      <c r="E1052" s="3" t="s">
        <v>6397</v>
      </c>
      <c r="F1052" s="2" t="s">
        <v>6425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f t="shared" si="1"/>
        <v>1052</v>
      </c>
      <c r="B1053" s="3" t="s">
        <v>6426</v>
      </c>
      <c r="C1053" s="3" t="s">
        <v>6427</v>
      </c>
      <c r="D1053" s="3" t="s">
        <v>6396</v>
      </c>
      <c r="E1053" s="3" t="s">
        <v>6397</v>
      </c>
      <c r="F1053" s="2" t="s">
        <v>6428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f t="shared" si="1"/>
        <v>1053</v>
      </c>
      <c r="B1054" s="3" t="s">
        <v>6429</v>
      </c>
      <c r="C1054" s="3" t="s">
        <v>6430</v>
      </c>
      <c r="D1054" s="3" t="s">
        <v>6396</v>
      </c>
      <c r="E1054" s="3" t="s">
        <v>6397</v>
      </c>
      <c r="F1054" s="2" t="s">
        <v>6431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f t="shared" si="1"/>
        <v>1054</v>
      </c>
      <c r="B1055" s="3" t="s">
        <v>6432</v>
      </c>
      <c r="C1055" s="3" t="s">
        <v>6433</v>
      </c>
      <c r="D1055" s="3" t="s">
        <v>6396</v>
      </c>
      <c r="E1055" s="3" t="s">
        <v>6397</v>
      </c>
      <c r="F1055" s="2" t="s">
        <v>6434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f t="shared" si="1"/>
        <v>1055</v>
      </c>
      <c r="B1056" s="3" t="s">
        <v>6435</v>
      </c>
      <c r="C1056" s="3" t="s">
        <v>6436</v>
      </c>
      <c r="D1056" s="3" t="s">
        <v>6396</v>
      </c>
      <c r="E1056" s="3" t="s">
        <v>6397</v>
      </c>
      <c r="F1056" s="2" t="s">
        <v>6437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f t="shared" si="1"/>
        <v>1056</v>
      </c>
      <c r="B1057" s="3" t="s">
        <v>6438</v>
      </c>
      <c r="C1057" s="3" t="s">
        <v>6439</v>
      </c>
      <c r="D1057" s="3" t="s">
        <v>6396</v>
      </c>
      <c r="E1057" s="3" t="s">
        <v>6397</v>
      </c>
      <c r="F1057" s="2" t="s">
        <v>6440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f t="shared" si="1"/>
        <v>1057</v>
      </c>
      <c r="B1058" s="3" t="s">
        <v>6441</v>
      </c>
      <c r="C1058" s="3" t="s">
        <v>6442</v>
      </c>
      <c r="D1058" s="3" t="s">
        <v>6396</v>
      </c>
      <c r="E1058" s="3" t="s">
        <v>6397</v>
      </c>
      <c r="F1058" s="2" t="s">
        <v>6443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f t="shared" si="1"/>
        <v>1058</v>
      </c>
      <c r="B1059" s="3" t="s">
        <v>6444</v>
      </c>
      <c r="C1059" s="3" t="s">
        <v>6445</v>
      </c>
      <c r="D1059" s="3" t="s">
        <v>6396</v>
      </c>
      <c r="E1059" s="3" t="s">
        <v>6397</v>
      </c>
      <c r="F1059" s="2" t="s">
        <v>6446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f t="shared" si="1"/>
        <v>1059</v>
      </c>
      <c r="B1060" s="3" t="s">
        <v>6447</v>
      </c>
      <c r="C1060" s="3" t="s">
        <v>6448</v>
      </c>
      <c r="D1060" s="3" t="s">
        <v>6396</v>
      </c>
      <c r="E1060" s="3" t="s">
        <v>6397</v>
      </c>
      <c r="F1060" s="2" t="s">
        <v>6449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f t="shared" si="1"/>
        <v>1060</v>
      </c>
      <c r="B1061" s="3" t="s">
        <v>6450</v>
      </c>
      <c r="C1061" s="3" t="s">
        <v>6451</v>
      </c>
      <c r="D1061" s="3" t="s">
        <v>6396</v>
      </c>
      <c r="E1061" s="3" t="s">
        <v>6397</v>
      </c>
      <c r="F1061" s="2" t="s">
        <v>6452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f t="shared" si="1"/>
        <v>1061</v>
      </c>
      <c r="B1062" s="3" t="s">
        <v>6453</v>
      </c>
      <c r="C1062" s="3" t="s">
        <v>6454</v>
      </c>
      <c r="D1062" s="3" t="s">
        <v>6396</v>
      </c>
      <c r="E1062" s="3" t="s">
        <v>6397</v>
      </c>
      <c r="F1062" s="2" t="s">
        <v>6455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f t="shared" si="1"/>
        <v>1062</v>
      </c>
      <c r="B1063" s="3" t="s">
        <v>6456</v>
      </c>
      <c r="C1063" s="3" t="s">
        <v>6457</v>
      </c>
      <c r="D1063" s="3" t="s">
        <v>6396</v>
      </c>
      <c r="E1063" s="3" t="s">
        <v>6397</v>
      </c>
      <c r="F1063" s="2" t="s">
        <v>6458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f t="shared" si="1"/>
        <v>1063</v>
      </c>
      <c r="B1064" s="3" t="s">
        <v>6459</v>
      </c>
      <c r="C1064" s="3" t="s">
        <v>6460</v>
      </c>
      <c r="D1064" s="3" t="s">
        <v>6396</v>
      </c>
      <c r="E1064" s="3" t="s">
        <v>6397</v>
      </c>
      <c r="F1064" s="2" t="s">
        <v>6461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f t="shared" si="1"/>
        <v>1064</v>
      </c>
      <c r="B1065" s="3" t="s">
        <v>6462</v>
      </c>
      <c r="C1065" s="3" t="s">
        <v>6463</v>
      </c>
      <c r="D1065" s="3" t="s">
        <v>6396</v>
      </c>
      <c r="E1065" s="3" t="s">
        <v>6397</v>
      </c>
      <c r="F1065" s="2" t="s">
        <v>6464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f t="shared" si="1"/>
        <v>1065</v>
      </c>
      <c r="B1066" s="3" t="s">
        <v>6465</v>
      </c>
      <c r="C1066" s="3" t="s">
        <v>6466</v>
      </c>
      <c r="D1066" s="3" t="s">
        <v>6396</v>
      </c>
      <c r="E1066" s="3" t="s">
        <v>6397</v>
      </c>
      <c r="F1066" s="2" t="s">
        <v>6467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f t="shared" si="1"/>
        <v>1066</v>
      </c>
      <c r="B1067" s="3" t="s">
        <v>6468</v>
      </c>
      <c r="C1067" s="3" t="s">
        <v>6469</v>
      </c>
      <c r="D1067" s="3" t="s">
        <v>6396</v>
      </c>
      <c r="E1067" s="3" t="s">
        <v>6397</v>
      </c>
      <c r="F1067" s="2" t="s">
        <v>6470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f t="shared" si="1"/>
        <v>1067</v>
      </c>
      <c r="B1068" s="3" t="s">
        <v>6471</v>
      </c>
      <c r="C1068" s="3" t="s">
        <v>6472</v>
      </c>
      <c r="D1068" s="3" t="s">
        <v>6396</v>
      </c>
      <c r="E1068" s="3" t="s">
        <v>6397</v>
      </c>
      <c r="F1068" s="2" t="s">
        <v>6473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f t="shared" si="1"/>
        <v>1068</v>
      </c>
      <c r="B1069" s="3" t="s">
        <v>6474</v>
      </c>
      <c r="C1069" s="3" t="s">
        <v>6475</v>
      </c>
      <c r="D1069" s="3" t="s">
        <v>6396</v>
      </c>
      <c r="E1069" s="3" t="s">
        <v>6397</v>
      </c>
      <c r="F1069" s="2" t="s">
        <v>6476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f t="shared" si="1"/>
        <v>1069</v>
      </c>
      <c r="B1070" s="3" t="s">
        <v>6477</v>
      </c>
      <c r="C1070" s="3" t="s">
        <v>6478</v>
      </c>
      <c r="D1070" s="3" t="s">
        <v>6396</v>
      </c>
      <c r="E1070" s="3" t="s">
        <v>6397</v>
      </c>
      <c r="F1070" s="2" t="s">
        <v>6479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f t="shared" si="1"/>
        <v>1070</v>
      </c>
      <c r="B1071" s="3" t="s">
        <v>6480</v>
      </c>
      <c r="C1071" s="3" t="s">
        <v>6481</v>
      </c>
      <c r="D1071" s="3" t="s">
        <v>6396</v>
      </c>
      <c r="E1071" s="3" t="s">
        <v>6397</v>
      </c>
      <c r="F1071" s="2" t="s">
        <v>6482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f t="shared" si="1"/>
        <v>1071</v>
      </c>
      <c r="B1072" s="3" t="s">
        <v>6483</v>
      </c>
      <c r="C1072" s="3" t="s">
        <v>6484</v>
      </c>
      <c r="D1072" s="3" t="s">
        <v>6396</v>
      </c>
      <c r="E1072" s="3" t="s">
        <v>6397</v>
      </c>
      <c r="F1072" s="2" t="s">
        <v>6485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f t="shared" si="1"/>
        <v>1072</v>
      </c>
      <c r="B1073" s="3" t="s">
        <v>6486</v>
      </c>
      <c r="C1073" s="3" t="s">
        <v>6487</v>
      </c>
      <c r="D1073" s="3" t="s">
        <v>6396</v>
      </c>
      <c r="E1073" s="3" t="s">
        <v>6397</v>
      </c>
      <c r="F1073" s="2" t="s">
        <v>6488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f t="shared" si="1"/>
        <v>1073</v>
      </c>
      <c r="B1074" s="3" t="s">
        <v>6489</v>
      </c>
      <c r="C1074" s="3" t="s">
        <v>6490</v>
      </c>
      <c r="D1074" s="3" t="s">
        <v>6396</v>
      </c>
      <c r="E1074" s="3" t="s">
        <v>6397</v>
      </c>
      <c r="F1074" s="2" t="s">
        <v>6491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f t="shared" si="1"/>
        <v>1074</v>
      </c>
      <c r="B1075" s="3" t="s">
        <v>6492</v>
      </c>
      <c r="C1075" s="3" t="s">
        <v>6493</v>
      </c>
      <c r="D1075" s="3" t="s">
        <v>6396</v>
      </c>
      <c r="E1075" s="3" t="s">
        <v>6397</v>
      </c>
      <c r="F1075" s="2" t="s">
        <v>6494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f t="shared" si="1"/>
        <v>1075</v>
      </c>
      <c r="B1076" s="3" t="s">
        <v>6495</v>
      </c>
      <c r="C1076" s="3" t="s">
        <v>6496</v>
      </c>
      <c r="D1076" s="3" t="s">
        <v>6396</v>
      </c>
      <c r="E1076" s="3" t="s">
        <v>6397</v>
      </c>
      <c r="F1076" s="2" t="s">
        <v>6497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f t="shared" si="1"/>
        <v>1076</v>
      </c>
      <c r="B1077" s="3" t="s">
        <v>6498</v>
      </c>
      <c r="C1077" s="3" t="s">
        <v>6499</v>
      </c>
      <c r="D1077" s="3" t="s">
        <v>6396</v>
      </c>
      <c r="E1077" s="3" t="s">
        <v>6397</v>
      </c>
      <c r="F1077" s="2" t="s">
        <v>6500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f t="shared" si="1"/>
        <v>1077</v>
      </c>
      <c r="B1078" s="3" t="s">
        <v>6501</v>
      </c>
      <c r="C1078" s="3" t="s">
        <v>6502</v>
      </c>
      <c r="D1078" s="3" t="s">
        <v>6396</v>
      </c>
      <c r="E1078" s="3" t="s">
        <v>6397</v>
      </c>
      <c r="F1078" s="2" t="s">
        <v>6503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f t="shared" si="1"/>
        <v>1078</v>
      </c>
      <c r="B1079" s="3" t="s">
        <v>6504</v>
      </c>
      <c r="C1079" s="3" t="s">
        <v>6505</v>
      </c>
      <c r="D1079" s="3" t="s">
        <v>6396</v>
      </c>
      <c r="E1079" s="3" t="s">
        <v>6397</v>
      </c>
      <c r="F1079" s="2" t="s">
        <v>6506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f t="shared" si="1"/>
        <v>1079</v>
      </c>
      <c r="B1080" s="3" t="s">
        <v>6507</v>
      </c>
      <c r="C1080" s="3" t="s">
        <v>6508</v>
      </c>
      <c r="D1080" s="3" t="s">
        <v>6396</v>
      </c>
      <c r="E1080" s="3" t="s">
        <v>6397</v>
      </c>
      <c r="F1080" s="2" t="s">
        <v>6509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f t="shared" si="1"/>
        <v>1080</v>
      </c>
      <c r="B1081" s="3" t="s">
        <v>6510</v>
      </c>
      <c r="C1081" s="3" t="s">
        <v>6511</v>
      </c>
      <c r="D1081" s="3" t="s">
        <v>6396</v>
      </c>
      <c r="E1081" s="3" t="s">
        <v>6397</v>
      </c>
      <c r="F1081" s="2" t="s">
        <v>6512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f t="shared" si="1"/>
        <v>1081</v>
      </c>
      <c r="B1082" s="3" t="s">
        <v>6513</v>
      </c>
      <c r="C1082" s="3" t="s">
        <v>6514</v>
      </c>
      <c r="D1082" s="3" t="s">
        <v>6396</v>
      </c>
      <c r="E1082" s="3" t="s">
        <v>6397</v>
      </c>
      <c r="F1082" s="2" t="s">
        <v>6515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f t="shared" si="1"/>
        <v>1082</v>
      </c>
      <c r="B1083" s="3" t="s">
        <v>6516</v>
      </c>
      <c r="C1083" s="3" t="s">
        <v>6517</v>
      </c>
      <c r="D1083" s="3" t="s">
        <v>6396</v>
      </c>
      <c r="E1083" s="3" t="s">
        <v>6397</v>
      </c>
      <c r="F1083" s="2" t="s">
        <v>6518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f t="shared" si="1"/>
        <v>1083</v>
      </c>
      <c r="B1084" s="3" t="s">
        <v>6519</v>
      </c>
      <c r="C1084" s="3" t="s">
        <v>6520</v>
      </c>
      <c r="D1084" s="3" t="s">
        <v>6521</v>
      </c>
      <c r="E1084" s="3" t="s">
        <v>6522</v>
      </c>
      <c r="F1084" s="2" t="s">
        <v>6523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f t="shared" si="1"/>
        <v>1084</v>
      </c>
      <c r="B1085" s="3" t="s">
        <v>6524</v>
      </c>
      <c r="C1085" s="3" t="s">
        <v>6525</v>
      </c>
      <c r="D1085" s="3" t="s">
        <v>6521</v>
      </c>
      <c r="E1085" s="3" t="s">
        <v>6522</v>
      </c>
      <c r="F1085" s="2" t="s">
        <v>6526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f t="shared" si="1"/>
        <v>1085</v>
      </c>
      <c r="B1086" s="3" t="s">
        <v>6527</v>
      </c>
      <c r="C1086" s="3" t="s">
        <v>6528</v>
      </c>
      <c r="D1086" s="3" t="s">
        <v>6521</v>
      </c>
      <c r="E1086" s="3" t="s">
        <v>6529</v>
      </c>
      <c r="F1086" s="2" t="s">
        <v>6530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f t="shared" si="1"/>
        <v>1086</v>
      </c>
      <c r="B1087" s="3" t="s">
        <v>6531</v>
      </c>
      <c r="C1087" s="3" t="s">
        <v>6532</v>
      </c>
      <c r="D1087" s="3" t="s">
        <v>6521</v>
      </c>
      <c r="E1087" s="3" t="s">
        <v>6529</v>
      </c>
      <c r="F1087" s="2" t="s">
        <v>6533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f t="shared" si="1"/>
        <v>1087</v>
      </c>
      <c r="B1088" s="3" t="s">
        <v>6534</v>
      </c>
      <c r="C1088" s="3" t="s">
        <v>6535</v>
      </c>
      <c r="D1088" s="3" t="s">
        <v>6521</v>
      </c>
      <c r="E1088" s="3" t="s">
        <v>6529</v>
      </c>
      <c r="F1088" s="2" t="s">
        <v>6536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f t="shared" si="1"/>
        <v>1088</v>
      </c>
      <c r="B1089" s="3" t="s">
        <v>6537</v>
      </c>
      <c r="C1089" s="3" t="s">
        <v>6538</v>
      </c>
      <c r="D1089" s="3" t="s">
        <v>6521</v>
      </c>
      <c r="E1089" s="3" t="s">
        <v>6522</v>
      </c>
      <c r="F1089" s="2" t="s">
        <v>6539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f t="shared" si="1"/>
        <v>1089</v>
      </c>
      <c r="B1090" s="3" t="s">
        <v>6540</v>
      </c>
      <c r="C1090" s="3" t="s">
        <v>6541</v>
      </c>
      <c r="D1090" s="3" t="s">
        <v>6521</v>
      </c>
      <c r="E1090" s="3" t="s">
        <v>6522</v>
      </c>
      <c r="F1090" s="2" t="s">
        <v>6542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f t="shared" si="1"/>
        <v>1090</v>
      </c>
      <c r="B1091" s="3" t="s">
        <v>6543</v>
      </c>
      <c r="C1091" s="3" t="s">
        <v>6544</v>
      </c>
      <c r="D1091" s="3" t="s">
        <v>6521</v>
      </c>
      <c r="E1091" s="3" t="s">
        <v>6529</v>
      </c>
      <c r="F1091" s="2" t="s">
        <v>6545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f t="shared" si="1"/>
        <v>1091</v>
      </c>
      <c r="B1092" s="3" t="s">
        <v>6546</v>
      </c>
      <c r="C1092" s="3" t="s">
        <v>6547</v>
      </c>
      <c r="D1092" s="3" t="s">
        <v>6521</v>
      </c>
      <c r="E1092" s="3" t="s">
        <v>6529</v>
      </c>
      <c r="F1092" s="2" t="s">
        <v>6548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f t="shared" si="1"/>
        <v>1092</v>
      </c>
      <c r="B1093" s="3" t="s">
        <v>6549</v>
      </c>
      <c r="C1093" s="3" t="s">
        <v>6550</v>
      </c>
      <c r="D1093" s="3" t="s">
        <v>6521</v>
      </c>
      <c r="E1093" s="3" t="s">
        <v>6529</v>
      </c>
      <c r="F1093" s="2" t="s">
        <v>6551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f t="shared" si="1"/>
        <v>1093</v>
      </c>
      <c r="B1094" s="3" t="s">
        <v>6552</v>
      </c>
      <c r="C1094" s="3" t="s">
        <v>6553</v>
      </c>
      <c r="D1094" s="3" t="s">
        <v>6521</v>
      </c>
      <c r="E1094" s="3" t="s">
        <v>6529</v>
      </c>
      <c r="F1094" s="2" t="s">
        <v>6554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f t="shared" si="1"/>
        <v>1094</v>
      </c>
      <c r="B1095" s="3" t="s">
        <v>6555</v>
      </c>
      <c r="C1095" s="3" t="s">
        <v>6556</v>
      </c>
      <c r="D1095" s="3" t="s">
        <v>6521</v>
      </c>
      <c r="E1095" s="3" t="s">
        <v>6529</v>
      </c>
      <c r="F1095" s="2" t="s">
        <v>6557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f t="shared" si="1"/>
        <v>1095</v>
      </c>
      <c r="B1096" s="3" t="s">
        <v>6558</v>
      </c>
      <c r="C1096" s="3" t="s">
        <v>6559</v>
      </c>
      <c r="D1096" s="3" t="s">
        <v>6521</v>
      </c>
      <c r="E1096" s="3" t="s">
        <v>6522</v>
      </c>
      <c r="F1096" s="2" t="s">
        <v>6560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f t="shared" si="1"/>
        <v>1096</v>
      </c>
      <c r="B1097" s="3" t="s">
        <v>6561</v>
      </c>
      <c r="C1097" s="3" t="s">
        <v>6562</v>
      </c>
      <c r="D1097" s="3" t="s">
        <v>6521</v>
      </c>
      <c r="E1097" s="3" t="s">
        <v>6529</v>
      </c>
      <c r="F1097" s="2" t="s">
        <v>6563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f t="shared" si="1"/>
        <v>1097</v>
      </c>
      <c r="B1098" s="3" t="s">
        <v>6564</v>
      </c>
      <c r="C1098" s="3" t="s">
        <v>6565</v>
      </c>
      <c r="D1098" s="3" t="s">
        <v>6521</v>
      </c>
      <c r="E1098" s="3" t="s">
        <v>6522</v>
      </c>
      <c r="F1098" s="2" t="s">
        <v>6566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f t="shared" si="1"/>
        <v>1098</v>
      </c>
      <c r="B1099" s="3" t="s">
        <v>6567</v>
      </c>
      <c r="C1099" s="3" t="s">
        <v>6568</v>
      </c>
      <c r="D1099" s="3" t="s">
        <v>6521</v>
      </c>
      <c r="E1099" s="3" t="s">
        <v>6522</v>
      </c>
      <c r="F1099" s="2" t="s">
        <v>6569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f t="shared" si="1"/>
        <v>1099</v>
      </c>
      <c r="B1100" s="3" t="s">
        <v>6570</v>
      </c>
      <c r="C1100" s="3" t="s">
        <v>6571</v>
      </c>
      <c r="D1100" s="3" t="s">
        <v>6521</v>
      </c>
      <c r="E1100" s="3" t="s">
        <v>6522</v>
      </c>
      <c r="F1100" s="2" t="s">
        <v>6572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f t="shared" si="1"/>
        <v>1100</v>
      </c>
      <c r="B1101" s="3" t="s">
        <v>6573</v>
      </c>
      <c r="C1101" s="3" t="s">
        <v>6574</v>
      </c>
      <c r="D1101" s="3" t="s">
        <v>6521</v>
      </c>
      <c r="E1101" s="3" t="s">
        <v>6529</v>
      </c>
      <c r="F1101" s="2" t="s">
        <v>6575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f t="shared" si="1"/>
        <v>1101</v>
      </c>
      <c r="B1102" s="3" t="s">
        <v>6576</v>
      </c>
      <c r="C1102" s="3" t="s">
        <v>6577</v>
      </c>
      <c r="D1102" s="3" t="s">
        <v>6521</v>
      </c>
      <c r="E1102" s="3" t="s">
        <v>6522</v>
      </c>
      <c r="F1102" s="2" t="s">
        <v>6578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f t="shared" si="1"/>
        <v>1102</v>
      </c>
      <c r="B1103" s="3" t="s">
        <v>6579</v>
      </c>
      <c r="C1103" s="3" t="s">
        <v>6580</v>
      </c>
      <c r="D1103" s="3" t="s">
        <v>6521</v>
      </c>
      <c r="E1103" s="3" t="s">
        <v>6522</v>
      </c>
      <c r="F1103" s="2" t="s">
        <v>6581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f t="shared" si="1"/>
        <v>1103</v>
      </c>
      <c r="B1104" s="3" t="s">
        <v>6582</v>
      </c>
      <c r="C1104" s="3" t="s">
        <v>6583</v>
      </c>
      <c r="D1104" s="3" t="s">
        <v>6521</v>
      </c>
      <c r="E1104" s="3" t="s">
        <v>6529</v>
      </c>
      <c r="F1104" s="2" t="s">
        <v>6584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f t="shared" si="1"/>
        <v>1104</v>
      </c>
      <c r="B1105" s="3" t="s">
        <v>6585</v>
      </c>
      <c r="C1105" s="3" t="s">
        <v>6586</v>
      </c>
      <c r="D1105" s="3" t="s">
        <v>6521</v>
      </c>
      <c r="E1105" s="3" t="s">
        <v>6522</v>
      </c>
      <c r="F1105" s="2" t="s">
        <v>6587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f t="shared" si="1"/>
        <v>1105</v>
      </c>
      <c r="B1106" s="3" t="s">
        <v>6588</v>
      </c>
      <c r="C1106" s="3" t="s">
        <v>6589</v>
      </c>
      <c r="D1106" s="3" t="s">
        <v>6521</v>
      </c>
      <c r="E1106" s="3" t="s">
        <v>6522</v>
      </c>
      <c r="F1106" s="2" t="s">
        <v>6590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f t="shared" si="1"/>
        <v>1106</v>
      </c>
      <c r="B1107" s="3" t="s">
        <v>6591</v>
      </c>
      <c r="C1107" s="3" t="s">
        <v>6592</v>
      </c>
      <c r="D1107" s="3" t="s">
        <v>6521</v>
      </c>
      <c r="E1107" s="3" t="s">
        <v>6522</v>
      </c>
      <c r="F1107" s="2" t="s">
        <v>6593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f t="shared" si="1"/>
        <v>1107</v>
      </c>
      <c r="B1108" s="3" t="s">
        <v>6594</v>
      </c>
      <c r="C1108" s="3" t="s">
        <v>6595</v>
      </c>
      <c r="D1108" s="3" t="s">
        <v>6521</v>
      </c>
      <c r="E1108" s="3" t="s">
        <v>6522</v>
      </c>
      <c r="F1108" s="2" t="s">
        <v>6596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f t="shared" si="1"/>
        <v>1108</v>
      </c>
      <c r="B1109" s="3" t="s">
        <v>6597</v>
      </c>
      <c r="C1109" s="3" t="s">
        <v>6598</v>
      </c>
      <c r="D1109" s="3" t="s">
        <v>6521</v>
      </c>
      <c r="E1109" s="3" t="s">
        <v>6522</v>
      </c>
      <c r="F1109" s="2" t="s">
        <v>6599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f t="shared" si="1"/>
        <v>1109</v>
      </c>
      <c r="B1110" s="3" t="s">
        <v>6600</v>
      </c>
      <c r="C1110" s="3" t="s">
        <v>6601</v>
      </c>
      <c r="D1110" s="3" t="s">
        <v>6521</v>
      </c>
      <c r="E1110" s="3" t="s">
        <v>6522</v>
      </c>
      <c r="F1110" s="2" t="s">
        <v>6602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f t="shared" si="1"/>
        <v>1110</v>
      </c>
      <c r="B1111" s="3" t="s">
        <v>6603</v>
      </c>
      <c r="C1111" s="3" t="s">
        <v>6604</v>
      </c>
      <c r="D1111" s="3" t="s">
        <v>6521</v>
      </c>
      <c r="E1111" s="3" t="s">
        <v>6522</v>
      </c>
      <c r="F1111" s="2" t="s">
        <v>6605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f t="shared" si="1"/>
        <v>1111</v>
      </c>
      <c r="B1112" s="3" t="s">
        <v>6606</v>
      </c>
      <c r="C1112" s="3" t="s">
        <v>6607</v>
      </c>
      <c r="D1112" s="3" t="s">
        <v>6521</v>
      </c>
      <c r="E1112" s="3" t="s">
        <v>6529</v>
      </c>
      <c r="F1112" s="2" t="s">
        <v>6608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f t="shared" si="1"/>
        <v>1112</v>
      </c>
      <c r="B1113" s="3" t="s">
        <v>6609</v>
      </c>
      <c r="C1113" s="3" t="s">
        <v>6610</v>
      </c>
      <c r="D1113" s="3" t="s">
        <v>6521</v>
      </c>
      <c r="E1113" s="3" t="s">
        <v>6522</v>
      </c>
      <c r="F1113" s="2" t="s">
        <v>6611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f t="shared" si="1"/>
        <v>1113</v>
      </c>
      <c r="B1114" s="3" t="s">
        <v>6612</v>
      </c>
      <c r="C1114" s="3" t="s">
        <v>6613</v>
      </c>
      <c r="D1114" s="3" t="s">
        <v>6521</v>
      </c>
      <c r="E1114" s="3" t="s">
        <v>6522</v>
      </c>
      <c r="F1114" s="2" t="s">
        <v>6614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f t="shared" si="1"/>
        <v>1114</v>
      </c>
      <c r="B1115" s="3" t="s">
        <v>6615</v>
      </c>
      <c r="C1115" s="3" t="s">
        <v>6616</v>
      </c>
      <c r="D1115" s="3" t="s">
        <v>6521</v>
      </c>
      <c r="E1115" s="3" t="s">
        <v>6522</v>
      </c>
      <c r="F1115" s="2" t="s">
        <v>6617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f t="shared" si="1"/>
        <v>1115</v>
      </c>
      <c r="B1116" s="3" t="s">
        <v>6618</v>
      </c>
      <c r="C1116" s="3" t="s">
        <v>6619</v>
      </c>
      <c r="D1116" s="3" t="s">
        <v>6521</v>
      </c>
      <c r="E1116" s="3" t="s">
        <v>6529</v>
      </c>
      <c r="F1116" s="2" t="s">
        <v>6620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f t="shared" si="1"/>
        <v>1116</v>
      </c>
      <c r="B1117" s="3" t="s">
        <v>6621</v>
      </c>
      <c r="C1117" s="3" t="s">
        <v>6622</v>
      </c>
      <c r="D1117" s="3" t="s">
        <v>6521</v>
      </c>
      <c r="E1117" s="3" t="s">
        <v>6529</v>
      </c>
      <c r="F1117" s="2" t="s">
        <v>6623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f t="shared" si="1"/>
        <v>1117</v>
      </c>
      <c r="B1118" s="3" t="s">
        <v>6624</v>
      </c>
      <c r="C1118" s="3" t="s">
        <v>6625</v>
      </c>
      <c r="D1118" s="3" t="s">
        <v>6521</v>
      </c>
      <c r="E1118" s="3" t="s">
        <v>6529</v>
      </c>
      <c r="F1118" s="2" t="s">
        <v>6626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f t="shared" si="1"/>
        <v>1118</v>
      </c>
      <c r="B1119" s="3" t="s">
        <v>6627</v>
      </c>
      <c r="C1119" s="3" t="s">
        <v>6628</v>
      </c>
      <c r="D1119" s="3" t="s">
        <v>6521</v>
      </c>
      <c r="E1119" s="3" t="s">
        <v>6529</v>
      </c>
      <c r="F1119" s="2" t="s">
        <v>6629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f t="shared" si="1"/>
        <v>1119</v>
      </c>
      <c r="B1120" s="3" t="s">
        <v>6630</v>
      </c>
      <c r="C1120" s="3" t="s">
        <v>6631</v>
      </c>
      <c r="D1120" s="3" t="s">
        <v>6521</v>
      </c>
      <c r="E1120" s="3" t="s">
        <v>6529</v>
      </c>
      <c r="F1120" s="2" t="s">
        <v>6632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f t="shared" si="1"/>
        <v>1120</v>
      </c>
      <c r="B1121" s="3" t="s">
        <v>6633</v>
      </c>
      <c r="C1121" s="3" t="s">
        <v>6634</v>
      </c>
      <c r="D1121" s="3" t="s">
        <v>6635</v>
      </c>
      <c r="E1121" s="3" t="s">
        <v>6636</v>
      </c>
      <c r="F1121" s="2" t="s">
        <v>6637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f t="shared" si="1"/>
        <v>1121</v>
      </c>
      <c r="B1122" s="3" t="s">
        <v>6638</v>
      </c>
      <c r="C1122" s="3" t="s">
        <v>6639</v>
      </c>
      <c r="D1122" s="3" t="s">
        <v>6635</v>
      </c>
      <c r="E1122" s="3" t="s">
        <v>6636</v>
      </c>
      <c r="F1122" s="2" t="s">
        <v>6640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f t="shared" si="1"/>
        <v>1122</v>
      </c>
      <c r="B1123" s="3" t="s">
        <v>6641</v>
      </c>
      <c r="C1123" s="3" t="s">
        <v>6642</v>
      </c>
      <c r="D1123" s="3" t="s">
        <v>6635</v>
      </c>
      <c r="E1123" s="3" t="s">
        <v>6636</v>
      </c>
      <c r="F1123" s="2" t="s">
        <v>6643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f t="shared" si="1"/>
        <v>1123</v>
      </c>
      <c r="B1124" s="3" t="s">
        <v>6644</v>
      </c>
      <c r="C1124" s="3" t="s">
        <v>6645</v>
      </c>
      <c r="D1124" s="3" t="s">
        <v>6635</v>
      </c>
      <c r="E1124" s="3" t="s">
        <v>6636</v>
      </c>
      <c r="F1124" s="2" t="s">
        <v>6646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f t="shared" si="1"/>
        <v>1124</v>
      </c>
      <c r="B1125" s="3" t="s">
        <v>6647</v>
      </c>
      <c r="C1125" s="3" t="s">
        <v>6648</v>
      </c>
      <c r="D1125" s="3" t="s">
        <v>6635</v>
      </c>
      <c r="E1125" s="3" t="s">
        <v>6636</v>
      </c>
      <c r="F1125" s="2" t="s">
        <v>6649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f t="shared" si="1"/>
        <v>1125</v>
      </c>
      <c r="B1126" s="3" t="s">
        <v>6650</v>
      </c>
      <c r="C1126" s="3" t="s">
        <v>6651</v>
      </c>
      <c r="D1126" s="3" t="s">
        <v>6635</v>
      </c>
      <c r="E1126" s="3" t="s">
        <v>6636</v>
      </c>
      <c r="F1126" s="2" t="s">
        <v>6652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f t="shared" si="1"/>
        <v>1126</v>
      </c>
      <c r="B1127" s="3" t="s">
        <v>6653</v>
      </c>
      <c r="C1127" s="3" t="s">
        <v>6654</v>
      </c>
      <c r="D1127" s="3" t="s">
        <v>6635</v>
      </c>
      <c r="E1127" s="3" t="s">
        <v>6636</v>
      </c>
      <c r="F1127" s="2" t="s">
        <v>6655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f t="shared" si="1"/>
        <v>1127</v>
      </c>
      <c r="B1128" s="3" t="s">
        <v>6656</v>
      </c>
      <c r="C1128" s="3" t="s">
        <v>6657</v>
      </c>
      <c r="D1128" s="3" t="s">
        <v>6635</v>
      </c>
      <c r="E1128" s="3" t="s">
        <v>6636</v>
      </c>
      <c r="F1128" s="2" t="s">
        <v>6658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f t="shared" si="1"/>
        <v>1128</v>
      </c>
      <c r="B1129" s="3" t="s">
        <v>6659</v>
      </c>
      <c r="C1129" s="3" t="s">
        <v>6660</v>
      </c>
      <c r="D1129" s="3" t="s">
        <v>6635</v>
      </c>
      <c r="E1129" s="3" t="s">
        <v>6636</v>
      </c>
      <c r="F1129" s="2" t="s">
        <v>6661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f t="shared" si="1"/>
        <v>1129</v>
      </c>
      <c r="B1130" s="3" t="s">
        <v>6662</v>
      </c>
      <c r="C1130" s="3" t="s">
        <v>6663</v>
      </c>
      <c r="D1130" s="3" t="s">
        <v>6635</v>
      </c>
      <c r="E1130" s="3" t="s">
        <v>6636</v>
      </c>
      <c r="F1130" s="2" t="s">
        <v>6664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f t="shared" si="1"/>
        <v>1130</v>
      </c>
      <c r="B1131" s="3" t="s">
        <v>6665</v>
      </c>
      <c r="C1131" s="3" t="s">
        <v>6666</v>
      </c>
      <c r="D1131" s="3" t="s">
        <v>6635</v>
      </c>
      <c r="E1131" s="3" t="s">
        <v>6636</v>
      </c>
      <c r="F1131" s="2" t="s">
        <v>6667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f t="shared" si="1"/>
        <v>1131</v>
      </c>
      <c r="B1132" s="3" t="s">
        <v>6668</v>
      </c>
      <c r="C1132" s="3" t="s">
        <v>6669</v>
      </c>
      <c r="D1132" s="3" t="s">
        <v>6635</v>
      </c>
      <c r="E1132" s="3" t="s">
        <v>6636</v>
      </c>
      <c r="F1132" s="2" t="s">
        <v>6670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f t="shared" si="1"/>
        <v>1132</v>
      </c>
      <c r="B1133" s="3" t="s">
        <v>6671</v>
      </c>
      <c r="C1133" s="3" t="s">
        <v>6672</v>
      </c>
      <c r="D1133" s="3" t="s">
        <v>6635</v>
      </c>
      <c r="E1133" s="3" t="s">
        <v>6636</v>
      </c>
      <c r="F1133" s="2" t="s">
        <v>6673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f t="shared" si="1"/>
        <v>1133</v>
      </c>
      <c r="B1134" s="3" t="s">
        <v>6674</v>
      </c>
      <c r="C1134" s="3" t="s">
        <v>6675</v>
      </c>
      <c r="D1134" s="3" t="s">
        <v>6635</v>
      </c>
      <c r="E1134" s="3" t="s">
        <v>6636</v>
      </c>
      <c r="F1134" s="2" t="s">
        <v>6676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f t="shared" si="1"/>
        <v>1134</v>
      </c>
      <c r="B1135" s="3" t="s">
        <v>6677</v>
      </c>
      <c r="C1135" s="3" t="s">
        <v>6678</v>
      </c>
      <c r="D1135" s="3" t="s">
        <v>6635</v>
      </c>
      <c r="E1135" s="3" t="s">
        <v>6636</v>
      </c>
      <c r="F1135" s="2" t="s">
        <v>6679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f t="shared" si="1"/>
        <v>1135</v>
      </c>
      <c r="B1136" s="3" t="s">
        <v>6680</v>
      </c>
      <c r="C1136" s="3" t="s">
        <v>6681</v>
      </c>
      <c r="D1136" s="3" t="s">
        <v>6635</v>
      </c>
      <c r="E1136" s="3" t="s">
        <v>6636</v>
      </c>
      <c r="F1136" s="2" t="s">
        <v>6682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f t="shared" si="1"/>
        <v>1136</v>
      </c>
      <c r="B1137" s="3" t="s">
        <v>6683</v>
      </c>
      <c r="C1137" s="3" t="s">
        <v>6684</v>
      </c>
      <c r="D1137" s="3" t="s">
        <v>6635</v>
      </c>
      <c r="E1137" s="3" t="s">
        <v>6636</v>
      </c>
      <c r="F1137" s="2" t="s">
        <v>6685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f t="shared" si="1"/>
        <v>1137</v>
      </c>
      <c r="B1138" s="3" t="s">
        <v>6686</v>
      </c>
      <c r="C1138" s="3" t="s">
        <v>6687</v>
      </c>
      <c r="D1138" s="3" t="s">
        <v>6635</v>
      </c>
      <c r="E1138" s="3" t="s">
        <v>6636</v>
      </c>
      <c r="F1138" s="2" t="s">
        <v>6688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f t="shared" si="1"/>
        <v>1138</v>
      </c>
      <c r="B1139" s="3" t="s">
        <v>6689</v>
      </c>
      <c r="C1139" s="3" t="s">
        <v>6690</v>
      </c>
      <c r="D1139" s="3" t="s">
        <v>6635</v>
      </c>
      <c r="E1139" s="3" t="s">
        <v>6636</v>
      </c>
      <c r="F1139" s="2" t="s">
        <v>6691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f t="shared" si="1"/>
        <v>1139</v>
      </c>
      <c r="B1140" s="3" t="s">
        <v>6692</v>
      </c>
      <c r="C1140" s="3" t="s">
        <v>6693</v>
      </c>
      <c r="D1140" s="3" t="s">
        <v>6635</v>
      </c>
      <c r="E1140" s="3" t="s">
        <v>6636</v>
      </c>
      <c r="F1140" s="2" t="s">
        <v>6694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f t="shared" si="1"/>
        <v>1140</v>
      </c>
      <c r="B1141" s="3" t="s">
        <v>6695</v>
      </c>
      <c r="C1141" s="3" t="s">
        <v>6696</v>
      </c>
      <c r="D1141" s="3" t="s">
        <v>6635</v>
      </c>
      <c r="E1141" s="3" t="s">
        <v>6636</v>
      </c>
      <c r="F1141" s="2" t="s">
        <v>6697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f t="shared" si="1"/>
        <v>1141</v>
      </c>
      <c r="B1142" s="3" t="s">
        <v>6698</v>
      </c>
      <c r="C1142" s="3" t="s">
        <v>6699</v>
      </c>
      <c r="D1142" s="3" t="s">
        <v>6635</v>
      </c>
      <c r="E1142" s="3" t="s">
        <v>6636</v>
      </c>
      <c r="F1142" s="2" t="s">
        <v>6700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f t="shared" si="1"/>
        <v>1142</v>
      </c>
      <c r="B1143" s="3" t="s">
        <v>6701</v>
      </c>
      <c r="C1143" s="3" t="s">
        <v>6702</v>
      </c>
      <c r="D1143" s="3" t="s">
        <v>6635</v>
      </c>
      <c r="E1143" s="3" t="s">
        <v>6636</v>
      </c>
      <c r="F1143" s="2" t="s">
        <v>6703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f t="shared" si="1"/>
        <v>1143</v>
      </c>
      <c r="B1144" s="3" t="s">
        <v>6704</v>
      </c>
      <c r="C1144" s="3" t="s">
        <v>6705</v>
      </c>
      <c r="D1144" s="3" t="s">
        <v>6635</v>
      </c>
      <c r="E1144" s="3" t="s">
        <v>6636</v>
      </c>
      <c r="F1144" s="2" t="s">
        <v>6706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f t="shared" si="1"/>
        <v>1144</v>
      </c>
      <c r="B1145" s="3" t="s">
        <v>6707</v>
      </c>
      <c r="C1145" s="3" t="s">
        <v>6708</v>
      </c>
      <c r="D1145" s="3" t="s">
        <v>6635</v>
      </c>
      <c r="E1145" s="3" t="s">
        <v>6636</v>
      </c>
      <c r="F1145" s="2" t="s">
        <v>6709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f t="shared" si="1"/>
        <v>1145</v>
      </c>
      <c r="B1146" s="3" t="s">
        <v>6710</v>
      </c>
      <c r="C1146" s="3" t="s">
        <v>6711</v>
      </c>
      <c r="D1146" s="3" t="s">
        <v>6635</v>
      </c>
      <c r="E1146" s="3" t="s">
        <v>6636</v>
      </c>
      <c r="F1146" s="2" t="s">
        <v>6712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f t="shared" si="1"/>
        <v>1146</v>
      </c>
      <c r="B1147" s="3" t="s">
        <v>6713</v>
      </c>
      <c r="C1147" s="3" t="s">
        <v>6714</v>
      </c>
      <c r="D1147" s="3" t="s">
        <v>6635</v>
      </c>
      <c r="E1147" s="3" t="s">
        <v>6636</v>
      </c>
      <c r="F1147" s="2" t="s">
        <v>6715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f t="shared" si="1"/>
        <v>1147</v>
      </c>
      <c r="B1148" s="3" t="s">
        <v>6716</v>
      </c>
      <c r="C1148" s="3" t="s">
        <v>6717</v>
      </c>
      <c r="D1148" s="3" t="s">
        <v>6635</v>
      </c>
      <c r="E1148" s="3" t="s">
        <v>6636</v>
      </c>
      <c r="F1148" s="2" t="s">
        <v>6718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f t="shared" si="1"/>
        <v>1148</v>
      </c>
      <c r="B1149" s="3" t="s">
        <v>6719</v>
      </c>
      <c r="C1149" s="3" t="s">
        <v>6720</v>
      </c>
      <c r="D1149" s="3" t="s">
        <v>6635</v>
      </c>
      <c r="E1149" s="3" t="s">
        <v>6636</v>
      </c>
      <c r="F1149" s="2" t="s">
        <v>6721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f t="shared" si="1"/>
        <v>1149</v>
      </c>
      <c r="B1150" s="3" t="s">
        <v>6722</v>
      </c>
      <c r="C1150" s="3" t="s">
        <v>6723</v>
      </c>
      <c r="D1150" s="3" t="s">
        <v>6635</v>
      </c>
      <c r="E1150" s="3" t="s">
        <v>6636</v>
      </c>
      <c r="F1150" s="2" t="s">
        <v>6724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f t="shared" si="1"/>
        <v>1150</v>
      </c>
      <c r="B1151" s="3" t="s">
        <v>6725</v>
      </c>
      <c r="C1151" s="3" t="s">
        <v>6726</v>
      </c>
      <c r="D1151" s="3" t="s">
        <v>6635</v>
      </c>
      <c r="E1151" s="3" t="s">
        <v>6636</v>
      </c>
      <c r="F1151" s="2" t="s">
        <v>6727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f t="shared" si="1"/>
        <v>1151</v>
      </c>
      <c r="B1152" s="3" t="s">
        <v>6728</v>
      </c>
      <c r="C1152" s="3" t="s">
        <v>6729</v>
      </c>
      <c r="D1152" s="3" t="s">
        <v>6635</v>
      </c>
      <c r="E1152" s="3" t="s">
        <v>6636</v>
      </c>
      <c r="F1152" s="2" t="s">
        <v>6730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f t="shared" si="1"/>
        <v>1152</v>
      </c>
      <c r="B1153" s="3" t="s">
        <v>6731</v>
      </c>
      <c r="C1153" s="3" t="s">
        <v>6732</v>
      </c>
      <c r="D1153" s="3" t="s">
        <v>6635</v>
      </c>
      <c r="E1153" s="3" t="s">
        <v>6636</v>
      </c>
      <c r="F1153" s="2" t="s">
        <v>6733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f t="shared" si="1"/>
        <v>1153</v>
      </c>
      <c r="B1154" s="3" t="s">
        <v>6734</v>
      </c>
      <c r="C1154" s="3" t="s">
        <v>6735</v>
      </c>
      <c r="D1154" s="3" t="s">
        <v>6635</v>
      </c>
      <c r="E1154" s="3" t="s">
        <v>6636</v>
      </c>
      <c r="F1154" s="2" t="s">
        <v>6736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f t="shared" si="1"/>
        <v>1154</v>
      </c>
      <c r="B1155" s="3" t="s">
        <v>6737</v>
      </c>
      <c r="C1155" s="3" t="s">
        <v>6738</v>
      </c>
      <c r="D1155" s="3" t="s">
        <v>6635</v>
      </c>
      <c r="E1155" s="3" t="s">
        <v>6636</v>
      </c>
      <c r="F1155" s="2" t="s">
        <v>6739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f t="shared" si="1"/>
        <v>1155</v>
      </c>
      <c r="B1156" s="3" t="s">
        <v>6740</v>
      </c>
      <c r="C1156" s="3" t="s">
        <v>6741</v>
      </c>
      <c r="D1156" s="3" t="s">
        <v>6635</v>
      </c>
      <c r="E1156" s="3" t="s">
        <v>6636</v>
      </c>
      <c r="F1156" s="2" t="s">
        <v>6742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f t="shared" si="1"/>
        <v>1156</v>
      </c>
      <c r="B1157" s="3" t="s">
        <v>6743</v>
      </c>
      <c r="C1157" s="3" t="s">
        <v>6744</v>
      </c>
      <c r="D1157" s="3" t="s">
        <v>6635</v>
      </c>
      <c r="E1157" s="3" t="s">
        <v>6636</v>
      </c>
      <c r="F1157" s="2" t="s">
        <v>6745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f t="shared" si="1"/>
        <v>1157</v>
      </c>
      <c r="B1158" s="3" t="s">
        <v>6746</v>
      </c>
      <c r="C1158" s="3" t="s">
        <v>6747</v>
      </c>
      <c r="D1158" s="3" t="s">
        <v>6635</v>
      </c>
      <c r="E1158" s="3" t="s">
        <v>6636</v>
      </c>
      <c r="F1158" s="2" t="s">
        <v>6748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f t="shared" si="1"/>
        <v>1158</v>
      </c>
      <c r="B1159" s="3" t="s">
        <v>6749</v>
      </c>
      <c r="C1159" s="3" t="s">
        <v>6750</v>
      </c>
      <c r="D1159" s="3" t="s">
        <v>6635</v>
      </c>
      <c r="E1159" s="3" t="s">
        <v>6636</v>
      </c>
      <c r="F1159" s="2" t="s">
        <v>6751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f t="shared" si="1"/>
        <v>1159</v>
      </c>
      <c r="B1160" s="3" t="s">
        <v>6752</v>
      </c>
      <c r="C1160" s="3" t="s">
        <v>6753</v>
      </c>
      <c r="D1160" s="3" t="s">
        <v>6635</v>
      </c>
      <c r="E1160" s="3" t="s">
        <v>6636</v>
      </c>
      <c r="F1160" s="2" t="s">
        <v>6754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f t="shared" si="1"/>
        <v>1160</v>
      </c>
      <c r="B1161" s="3" t="s">
        <v>6755</v>
      </c>
      <c r="C1161" s="3" t="s">
        <v>6756</v>
      </c>
      <c r="D1161" s="3" t="s">
        <v>6635</v>
      </c>
      <c r="E1161" s="3" t="s">
        <v>6636</v>
      </c>
      <c r="F1161" s="2" t="s">
        <v>6757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f t="shared" si="1"/>
        <v>1161</v>
      </c>
      <c r="B1162" s="3" t="s">
        <v>6758</v>
      </c>
      <c r="C1162" s="3" t="s">
        <v>6759</v>
      </c>
      <c r="D1162" s="3" t="s">
        <v>6760</v>
      </c>
      <c r="E1162" s="3" t="s">
        <v>6761</v>
      </c>
      <c r="F1162" s="2" t="s">
        <v>6762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f t="shared" si="1"/>
        <v>1162</v>
      </c>
      <c r="B1163" s="3" t="s">
        <v>6763</v>
      </c>
      <c r="C1163" s="3" t="s">
        <v>6764</v>
      </c>
      <c r="D1163" s="3" t="s">
        <v>6760</v>
      </c>
      <c r="E1163" s="3" t="s">
        <v>6761</v>
      </c>
      <c r="F1163" s="2" t="s">
        <v>6765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f t="shared" si="1"/>
        <v>1163</v>
      </c>
      <c r="B1164" s="3" t="s">
        <v>6766</v>
      </c>
      <c r="C1164" s="3" t="s">
        <v>6767</v>
      </c>
      <c r="D1164" s="3" t="s">
        <v>6760</v>
      </c>
      <c r="E1164" s="3" t="s">
        <v>6761</v>
      </c>
      <c r="F1164" s="2" t="s">
        <v>6768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f t="shared" si="1"/>
        <v>1164</v>
      </c>
      <c r="B1165" s="3" t="s">
        <v>6769</v>
      </c>
      <c r="C1165" s="3" t="s">
        <v>6770</v>
      </c>
      <c r="D1165" s="3" t="s">
        <v>6760</v>
      </c>
      <c r="E1165" s="3" t="s">
        <v>6761</v>
      </c>
      <c r="F1165" s="2" t="s">
        <v>6771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f t="shared" si="1"/>
        <v>1165</v>
      </c>
      <c r="B1166" s="3" t="s">
        <v>6772</v>
      </c>
      <c r="C1166" s="3" t="s">
        <v>6773</v>
      </c>
      <c r="D1166" s="3" t="s">
        <v>6760</v>
      </c>
      <c r="E1166" s="3" t="s">
        <v>6761</v>
      </c>
      <c r="F1166" s="2" t="s">
        <v>6774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f t="shared" si="1"/>
        <v>1166</v>
      </c>
      <c r="B1167" s="3" t="s">
        <v>6775</v>
      </c>
      <c r="C1167" s="3" t="s">
        <v>6776</v>
      </c>
      <c r="D1167" s="3" t="s">
        <v>6760</v>
      </c>
      <c r="E1167" s="3" t="s">
        <v>6761</v>
      </c>
      <c r="F1167" s="2" t="s">
        <v>6777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f t="shared" si="1"/>
        <v>1167</v>
      </c>
      <c r="B1168" s="3" t="s">
        <v>6778</v>
      </c>
      <c r="C1168" s="3" t="s">
        <v>6779</v>
      </c>
      <c r="D1168" s="3" t="s">
        <v>6760</v>
      </c>
      <c r="E1168" s="3" t="s">
        <v>6761</v>
      </c>
      <c r="F1168" s="2" t="s">
        <v>6780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f t="shared" si="1"/>
        <v>1168</v>
      </c>
      <c r="B1169" s="3" t="s">
        <v>6781</v>
      </c>
      <c r="C1169" s="3" t="s">
        <v>6782</v>
      </c>
      <c r="D1169" s="3" t="s">
        <v>6760</v>
      </c>
      <c r="E1169" s="3" t="s">
        <v>6761</v>
      </c>
      <c r="F1169" s="2" t="s">
        <v>6783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f t="shared" si="1"/>
        <v>1169</v>
      </c>
      <c r="B1170" s="3" t="s">
        <v>6784</v>
      </c>
      <c r="C1170" s="3" t="s">
        <v>6785</v>
      </c>
      <c r="D1170" s="3" t="s">
        <v>6760</v>
      </c>
      <c r="E1170" s="3" t="s">
        <v>6761</v>
      </c>
      <c r="F1170" s="2" t="s">
        <v>6786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f t="shared" si="1"/>
        <v>1170</v>
      </c>
      <c r="B1171" s="3" t="s">
        <v>6787</v>
      </c>
      <c r="C1171" s="3" t="s">
        <v>6788</v>
      </c>
      <c r="D1171" s="3" t="s">
        <v>6760</v>
      </c>
      <c r="E1171" s="3" t="s">
        <v>6761</v>
      </c>
      <c r="F1171" s="2" t="s">
        <v>6789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f t="shared" si="1"/>
        <v>1171</v>
      </c>
      <c r="B1172" s="3" t="s">
        <v>6790</v>
      </c>
      <c r="C1172" s="3" t="s">
        <v>6791</v>
      </c>
      <c r="D1172" s="3" t="s">
        <v>6760</v>
      </c>
      <c r="E1172" s="3" t="s">
        <v>6761</v>
      </c>
      <c r="F1172" s="2" t="s">
        <v>6792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f t="shared" si="1"/>
        <v>1172</v>
      </c>
      <c r="B1173" s="3" t="s">
        <v>6793</v>
      </c>
      <c r="C1173" s="3" t="s">
        <v>6794</v>
      </c>
      <c r="D1173" s="3" t="s">
        <v>6760</v>
      </c>
      <c r="E1173" s="3" t="s">
        <v>6761</v>
      </c>
      <c r="F1173" s="2" t="s">
        <v>6795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f t="shared" si="1"/>
        <v>1173</v>
      </c>
      <c r="B1174" s="3" t="s">
        <v>705</v>
      </c>
      <c r="C1174" s="3" t="s">
        <v>3195</v>
      </c>
      <c r="D1174" s="3" t="s">
        <v>6760</v>
      </c>
      <c r="E1174" s="3" t="s">
        <v>6761</v>
      </c>
      <c r="F1174" s="2" t="s">
        <v>6796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f t="shared" si="1"/>
        <v>1174</v>
      </c>
      <c r="B1175" s="3" t="s">
        <v>827</v>
      </c>
      <c r="C1175" s="3" t="s">
        <v>3196</v>
      </c>
      <c r="D1175" s="3" t="s">
        <v>6760</v>
      </c>
      <c r="E1175" s="3" t="s">
        <v>6761</v>
      </c>
      <c r="F1175" s="2" t="s">
        <v>6797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f t="shared" si="1"/>
        <v>1175</v>
      </c>
      <c r="B1176" s="3" t="s">
        <v>6798</v>
      </c>
      <c r="C1176" s="3" t="s">
        <v>6799</v>
      </c>
      <c r="D1176" s="3" t="s">
        <v>6760</v>
      </c>
      <c r="E1176" s="3" t="s">
        <v>6761</v>
      </c>
      <c r="F1176" s="2" t="s">
        <v>6800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f t="shared" si="1"/>
        <v>1176</v>
      </c>
      <c r="B1177" s="3" t="s">
        <v>6801</v>
      </c>
      <c r="C1177" s="3" t="s">
        <v>6802</v>
      </c>
      <c r="D1177" s="3" t="s">
        <v>6760</v>
      </c>
      <c r="E1177" s="3" t="s">
        <v>6761</v>
      </c>
      <c r="F1177" s="2" t="s">
        <v>6803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f t="shared" si="1"/>
        <v>1177</v>
      </c>
      <c r="B1178" s="3" t="s">
        <v>6804</v>
      </c>
      <c r="C1178" s="3" t="s">
        <v>6805</v>
      </c>
      <c r="D1178" s="3" t="s">
        <v>6760</v>
      </c>
      <c r="E1178" s="3" t="s">
        <v>6761</v>
      </c>
      <c r="F1178" s="2" t="s">
        <v>6806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f t="shared" si="1"/>
        <v>1178</v>
      </c>
      <c r="B1179" s="3" t="s">
        <v>701</v>
      </c>
      <c r="C1179" s="3" t="s">
        <v>3115</v>
      </c>
      <c r="D1179" s="3" t="s">
        <v>6760</v>
      </c>
      <c r="E1179" s="3" t="s">
        <v>6761</v>
      </c>
      <c r="F1179" s="2" t="s">
        <v>6807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f t="shared" si="1"/>
        <v>1179</v>
      </c>
      <c r="B1180" s="3" t="s">
        <v>6808</v>
      </c>
      <c r="C1180" s="3" t="s">
        <v>6809</v>
      </c>
      <c r="D1180" s="3" t="s">
        <v>6760</v>
      </c>
      <c r="E1180" s="3" t="s">
        <v>6761</v>
      </c>
      <c r="F1180" s="2" t="s">
        <v>6810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f t="shared" si="1"/>
        <v>1180</v>
      </c>
      <c r="B1181" s="3" t="s">
        <v>6811</v>
      </c>
      <c r="C1181" s="3" t="s">
        <v>6812</v>
      </c>
      <c r="D1181" s="3" t="s">
        <v>6760</v>
      </c>
      <c r="E1181" s="3" t="s">
        <v>6761</v>
      </c>
      <c r="F1181" s="2" t="s">
        <v>6813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f t="shared" si="1"/>
        <v>1181</v>
      </c>
      <c r="B1182" s="3" t="s">
        <v>6814</v>
      </c>
      <c r="C1182" s="3" t="s">
        <v>6815</v>
      </c>
      <c r="D1182" s="3" t="s">
        <v>6760</v>
      </c>
      <c r="E1182" s="3" t="s">
        <v>6761</v>
      </c>
      <c r="F1182" s="2" t="s">
        <v>6816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f t="shared" si="1"/>
        <v>1182</v>
      </c>
      <c r="B1183" s="3" t="s">
        <v>6817</v>
      </c>
      <c r="C1183" s="3" t="s">
        <v>6818</v>
      </c>
      <c r="D1183" s="3" t="s">
        <v>6760</v>
      </c>
      <c r="E1183" s="3" t="s">
        <v>6761</v>
      </c>
      <c r="F1183" s="2" t="s">
        <v>6819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f t="shared" si="1"/>
        <v>1183</v>
      </c>
      <c r="B1184" s="3" t="s">
        <v>6820</v>
      </c>
      <c r="C1184" s="3" t="s">
        <v>6821</v>
      </c>
      <c r="D1184" s="3" t="s">
        <v>6760</v>
      </c>
      <c r="E1184" s="3" t="s">
        <v>6761</v>
      </c>
      <c r="F1184" s="2" t="s">
        <v>6822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f t="shared" si="1"/>
        <v>1184</v>
      </c>
      <c r="B1185" s="3" t="s">
        <v>6823</v>
      </c>
      <c r="C1185" s="3" t="s">
        <v>6824</v>
      </c>
      <c r="D1185" s="3" t="s">
        <v>6760</v>
      </c>
      <c r="E1185" s="3" t="s">
        <v>6761</v>
      </c>
      <c r="F1185" s="2" t="s">
        <v>6825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f t="shared" si="1"/>
        <v>1185</v>
      </c>
      <c r="B1186" s="3" t="s">
        <v>6826</v>
      </c>
      <c r="C1186" s="3" t="s">
        <v>6827</v>
      </c>
      <c r="D1186" s="3" t="s">
        <v>6760</v>
      </c>
      <c r="E1186" s="3" t="s">
        <v>6761</v>
      </c>
      <c r="F1186" s="2" t="s">
        <v>6828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f t="shared" si="1"/>
        <v>1186</v>
      </c>
      <c r="B1187" s="3" t="s">
        <v>6829</v>
      </c>
      <c r="C1187" s="3" t="s">
        <v>6830</v>
      </c>
      <c r="D1187" s="3" t="s">
        <v>6760</v>
      </c>
      <c r="E1187" s="3" t="s">
        <v>6761</v>
      </c>
      <c r="F1187" s="2" t="s">
        <v>6831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f t="shared" si="1"/>
        <v>1187</v>
      </c>
      <c r="B1188" s="3" t="s">
        <v>6832</v>
      </c>
      <c r="C1188" s="3" t="s">
        <v>6833</v>
      </c>
      <c r="D1188" s="3" t="s">
        <v>6760</v>
      </c>
      <c r="E1188" s="3" t="s">
        <v>6761</v>
      </c>
      <c r="F1188" s="2" t="s">
        <v>6834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f t="shared" si="1"/>
        <v>1188</v>
      </c>
      <c r="B1189" s="3" t="s">
        <v>6835</v>
      </c>
      <c r="C1189" s="3" t="s">
        <v>6836</v>
      </c>
      <c r="D1189" s="3" t="s">
        <v>6837</v>
      </c>
      <c r="E1189" s="3" t="s">
        <v>6838</v>
      </c>
      <c r="F1189" s="2" t="s">
        <v>6839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f t="shared" si="1"/>
        <v>1189</v>
      </c>
      <c r="B1190" s="3" t="s">
        <v>6840</v>
      </c>
      <c r="C1190" s="3" t="s">
        <v>6841</v>
      </c>
      <c r="D1190" s="3" t="s">
        <v>6837</v>
      </c>
      <c r="E1190" s="3" t="s">
        <v>6842</v>
      </c>
      <c r="F1190" s="2" t="s">
        <v>6843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f t="shared" si="1"/>
        <v>1190</v>
      </c>
      <c r="B1191" s="3" t="s">
        <v>6844</v>
      </c>
      <c r="C1191" s="3" t="s">
        <v>6845</v>
      </c>
      <c r="D1191" s="3" t="s">
        <v>6837</v>
      </c>
      <c r="E1191" s="3" t="s">
        <v>6842</v>
      </c>
      <c r="F1191" s="2" t="s">
        <v>6846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f t="shared" si="1"/>
        <v>1191</v>
      </c>
      <c r="B1192" s="3" t="s">
        <v>6847</v>
      </c>
      <c r="C1192" s="3" t="s">
        <v>6848</v>
      </c>
      <c r="D1192" s="3" t="s">
        <v>6837</v>
      </c>
      <c r="E1192" s="3" t="s">
        <v>6842</v>
      </c>
      <c r="F1192" s="2" t="s">
        <v>6849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f t="shared" si="1"/>
        <v>1192</v>
      </c>
      <c r="B1193" s="3" t="s">
        <v>6850</v>
      </c>
      <c r="C1193" s="3" t="s">
        <v>6851</v>
      </c>
      <c r="D1193" s="3" t="s">
        <v>6837</v>
      </c>
      <c r="E1193" s="3" t="s">
        <v>6842</v>
      </c>
      <c r="F1193" s="2" t="s">
        <v>6852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f t="shared" si="1"/>
        <v>1193</v>
      </c>
      <c r="B1194" s="3" t="s">
        <v>6853</v>
      </c>
      <c r="C1194" s="3" t="s">
        <v>6854</v>
      </c>
      <c r="D1194" s="3" t="s">
        <v>6837</v>
      </c>
      <c r="E1194" s="3" t="s">
        <v>6842</v>
      </c>
      <c r="F1194" s="2" t="s">
        <v>6855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f t="shared" si="1"/>
        <v>1194</v>
      </c>
      <c r="B1195" s="3" t="s">
        <v>6856</v>
      </c>
      <c r="C1195" s="3" t="s">
        <v>6857</v>
      </c>
      <c r="D1195" s="3" t="s">
        <v>6837</v>
      </c>
      <c r="E1195" s="3" t="s">
        <v>6842</v>
      </c>
      <c r="F1195" s="2" t="s">
        <v>6858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f t="shared" si="1"/>
        <v>1195</v>
      </c>
      <c r="B1196" s="3" t="s">
        <v>6859</v>
      </c>
      <c r="C1196" s="3" t="s">
        <v>6860</v>
      </c>
      <c r="D1196" s="3" t="s">
        <v>6837</v>
      </c>
      <c r="E1196" s="3" t="s">
        <v>6842</v>
      </c>
      <c r="F1196" s="2" t="s">
        <v>6861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f t="shared" si="1"/>
        <v>1196</v>
      </c>
      <c r="B1197" s="3" t="s">
        <v>6862</v>
      </c>
      <c r="C1197" s="3" t="s">
        <v>6863</v>
      </c>
      <c r="D1197" s="3" t="s">
        <v>6837</v>
      </c>
      <c r="E1197" s="3" t="s">
        <v>6842</v>
      </c>
      <c r="F1197" s="2" t="s">
        <v>6864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f t="shared" si="1"/>
        <v>1197</v>
      </c>
      <c r="B1198" s="3" t="s">
        <v>6865</v>
      </c>
      <c r="C1198" s="3" t="s">
        <v>6866</v>
      </c>
      <c r="D1198" s="3" t="s">
        <v>6837</v>
      </c>
      <c r="E1198" s="3" t="s">
        <v>6842</v>
      </c>
      <c r="F1198" s="2" t="s">
        <v>6867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f t="shared" si="1"/>
        <v>1198</v>
      </c>
      <c r="B1199" s="3" t="s">
        <v>6868</v>
      </c>
      <c r="C1199" s="3" t="s">
        <v>6869</v>
      </c>
      <c r="D1199" s="3" t="s">
        <v>6837</v>
      </c>
      <c r="E1199" s="3" t="s">
        <v>6842</v>
      </c>
      <c r="F1199" s="2" t="s">
        <v>6870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f t="shared" si="1"/>
        <v>1199</v>
      </c>
      <c r="B1200" s="3" t="s">
        <v>6871</v>
      </c>
      <c r="C1200" s="3" t="s">
        <v>6872</v>
      </c>
      <c r="D1200" s="3" t="s">
        <v>6837</v>
      </c>
      <c r="E1200" s="3" t="s">
        <v>6842</v>
      </c>
      <c r="F1200" s="2" t="s">
        <v>6873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f t="shared" si="1"/>
        <v>1200</v>
      </c>
      <c r="B1201" s="3" t="s">
        <v>6874</v>
      </c>
      <c r="C1201" s="3" t="s">
        <v>6875</v>
      </c>
      <c r="D1201" s="3" t="s">
        <v>6837</v>
      </c>
      <c r="E1201" s="3" t="s">
        <v>6842</v>
      </c>
      <c r="F1201" s="2" t="s">
        <v>6876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f t="shared" si="1"/>
        <v>1201</v>
      </c>
      <c r="B1202" s="3" t="s">
        <v>6877</v>
      </c>
      <c r="C1202" s="3" t="s">
        <v>6878</v>
      </c>
      <c r="D1202" s="3" t="s">
        <v>6837</v>
      </c>
      <c r="E1202" s="3" t="s">
        <v>6842</v>
      </c>
      <c r="F1202" s="2" t="s">
        <v>6879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f t="shared" si="1"/>
        <v>1202</v>
      </c>
      <c r="B1203" s="3" t="s">
        <v>6880</v>
      </c>
      <c r="C1203" s="3" t="s">
        <v>6881</v>
      </c>
      <c r="D1203" s="3" t="s">
        <v>6837</v>
      </c>
      <c r="E1203" s="3" t="s">
        <v>6842</v>
      </c>
      <c r="F1203" s="2" t="s">
        <v>6882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f t="shared" si="1"/>
        <v>1203</v>
      </c>
      <c r="B1204" s="3" t="s">
        <v>6883</v>
      </c>
      <c r="C1204" s="3" t="s">
        <v>6884</v>
      </c>
      <c r="D1204" s="3" t="s">
        <v>6837</v>
      </c>
      <c r="E1204" s="3" t="s">
        <v>6842</v>
      </c>
      <c r="F1204" s="2" t="s">
        <v>6885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f t="shared" si="1"/>
        <v>1204</v>
      </c>
      <c r="B1205" s="3" t="s">
        <v>6886</v>
      </c>
      <c r="C1205" s="3" t="s">
        <v>6887</v>
      </c>
      <c r="D1205" s="3" t="s">
        <v>6837</v>
      </c>
      <c r="E1205" s="3" t="s">
        <v>6842</v>
      </c>
      <c r="F1205" s="2" t="s">
        <v>6888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f t="shared" si="1"/>
        <v>1205</v>
      </c>
      <c r="B1206" s="3" t="s">
        <v>6889</v>
      </c>
      <c r="C1206" s="3" t="s">
        <v>6890</v>
      </c>
      <c r="D1206" s="3" t="s">
        <v>6837</v>
      </c>
      <c r="E1206" s="3" t="s">
        <v>6842</v>
      </c>
      <c r="F1206" s="2" t="s">
        <v>6891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f t="shared" si="1"/>
        <v>1206</v>
      </c>
      <c r="B1207" s="3" t="s">
        <v>6892</v>
      </c>
      <c r="C1207" s="3" t="s">
        <v>6893</v>
      </c>
      <c r="D1207" s="3" t="s">
        <v>6837</v>
      </c>
      <c r="E1207" s="3" t="s">
        <v>6842</v>
      </c>
      <c r="F1207" s="2" t="s">
        <v>6894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f t="shared" si="1"/>
        <v>1207</v>
      </c>
      <c r="B1208" s="3" t="s">
        <v>6895</v>
      </c>
      <c r="C1208" s="3" t="s">
        <v>6896</v>
      </c>
      <c r="D1208" s="3" t="s">
        <v>6837</v>
      </c>
      <c r="E1208" s="3" t="s">
        <v>6842</v>
      </c>
      <c r="F1208" s="2" t="s">
        <v>6897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f t="shared" si="1"/>
        <v>1208</v>
      </c>
      <c r="B1209" s="3" t="s">
        <v>6898</v>
      </c>
      <c r="C1209" s="3" t="s">
        <v>6899</v>
      </c>
      <c r="D1209" s="3" t="s">
        <v>6837</v>
      </c>
      <c r="E1209" s="3" t="s">
        <v>6838</v>
      </c>
      <c r="F1209" s="2" t="s">
        <v>6900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f t="shared" si="1"/>
        <v>1209</v>
      </c>
      <c r="B1210" s="3" t="s">
        <v>6901</v>
      </c>
      <c r="C1210" s="3" t="s">
        <v>6902</v>
      </c>
      <c r="D1210" s="3" t="s">
        <v>6837</v>
      </c>
      <c r="E1210" s="3" t="s">
        <v>6842</v>
      </c>
      <c r="F1210" s="2" t="s">
        <v>6903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f t="shared" si="1"/>
        <v>1210</v>
      </c>
      <c r="B1211" s="3" t="s">
        <v>6904</v>
      </c>
      <c r="C1211" s="3" t="s">
        <v>6905</v>
      </c>
      <c r="D1211" s="3" t="s">
        <v>6837</v>
      </c>
      <c r="E1211" s="3" t="s">
        <v>6842</v>
      </c>
      <c r="F1211" s="2" t="s">
        <v>6906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f t="shared" si="1"/>
        <v>1211</v>
      </c>
      <c r="B1212" s="3" t="s">
        <v>6907</v>
      </c>
      <c r="C1212" s="3" t="s">
        <v>6908</v>
      </c>
      <c r="D1212" s="3" t="s">
        <v>6837</v>
      </c>
      <c r="E1212" s="3" t="s">
        <v>6842</v>
      </c>
      <c r="F1212" s="2" t="s">
        <v>6909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f t="shared" si="1"/>
        <v>1212</v>
      </c>
      <c r="B1213" s="3" t="s">
        <v>6910</v>
      </c>
      <c r="C1213" s="3" t="s">
        <v>6911</v>
      </c>
      <c r="D1213" s="3" t="s">
        <v>6837</v>
      </c>
      <c r="E1213" s="3" t="s">
        <v>6838</v>
      </c>
      <c r="F1213" s="2" t="s">
        <v>6912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f t="shared" si="1"/>
        <v>1213</v>
      </c>
      <c r="B1214" s="3" t="s">
        <v>6913</v>
      </c>
      <c r="C1214" s="3" t="s">
        <v>6914</v>
      </c>
      <c r="D1214" s="3" t="s">
        <v>6837</v>
      </c>
      <c r="E1214" s="3" t="s">
        <v>6842</v>
      </c>
      <c r="F1214" s="2" t="s">
        <v>6915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f t="shared" si="1"/>
        <v>1214</v>
      </c>
      <c r="B1215" s="3" t="s">
        <v>6916</v>
      </c>
      <c r="C1215" s="3" t="s">
        <v>6917</v>
      </c>
      <c r="D1215" s="3" t="s">
        <v>6837</v>
      </c>
      <c r="E1215" s="3" t="s">
        <v>6842</v>
      </c>
      <c r="F1215" s="2" t="s">
        <v>6918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f t="shared" si="1"/>
        <v>1215</v>
      </c>
      <c r="B1216" s="3" t="s">
        <v>6919</v>
      </c>
      <c r="C1216" s="3" t="s">
        <v>6920</v>
      </c>
      <c r="D1216" s="3" t="s">
        <v>6837</v>
      </c>
      <c r="E1216" s="3" t="s">
        <v>6842</v>
      </c>
      <c r="F1216" s="2" t="s">
        <v>6921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f t="shared" si="1"/>
        <v>1216</v>
      </c>
      <c r="B1217" s="3" t="s">
        <v>6922</v>
      </c>
      <c r="C1217" s="3" t="s">
        <v>6923</v>
      </c>
      <c r="D1217" s="3" t="s">
        <v>6837</v>
      </c>
      <c r="E1217" s="3" t="s">
        <v>6842</v>
      </c>
      <c r="F1217" s="2" t="s">
        <v>6924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f t="shared" si="1"/>
        <v>1217</v>
      </c>
      <c r="B1218" s="3" t="s">
        <v>6925</v>
      </c>
      <c r="C1218" s="3" t="s">
        <v>6926</v>
      </c>
      <c r="D1218" s="3" t="s">
        <v>6837</v>
      </c>
      <c r="E1218" s="3" t="s">
        <v>6842</v>
      </c>
      <c r="F1218" s="2" t="s">
        <v>6927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f t="shared" si="1"/>
        <v>1218</v>
      </c>
      <c r="B1219" s="3" t="s">
        <v>6928</v>
      </c>
      <c r="C1219" s="3" t="s">
        <v>6929</v>
      </c>
      <c r="D1219" s="3" t="s">
        <v>6837</v>
      </c>
      <c r="E1219" s="3" t="s">
        <v>6842</v>
      </c>
      <c r="F1219" s="2" t="s">
        <v>6930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f t="shared" si="1"/>
        <v>1219</v>
      </c>
      <c r="B1220" s="3" t="s">
        <v>6931</v>
      </c>
      <c r="C1220" s="3" t="s">
        <v>6932</v>
      </c>
      <c r="D1220" s="3" t="s">
        <v>6837</v>
      </c>
      <c r="E1220" s="3" t="s">
        <v>6842</v>
      </c>
      <c r="F1220" s="2" t="s">
        <v>6933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f t="shared" si="1"/>
        <v>1220</v>
      </c>
      <c r="B1221" s="3" t="s">
        <v>6934</v>
      </c>
      <c r="C1221" s="3" t="s">
        <v>6935</v>
      </c>
      <c r="D1221" s="3" t="s">
        <v>6837</v>
      </c>
      <c r="E1221" s="3" t="s">
        <v>6842</v>
      </c>
      <c r="F1221" s="2" t="s">
        <v>6936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f t="shared" si="1"/>
        <v>1221</v>
      </c>
      <c r="B1222" s="3" t="s">
        <v>6937</v>
      </c>
      <c r="C1222" s="3" t="s">
        <v>6938</v>
      </c>
      <c r="D1222" s="3" t="s">
        <v>6837</v>
      </c>
      <c r="E1222" s="3" t="s">
        <v>6842</v>
      </c>
      <c r="F1222" s="2" t="s">
        <v>6939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f t="shared" si="1"/>
        <v>1222</v>
      </c>
      <c r="B1223" s="3" t="s">
        <v>6940</v>
      </c>
      <c r="C1223" s="3" t="s">
        <v>6941</v>
      </c>
      <c r="D1223" s="3" t="s">
        <v>6837</v>
      </c>
      <c r="E1223" s="3" t="s">
        <v>6842</v>
      </c>
      <c r="F1223" s="2" t="s">
        <v>6942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f t="shared" si="1"/>
        <v>1223</v>
      </c>
      <c r="B1224" s="3" t="s">
        <v>6943</v>
      </c>
      <c r="C1224" s="3" t="s">
        <v>6944</v>
      </c>
      <c r="D1224" s="3" t="s">
        <v>6837</v>
      </c>
      <c r="E1224" s="3" t="s">
        <v>6842</v>
      </c>
      <c r="F1224" s="2" t="s">
        <v>6945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f t="shared" si="1"/>
        <v>1224</v>
      </c>
      <c r="B1225" s="3" t="s">
        <v>6946</v>
      </c>
      <c r="C1225" s="3" t="s">
        <v>6947</v>
      </c>
      <c r="D1225" s="3" t="s">
        <v>6837</v>
      </c>
      <c r="E1225" s="3" t="s">
        <v>6842</v>
      </c>
      <c r="F1225" s="2" t="s">
        <v>6948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f t="shared" si="1"/>
        <v>1225</v>
      </c>
      <c r="B1226" s="3" t="s">
        <v>6949</v>
      </c>
      <c r="C1226" s="3" t="s">
        <v>6950</v>
      </c>
      <c r="D1226" s="3" t="s">
        <v>6837</v>
      </c>
      <c r="E1226" s="3" t="s">
        <v>6842</v>
      </c>
      <c r="F1226" s="2" t="s">
        <v>6951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f t="shared" si="1"/>
        <v>1226</v>
      </c>
      <c r="B1227" s="3" t="s">
        <v>6952</v>
      </c>
      <c r="C1227" s="3" t="s">
        <v>6953</v>
      </c>
      <c r="D1227" s="3" t="s">
        <v>6837</v>
      </c>
      <c r="E1227" s="3" t="s">
        <v>6842</v>
      </c>
      <c r="F1227" s="2" t="s">
        <v>6954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f t="shared" si="1"/>
        <v>1227</v>
      </c>
      <c r="B1228" s="3" t="s">
        <v>6955</v>
      </c>
      <c r="C1228" s="3" t="s">
        <v>6956</v>
      </c>
      <c r="D1228" s="3" t="s">
        <v>6837</v>
      </c>
      <c r="E1228" s="3" t="s">
        <v>6842</v>
      </c>
      <c r="F1228" s="2" t="s">
        <v>6957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f t="shared" si="1"/>
        <v>1228</v>
      </c>
      <c r="B1229" s="3" t="s">
        <v>6958</v>
      </c>
      <c r="C1229" s="3" t="s">
        <v>6959</v>
      </c>
      <c r="D1229" s="3" t="s">
        <v>6837</v>
      </c>
      <c r="E1229" s="3" t="s">
        <v>6842</v>
      </c>
      <c r="F1229" s="2" t="s">
        <v>6960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f t="shared" si="1"/>
        <v>1229</v>
      </c>
      <c r="B1230" s="3" t="s">
        <v>6961</v>
      </c>
      <c r="C1230" s="3" t="s">
        <v>6962</v>
      </c>
      <c r="D1230" s="3" t="s">
        <v>6837</v>
      </c>
      <c r="E1230" s="3" t="s">
        <v>6842</v>
      </c>
      <c r="F1230" s="2" t="s">
        <v>6963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f t="shared" si="1"/>
        <v>1230</v>
      </c>
      <c r="B1231" s="3" t="s">
        <v>6964</v>
      </c>
      <c r="C1231" s="3" t="s">
        <v>6965</v>
      </c>
      <c r="D1231" s="3" t="s">
        <v>6837</v>
      </c>
      <c r="E1231" s="3" t="s">
        <v>6842</v>
      </c>
      <c r="F1231" s="2" t="s">
        <v>6966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f t="shared" si="1"/>
        <v>1231</v>
      </c>
      <c r="B1232" s="3" t="s">
        <v>6967</v>
      </c>
      <c r="C1232" s="3" t="s">
        <v>6968</v>
      </c>
      <c r="D1232" s="3" t="s">
        <v>6837</v>
      </c>
      <c r="E1232" s="3" t="s">
        <v>6842</v>
      </c>
      <c r="F1232" s="2" t="s">
        <v>6969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f t="shared" si="1"/>
        <v>1232</v>
      </c>
      <c r="B1233" s="3" t="s">
        <v>6970</v>
      </c>
      <c r="C1233" s="3" t="s">
        <v>6971</v>
      </c>
      <c r="D1233" s="3" t="s">
        <v>6972</v>
      </c>
      <c r="E1233" s="3" t="s">
        <v>6973</v>
      </c>
      <c r="F1233" s="2" t="s">
        <v>6974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f t="shared" si="1"/>
        <v>1233</v>
      </c>
      <c r="B1234" s="3" t="s">
        <v>6975</v>
      </c>
      <c r="C1234" s="3" t="s">
        <v>6976</v>
      </c>
      <c r="D1234" s="3" t="s">
        <v>6972</v>
      </c>
      <c r="E1234" s="3" t="s">
        <v>6973</v>
      </c>
      <c r="F1234" s="2" t="s">
        <v>6977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f t="shared" si="1"/>
        <v>1234</v>
      </c>
      <c r="B1235" s="3" t="s">
        <v>6978</v>
      </c>
      <c r="C1235" s="3" t="s">
        <v>6979</v>
      </c>
      <c r="D1235" s="3" t="s">
        <v>6972</v>
      </c>
      <c r="E1235" s="3" t="s">
        <v>6973</v>
      </c>
      <c r="F1235" s="2" t="s">
        <v>6980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f t="shared" si="1"/>
        <v>1235</v>
      </c>
      <c r="B1236" s="3" t="s">
        <v>6981</v>
      </c>
      <c r="C1236" s="3" t="s">
        <v>6982</v>
      </c>
      <c r="D1236" s="3" t="s">
        <v>6972</v>
      </c>
      <c r="E1236" s="3" t="s">
        <v>6973</v>
      </c>
      <c r="F1236" s="2" t="s">
        <v>6983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f t="shared" si="1"/>
        <v>1236</v>
      </c>
      <c r="B1237" s="3" t="s">
        <v>6984</v>
      </c>
      <c r="C1237" s="3" t="s">
        <v>6985</v>
      </c>
      <c r="D1237" s="3" t="s">
        <v>6972</v>
      </c>
      <c r="E1237" s="3" t="s">
        <v>6973</v>
      </c>
      <c r="F1237" s="2" t="s">
        <v>6986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f t="shared" si="1"/>
        <v>1237</v>
      </c>
      <c r="B1238" s="3" t="s">
        <v>6987</v>
      </c>
      <c r="C1238" s="3" t="s">
        <v>6988</v>
      </c>
      <c r="D1238" s="3" t="s">
        <v>6972</v>
      </c>
      <c r="E1238" s="3" t="s">
        <v>6973</v>
      </c>
      <c r="F1238" s="2" t="s">
        <v>6989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f t="shared" si="1"/>
        <v>1238</v>
      </c>
      <c r="B1239" s="3" t="s">
        <v>6990</v>
      </c>
      <c r="C1239" s="3" t="s">
        <v>6991</v>
      </c>
      <c r="D1239" s="3" t="s">
        <v>6972</v>
      </c>
      <c r="E1239" s="3" t="s">
        <v>6973</v>
      </c>
      <c r="F1239" s="2" t="s">
        <v>6992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f t="shared" si="1"/>
        <v>1239</v>
      </c>
      <c r="B1240" s="3" t="s">
        <v>6993</v>
      </c>
      <c r="C1240" s="3" t="s">
        <v>6994</v>
      </c>
      <c r="D1240" s="3" t="s">
        <v>6972</v>
      </c>
      <c r="E1240" s="3" t="s">
        <v>6973</v>
      </c>
      <c r="F1240" s="2" t="s">
        <v>6995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f t="shared" si="1"/>
        <v>1240</v>
      </c>
      <c r="B1241" s="3" t="s">
        <v>6996</v>
      </c>
      <c r="C1241" s="3" t="s">
        <v>6997</v>
      </c>
      <c r="D1241" s="3" t="s">
        <v>6972</v>
      </c>
      <c r="E1241" s="3" t="s">
        <v>6973</v>
      </c>
      <c r="F1241" s="2" t="s">
        <v>6998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f t="shared" si="1"/>
        <v>1241</v>
      </c>
      <c r="B1242" s="3" t="s">
        <v>6999</v>
      </c>
      <c r="C1242" s="3" t="s">
        <v>7000</v>
      </c>
      <c r="D1242" s="3" t="s">
        <v>6972</v>
      </c>
      <c r="E1242" s="3" t="s">
        <v>6973</v>
      </c>
      <c r="F1242" s="2" t="s">
        <v>7001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f t="shared" si="1"/>
        <v>1242</v>
      </c>
      <c r="B1243" s="3" t="s">
        <v>7002</v>
      </c>
      <c r="C1243" s="3" t="s">
        <v>7003</v>
      </c>
      <c r="D1243" s="3" t="s">
        <v>6972</v>
      </c>
      <c r="E1243" s="3" t="s">
        <v>6973</v>
      </c>
      <c r="F1243" s="2" t="s">
        <v>7004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f t="shared" si="1"/>
        <v>1243</v>
      </c>
      <c r="B1244" s="3" t="s">
        <v>7005</v>
      </c>
      <c r="C1244" s="3" t="s">
        <v>7006</v>
      </c>
      <c r="D1244" s="3" t="s">
        <v>6972</v>
      </c>
      <c r="E1244" s="3" t="s">
        <v>6973</v>
      </c>
      <c r="F1244" s="2" t="s">
        <v>7007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f t="shared" si="1"/>
        <v>1244</v>
      </c>
      <c r="B1245" s="3" t="s">
        <v>7008</v>
      </c>
      <c r="C1245" s="3" t="s">
        <v>7009</v>
      </c>
      <c r="D1245" s="3" t="s">
        <v>6972</v>
      </c>
      <c r="E1245" s="3" t="s">
        <v>6973</v>
      </c>
      <c r="F1245" s="2" t="s">
        <v>7010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f t="shared" si="1"/>
        <v>1245</v>
      </c>
      <c r="B1246" s="3" t="s">
        <v>7011</v>
      </c>
      <c r="C1246" s="3" t="s">
        <v>7012</v>
      </c>
      <c r="D1246" s="3" t="s">
        <v>6972</v>
      </c>
      <c r="E1246" s="3" t="s">
        <v>6973</v>
      </c>
      <c r="F1246" s="2" t="s">
        <v>7013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f t="shared" si="1"/>
        <v>1246</v>
      </c>
      <c r="B1247" s="3" t="s">
        <v>7014</v>
      </c>
      <c r="C1247" s="3" t="s">
        <v>7015</v>
      </c>
      <c r="D1247" s="3" t="s">
        <v>6972</v>
      </c>
      <c r="E1247" s="3" t="s">
        <v>6973</v>
      </c>
      <c r="F1247" s="2" t="s">
        <v>7016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f t="shared" si="1"/>
        <v>1247</v>
      </c>
      <c r="B1248" s="3" t="s">
        <v>7017</v>
      </c>
      <c r="C1248" s="3" t="s">
        <v>7018</v>
      </c>
      <c r="D1248" s="3" t="s">
        <v>6972</v>
      </c>
      <c r="E1248" s="3" t="s">
        <v>6973</v>
      </c>
      <c r="F1248" s="2" t="s">
        <v>7019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f t="shared" si="1"/>
        <v>1248</v>
      </c>
      <c r="B1249" s="3" t="s">
        <v>7020</v>
      </c>
      <c r="C1249" s="3" t="s">
        <v>7021</v>
      </c>
      <c r="D1249" s="3" t="s">
        <v>6972</v>
      </c>
      <c r="E1249" s="3" t="s">
        <v>6973</v>
      </c>
      <c r="F1249" s="2" t="s">
        <v>7022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f t="shared" si="1"/>
        <v>1249</v>
      </c>
      <c r="B1250" s="3" t="s">
        <v>7023</v>
      </c>
      <c r="C1250" s="3" t="s">
        <v>7024</v>
      </c>
      <c r="D1250" s="3" t="s">
        <v>6972</v>
      </c>
      <c r="E1250" s="3" t="s">
        <v>6973</v>
      </c>
      <c r="F1250" s="2" t="s">
        <v>7025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f t="shared" si="1"/>
        <v>1250</v>
      </c>
      <c r="B1251" s="3" t="s">
        <v>7026</v>
      </c>
      <c r="C1251" s="3" t="s">
        <v>7027</v>
      </c>
      <c r="D1251" s="3" t="s">
        <v>6972</v>
      </c>
      <c r="E1251" s="3" t="s">
        <v>6973</v>
      </c>
      <c r="F1251" s="2" t="s">
        <v>7028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f t="shared" si="1"/>
        <v>1251</v>
      </c>
      <c r="B1252" s="3" t="s">
        <v>7029</v>
      </c>
      <c r="C1252" s="3" t="s">
        <v>7030</v>
      </c>
      <c r="D1252" s="3" t="s">
        <v>6972</v>
      </c>
      <c r="E1252" s="3" t="s">
        <v>6973</v>
      </c>
      <c r="F1252" s="2" t="s">
        <v>7031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f t="shared" si="1"/>
        <v>1252</v>
      </c>
      <c r="B1253" s="3" t="s">
        <v>7032</v>
      </c>
      <c r="C1253" s="3" t="s">
        <v>7033</v>
      </c>
      <c r="D1253" s="3" t="s">
        <v>6972</v>
      </c>
      <c r="E1253" s="3" t="s">
        <v>6973</v>
      </c>
      <c r="F1253" s="2" t="s">
        <v>7034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f t="shared" si="1"/>
        <v>1253</v>
      </c>
      <c r="B1254" s="3" t="s">
        <v>7035</v>
      </c>
      <c r="C1254" s="3" t="s">
        <v>7036</v>
      </c>
      <c r="D1254" s="3" t="s">
        <v>6972</v>
      </c>
      <c r="E1254" s="3" t="s">
        <v>6973</v>
      </c>
      <c r="F1254" s="2" t="s">
        <v>7037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f t="shared" si="1"/>
        <v>1254</v>
      </c>
      <c r="B1255" s="3" t="s">
        <v>7038</v>
      </c>
      <c r="C1255" s="3" t="s">
        <v>7039</v>
      </c>
      <c r="D1255" s="3" t="s">
        <v>6972</v>
      </c>
      <c r="E1255" s="3" t="s">
        <v>6973</v>
      </c>
      <c r="F1255" s="2" t="s">
        <v>7040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f t="shared" si="1"/>
        <v>1255</v>
      </c>
      <c r="B1256" s="3" t="s">
        <v>7041</v>
      </c>
      <c r="C1256" s="3" t="s">
        <v>7042</v>
      </c>
      <c r="D1256" s="3" t="s">
        <v>6972</v>
      </c>
      <c r="E1256" s="3" t="s">
        <v>6973</v>
      </c>
      <c r="F1256" s="2" t="s">
        <v>7043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f t="shared" si="1"/>
        <v>1256</v>
      </c>
      <c r="B1257" s="3" t="s">
        <v>7044</v>
      </c>
      <c r="C1257" s="3" t="s">
        <v>7045</v>
      </c>
      <c r="D1257" s="3" t="s">
        <v>6972</v>
      </c>
      <c r="E1257" s="3" t="s">
        <v>6973</v>
      </c>
      <c r="F1257" s="2" t="s">
        <v>7046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f t="shared" si="1"/>
        <v>1257</v>
      </c>
      <c r="B1258" s="3" t="s">
        <v>7047</v>
      </c>
      <c r="C1258" s="3" t="s">
        <v>7048</v>
      </c>
      <c r="D1258" s="3" t="s">
        <v>6972</v>
      </c>
      <c r="E1258" s="3" t="s">
        <v>6973</v>
      </c>
      <c r="F1258" s="2" t="s">
        <v>7049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f t="shared" si="1"/>
        <v>1258</v>
      </c>
      <c r="B1259" s="3" t="s">
        <v>7050</v>
      </c>
      <c r="C1259" s="3" t="s">
        <v>7051</v>
      </c>
      <c r="D1259" s="3" t="s">
        <v>6972</v>
      </c>
      <c r="E1259" s="3" t="s">
        <v>6973</v>
      </c>
      <c r="F1259" s="2" t="s">
        <v>7052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f t="shared" si="1"/>
        <v>1259</v>
      </c>
      <c r="B1260" s="3" t="s">
        <v>7053</v>
      </c>
      <c r="C1260" s="3" t="s">
        <v>7054</v>
      </c>
      <c r="D1260" s="3" t="s">
        <v>6972</v>
      </c>
      <c r="E1260" s="3" t="s">
        <v>6973</v>
      </c>
      <c r="F1260" s="2" t="s">
        <v>7055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f t="shared" si="1"/>
        <v>1260</v>
      </c>
      <c r="B1261" s="3" t="s">
        <v>7056</v>
      </c>
      <c r="C1261" s="3" t="s">
        <v>7057</v>
      </c>
      <c r="D1261" s="3" t="s">
        <v>6972</v>
      </c>
      <c r="E1261" s="3" t="s">
        <v>6973</v>
      </c>
      <c r="F1261" s="2" t="s">
        <v>7058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f t="shared" si="1"/>
        <v>1261</v>
      </c>
      <c r="B1262" s="3" t="s">
        <v>7059</v>
      </c>
      <c r="C1262" s="3" t="s">
        <v>7060</v>
      </c>
      <c r="D1262" s="3" t="s">
        <v>6972</v>
      </c>
      <c r="E1262" s="3" t="s">
        <v>6973</v>
      </c>
      <c r="F1262" s="2" t="s">
        <v>7061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f t="shared" si="1"/>
        <v>1262</v>
      </c>
      <c r="B1263" s="3" t="s">
        <v>7062</v>
      </c>
      <c r="C1263" s="3" t="s">
        <v>7063</v>
      </c>
      <c r="D1263" s="3" t="s">
        <v>6972</v>
      </c>
      <c r="E1263" s="3" t="s">
        <v>6973</v>
      </c>
      <c r="F1263" s="2" t="s">
        <v>7064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f t="shared" si="1"/>
        <v>1263</v>
      </c>
      <c r="B1264" s="3" t="s">
        <v>7065</v>
      </c>
      <c r="C1264" s="3" t="s">
        <v>7066</v>
      </c>
      <c r="D1264" s="3" t="s">
        <v>6972</v>
      </c>
      <c r="E1264" s="3" t="s">
        <v>6973</v>
      </c>
      <c r="F1264" s="2" t="s">
        <v>7067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f t="shared" si="1"/>
        <v>1264</v>
      </c>
      <c r="B1265" s="3" t="s">
        <v>7068</v>
      </c>
      <c r="C1265" s="3" t="s">
        <v>7069</v>
      </c>
      <c r="D1265" s="3" t="s">
        <v>6972</v>
      </c>
      <c r="E1265" s="3" t="s">
        <v>6973</v>
      </c>
      <c r="F1265" s="2" t="s">
        <v>7070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f t="shared" si="1"/>
        <v>1265</v>
      </c>
      <c r="B1266" s="3" t="s">
        <v>7071</v>
      </c>
      <c r="C1266" s="3" t="s">
        <v>7072</v>
      </c>
      <c r="D1266" s="3" t="s">
        <v>6972</v>
      </c>
      <c r="E1266" s="3" t="s">
        <v>6973</v>
      </c>
      <c r="F1266" s="2" t="s">
        <v>7073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f t="shared" si="1"/>
        <v>1266</v>
      </c>
      <c r="B1267" s="3" t="s">
        <v>7074</v>
      </c>
      <c r="C1267" s="3" t="s">
        <v>7075</v>
      </c>
      <c r="D1267" s="3" t="s">
        <v>6972</v>
      </c>
      <c r="E1267" s="3" t="s">
        <v>6973</v>
      </c>
      <c r="F1267" s="2" t="s">
        <v>7076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f t="shared" si="1"/>
        <v>1267</v>
      </c>
      <c r="B1268" s="3" t="s">
        <v>7077</v>
      </c>
      <c r="C1268" s="3" t="s">
        <v>7078</v>
      </c>
      <c r="D1268" s="3" t="s">
        <v>6972</v>
      </c>
      <c r="E1268" s="3" t="s">
        <v>6973</v>
      </c>
      <c r="F1268" s="2" t="s">
        <v>7079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f t="shared" si="1"/>
        <v>1268</v>
      </c>
      <c r="B1269" s="3" t="s">
        <v>7080</v>
      </c>
      <c r="C1269" s="3" t="s">
        <v>7081</v>
      </c>
      <c r="D1269" s="3" t="s">
        <v>6972</v>
      </c>
      <c r="E1269" s="3" t="s">
        <v>6973</v>
      </c>
      <c r="F1269" s="2" t="s">
        <v>7082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f t="shared" si="1"/>
        <v>1269</v>
      </c>
      <c r="B1270" s="3" t="s">
        <v>7083</v>
      </c>
      <c r="C1270" s="3" t="s">
        <v>7084</v>
      </c>
      <c r="D1270" s="3" t="s">
        <v>6972</v>
      </c>
      <c r="E1270" s="3" t="s">
        <v>6973</v>
      </c>
      <c r="F1270" s="2" t="s">
        <v>7085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f t="shared" si="1"/>
        <v>1270</v>
      </c>
      <c r="B1271" s="3" t="s">
        <v>7086</v>
      </c>
      <c r="C1271" s="3" t="s">
        <v>7087</v>
      </c>
      <c r="D1271" s="3" t="s">
        <v>6972</v>
      </c>
      <c r="E1271" s="3" t="s">
        <v>6973</v>
      </c>
      <c r="F1271" s="2" t="s">
        <v>7088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f t="shared" si="1"/>
        <v>1271</v>
      </c>
      <c r="B1272" s="3" t="s">
        <v>7089</v>
      </c>
      <c r="C1272" s="3" t="s">
        <v>7090</v>
      </c>
      <c r="D1272" s="3" t="s">
        <v>6972</v>
      </c>
      <c r="E1272" s="3" t="s">
        <v>6973</v>
      </c>
      <c r="F1272" s="2" t="s">
        <v>7091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f t="shared" si="1"/>
        <v>1272</v>
      </c>
      <c r="B1273" s="3" t="s">
        <v>7092</v>
      </c>
      <c r="C1273" s="3" t="s">
        <v>7093</v>
      </c>
      <c r="D1273" s="3" t="s">
        <v>6972</v>
      </c>
      <c r="E1273" s="3" t="s">
        <v>6973</v>
      </c>
      <c r="F1273" s="2" t="s">
        <v>7094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f t="shared" si="1"/>
        <v>1273</v>
      </c>
      <c r="B1274" s="3" t="s">
        <v>7095</v>
      </c>
      <c r="C1274" s="3" t="s">
        <v>7096</v>
      </c>
      <c r="D1274" s="3" t="s">
        <v>6972</v>
      </c>
      <c r="E1274" s="3" t="s">
        <v>6973</v>
      </c>
      <c r="F1274" s="2" t="s">
        <v>7097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f t="shared" si="1"/>
        <v>1274</v>
      </c>
      <c r="B1275" s="3" t="s">
        <v>7098</v>
      </c>
      <c r="C1275" s="3" t="s">
        <v>7099</v>
      </c>
      <c r="D1275" s="3" t="s">
        <v>6972</v>
      </c>
      <c r="E1275" s="3" t="s">
        <v>6973</v>
      </c>
      <c r="F1275" s="2" t="s">
        <v>7100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f t="shared" si="1"/>
        <v>1275</v>
      </c>
      <c r="B1276" s="3" t="s">
        <v>7101</v>
      </c>
      <c r="C1276" s="3" t="s">
        <v>7102</v>
      </c>
      <c r="D1276" s="3" t="s">
        <v>6972</v>
      </c>
      <c r="E1276" s="3" t="s">
        <v>6973</v>
      </c>
      <c r="F1276" s="2" t="s">
        <v>7103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f t="shared" si="1"/>
        <v>1276</v>
      </c>
      <c r="B1277" s="3" t="s">
        <v>7104</v>
      </c>
      <c r="C1277" s="3" t="s">
        <v>7105</v>
      </c>
      <c r="D1277" s="3" t="s">
        <v>6972</v>
      </c>
      <c r="E1277" s="3" t="s">
        <v>6973</v>
      </c>
      <c r="F1277" s="2" t="s">
        <v>7106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f t="shared" si="1"/>
        <v>1277</v>
      </c>
      <c r="B1278" s="3" t="s">
        <v>7107</v>
      </c>
      <c r="C1278" s="3" t="s">
        <v>7108</v>
      </c>
      <c r="D1278" s="3" t="s">
        <v>6972</v>
      </c>
      <c r="E1278" s="3" t="s">
        <v>6973</v>
      </c>
      <c r="F1278" s="2" t="s">
        <v>7109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f t="shared" si="1"/>
        <v>1278</v>
      </c>
      <c r="B1279" s="3" t="s">
        <v>7110</v>
      </c>
      <c r="C1279" s="3" t="s">
        <v>7111</v>
      </c>
      <c r="D1279" s="3" t="s">
        <v>6972</v>
      </c>
      <c r="E1279" s="3" t="s">
        <v>6973</v>
      </c>
      <c r="F1279" s="2" t="s">
        <v>7112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f t="shared" si="1"/>
        <v>1279</v>
      </c>
      <c r="B1280" s="3" t="s">
        <v>7113</v>
      </c>
      <c r="C1280" s="3" t="s">
        <v>7114</v>
      </c>
      <c r="D1280" s="3" t="s">
        <v>6972</v>
      </c>
      <c r="E1280" s="3" t="s">
        <v>6973</v>
      </c>
      <c r="F1280" s="2" t="s">
        <v>7115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f t="shared" si="1"/>
        <v>1280</v>
      </c>
      <c r="B1281" s="3" t="s">
        <v>7116</v>
      </c>
      <c r="C1281" s="3" t="s">
        <v>7117</v>
      </c>
      <c r="D1281" s="3" t="s">
        <v>6972</v>
      </c>
      <c r="E1281" s="3" t="s">
        <v>6973</v>
      </c>
      <c r="F1281" s="2" t="s">
        <v>7118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f t="shared" si="1"/>
        <v>1281</v>
      </c>
      <c r="B1282" s="3" t="s">
        <v>7119</v>
      </c>
      <c r="C1282" s="3" t="s">
        <v>7120</v>
      </c>
      <c r="D1282" s="3" t="s">
        <v>7121</v>
      </c>
      <c r="E1282" s="3" t="s">
        <v>7122</v>
      </c>
      <c r="F1282" s="2" t="s">
        <v>7123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f t="shared" si="1"/>
        <v>1282</v>
      </c>
      <c r="B1283" s="3" t="s">
        <v>7124</v>
      </c>
      <c r="C1283" s="3" t="s">
        <v>7125</v>
      </c>
      <c r="D1283" s="3" t="s">
        <v>7121</v>
      </c>
      <c r="E1283" s="3" t="s">
        <v>7122</v>
      </c>
      <c r="F1283" s="2" t="s">
        <v>7126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f t="shared" si="1"/>
        <v>1283</v>
      </c>
      <c r="B1284" s="3" t="s">
        <v>7127</v>
      </c>
      <c r="C1284" s="3" t="s">
        <v>7128</v>
      </c>
      <c r="D1284" s="3" t="s">
        <v>7121</v>
      </c>
      <c r="E1284" s="3" t="s">
        <v>7122</v>
      </c>
      <c r="F1284" s="2" t="s">
        <v>7129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f t="shared" si="1"/>
        <v>1284</v>
      </c>
      <c r="B1285" s="3" t="s">
        <v>7130</v>
      </c>
      <c r="C1285" s="3" t="s">
        <v>7131</v>
      </c>
      <c r="D1285" s="3" t="s">
        <v>7121</v>
      </c>
      <c r="E1285" s="3" t="s">
        <v>7122</v>
      </c>
      <c r="F1285" s="2" t="s">
        <v>7132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f t="shared" si="1"/>
        <v>1285</v>
      </c>
      <c r="B1286" s="3" t="s">
        <v>7133</v>
      </c>
      <c r="C1286" s="3" t="s">
        <v>7134</v>
      </c>
      <c r="D1286" s="3" t="s">
        <v>7121</v>
      </c>
      <c r="E1286" s="3" t="s">
        <v>7122</v>
      </c>
      <c r="F1286" s="2" t="s">
        <v>7135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f t="shared" si="1"/>
        <v>1286</v>
      </c>
      <c r="B1287" s="3" t="s">
        <v>7136</v>
      </c>
      <c r="C1287" s="3" t="s">
        <v>7137</v>
      </c>
      <c r="D1287" s="3" t="s">
        <v>7121</v>
      </c>
      <c r="E1287" s="3" t="s">
        <v>7122</v>
      </c>
      <c r="F1287" s="2" t="s">
        <v>7138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f t="shared" si="1"/>
        <v>1287</v>
      </c>
      <c r="B1288" s="3" t="s">
        <v>7139</v>
      </c>
      <c r="C1288" s="3" t="s">
        <v>7140</v>
      </c>
      <c r="D1288" s="3" t="s">
        <v>7121</v>
      </c>
      <c r="E1288" s="3" t="s">
        <v>7122</v>
      </c>
      <c r="F1288" s="2" t="s">
        <v>7141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f t="shared" si="1"/>
        <v>1288</v>
      </c>
      <c r="B1289" s="3" t="s">
        <v>7142</v>
      </c>
      <c r="C1289" s="3" t="s">
        <v>7143</v>
      </c>
      <c r="D1289" s="3" t="s">
        <v>7121</v>
      </c>
      <c r="E1289" s="3" t="s">
        <v>7122</v>
      </c>
      <c r="F1289" s="2" t="s">
        <v>7144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f t="shared" si="1"/>
        <v>1289</v>
      </c>
      <c r="B1290" s="3" t="s">
        <v>7145</v>
      </c>
      <c r="C1290" s="3" t="s">
        <v>7146</v>
      </c>
      <c r="D1290" s="3" t="s">
        <v>7121</v>
      </c>
      <c r="E1290" s="3" t="s">
        <v>7122</v>
      </c>
      <c r="F1290" s="2" t="s">
        <v>7147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f t="shared" si="1"/>
        <v>1290</v>
      </c>
      <c r="B1291" s="3" t="s">
        <v>7148</v>
      </c>
      <c r="C1291" s="3" t="s">
        <v>7149</v>
      </c>
      <c r="D1291" s="3" t="s">
        <v>7121</v>
      </c>
      <c r="E1291" s="3" t="s">
        <v>7122</v>
      </c>
      <c r="F1291" s="2" t="s">
        <v>7150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f t="shared" si="1"/>
        <v>1291</v>
      </c>
      <c r="B1292" s="3" t="s">
        <v>7151</v>
      </c>
      <c r="C1292" s="3" t="s">
        <v>7152</v>
      </c>
      <c r="D1292" s="3" t="s">
        <v>7121</v>
      </c>
      <c r="E1292" s="3" t="s">
        <v>7122</v>
      </c>
      <c r="F1292" s="2" t="s">
        <v>7153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f t="shared" si="1"/>
        <v>1292</v>
      </c>
      <c r="B1293" s="3" t="s">
        <v>7154</v>
      </c>
      <c r="C1293" s="3" t="s">
        <v>7155</v>
      </c>
      <c r="D1293" s="3" t="s">
        <v>7121</v>
      </c>
      <c r="E1293" s="3" t="s">
        <v>7122</v>
      </c>
      <c r="F1293" s="2" t="s">
        <v>7156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f t="shared" si="1"/>
        <v>1293</v>
      </c>
      <c r="B1294" s="3" t="s">
        <v>7157</v>
      </c>
      <c r="C1294" s="3" t="s">
        <v>7158</v>
      </c>
      <c r="D1294" s="3" t="s">
        <v>7121</v>
      </c>
      <c r="E1294" s="3" t="s">
        <v>7122</v>
      </c>
      <c r="F1294" s="2" t="s">
        <v>7159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f t="shared" si="1"/>
        <v>1294</v>
      </c>
      <c r="B1295" s="3" t="s">
        <v>7160</v>
      </c>
      <c r="C1295" s="3" t="s">
        <v>7161</v>
      </c>
      <c r="D1295" s="3" t="s">
        <v>7121</v>
      </c>
      <c r="E1295" s="3" t="s">
        <v>7122</v>
      </c>
      <c r="F1295" s="2" t="s">
        <v>7162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f t="shared" si="1"/>
        <v>1295</v>
      </c>
      <c r="B1296" s="3" t="s">
        <v>7163</v>
      </c>
      <c r="C1296" s="3" t="s">
        <v>7164</v>
      </c>
      <c r="D1296" s="3" t="s">
        <v>7121</v>
      </c>
      <c r="E1296" s="3" t="s">
        <v>7122</v>
      </c>
      <c r="F1296" s="2" t="s">
        <v>7165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f t="shared" si="1"/>
        <v>1296</v>
      </c>
      <c r="B1297" s="3" t="s">
        <v>7166</v>
      </c>
      <c r="C1297" s="3" t="s">
        <v>7167</v>
      </c>
      <c r="D1297" s="3" t="s">
        <v>7121</v>
      </c>
      <c r="E1297" s="3" t="s">
        <v>7122</v>
      </c>
      <c r="F1297" s="2" t="s">
        <v>7168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f t="shared" si="1"/>
        <v>1297</v>
      </c>
      <c r="B1298" s="3" t="s">
        <v>7169</v>
      </c>
      <c r="C1298" s="3" t="s">
        <v>7170</v>
      </c>
      <c r="D1298" s="3" t="s">
        <v>7121</v>
      </c>
      <c r="E1298" s="3" t="s">
        <v>7122</v>
      </c>
      <c r="F1298" s="2" t="s">
        <v>7171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f t="shared" si="1"/>
        <v>1298</v>
      </c>
      <c r="B1299" s="3" t="s">
        <v>7172</v>
      </c>
      <c r="C1299" s="3" t="s">
        <v>7173</v>
      </c>
      <c r="D1299" s="3" t="s">
        <v>7121</v>
      </c>
      <c r="E1299" s="3" t="s">
        <v>7122</v>
      </c>
      <c r="F1299" s="2" t="s">
        <v>7174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f t="shared" si="1"/>
        <v>1299</v>
      </c>
      <c r="B1300" s="3" t="s">
        <v>7175</v>
      </c>
      <c r="C1300" s="3" t="s">
        <v>7176</v>
      </c>
      <c r="D1300" s="3" t="s">
        <v>7121</v>
      </c>
      <c r="E1300" s="3" t="s">
        <v>7122</v>
      </c>
      <c r="F1300" s="2" t="s">
        <v>7177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f t="shared" si="1"/>
        <v>1300</v>
      </c>
      <c r="B1301" s="3" t="s">
        <v>7178</v>
      </c>
      <c r="C1301" s="3" t="s">
        <v>7179</v>
      </c>
      <c r="D1301" s="3" t="s">
        <v>7121</v>
      </c>
      <c r="E1301" s="3" t="s">
        <v>7122</v>
      </c>
      <c r="F1301" s="2" t="s">
        <v>7180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f t="shared" si="1"/>
        <v>1301</v>
      </c>
      <c r="B1302" s="3" t="s">
        <v>7181</v>
      </c>
      <c r="C1302" s="3" t="s">
        <v>7182</v>
      </c>
      <c r="D1302" s="3" t="s">
        <v>7121</v>
      </c>
      <c r="E1302" s="3" t="s">
        <v>7122</v>
      </c>
      <c r="F1302" s="2" t="s">
        <v>7183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f t="shared" si="1"/>
        <v>1302</v>
      </c>
      <c r="B1303" s="3" t="s">
        <v>7184</v>
      </c>
      <c r="C1303" s="3" t="s">
        <v>7185</v>
      </c>
      <c r="D1303" s="3" t="s">
        <v>7121</v>
      </c>
      <c r="E1303" s="3" t="s">
        <v>7122</v>
      </c>
      <c r="F1303" s="2" t="s">
        <v>7186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f t="shared" si="1"/>
        <v>1303</v>
      </c>
      <c r="B1304" s="3" t="s">
        <v>7187</v>
      </c>
      <c r="C1304" s="3" t="s">
        <v>7188</v>
      </c>
      <c r="D1304" s="3" t="s">
        <v>7121</v>
      </c>
      <c r="E1304" s="3" t="s">
        <v>7122</v>
      </c>
      <c r="F1304" s="2" t="s">
        <v>7189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f t="shared" si="1"/>
        <v>1304</v>
      </c>
      <c r="B1305" s="3" t="s">
        <v>7190</v>
      </c>
      <c r="C1305" s="3" t="s">
        <v>7191</v>
      </c>
      <c r="D1305" s="3" t="s">
        <v>7121</v>
      </c>
      <c r="E1305" s="3" t="s">
        <v>7122</v>
      </c>
      <c r="F1305" s="2" t="s">
        <v>7192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f t="shared" si="1"/>
        <v>1305</v>
      </c>
      <c r="B1306" s="3" t="s">
        <v>7193</v>
      </c>
      <c r="C1306" s="3" t="s">
        <v>7194</v>
      </c>
      <c r="D1306" s="3" t="s">
        <v>7121</v>
      </c>
      <c r="E1306" s="3" t="s">
        <v>7122</v>
      </c>
      <c r="F1306" s="2" t="s">
        <v>7195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f t="shared" si="1"/>
        <v>1306</v>
      </c>
      <c r="B1307" s="3" t="s">
        <v>7196</v>
      </c>
      <c r="C1307" s="3" t="s">
        <v>7197</v>
      </c>
      <c r="D1307" s="3" t="s">
        <v>7121</v>
      </c>
      <c r="E1307" s="3" t="s">
        <v>7122</v>
      </c>
      <c r="F1307" s="2" t="s">
        <v>7198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f t="shared" si="1"/>
        <v>1307</v>
      </c>
      <c r="B1308" s="3" t="s">
        <v>7199</v>
      </c>
      <c r="C1308" s="3" t="s">
        <v>7200</v>
      </c>
      <c r="D1308" s="3" t="s">
        <v>7121</v>
      </c>
      <c r="E1308" s="3" t="s">
        <v>7122</v>
      </c>
      <c r="F1308" s="2" t="s">
        <v>7201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f t="shared" si="1"/>
        <v>1308</v>
      </c>
      <c r="B1309" s="3" t="s">
        <v>7202</v>
      </c>
      <c r="C1309" s="3" t="s">
        <v>7203</v>
      </c>
      <c r="D1309" s="3" t="s">
        <v>7121</v>
      </c>
      <c r="E1309" s="3" t="s">
        <v>7122</v>
      </c>
      <c r="F1309" s="2" t="s">
        <v>7204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f t="shared" si="1"/>
        <v>1309</v>
      </c>
      <c r="B1310" s="3" t="s">
        <v>7205</v>
      </c>
      <c r="C1310" s="3" t="s">
        <v>7206</v>
      </c>
      <c r="D1310" s="3" t="s">
        <v>7121</v>
      </c>
      <c r="E1310" s="3" t="s">
        <v>7122</v>
      </c>
      <c r="F1310" s="2" t="s">
        <v>7207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f t="shared" si="1"/>
        <v>1310</v>
      </c>
      <c r="B1311" s="3" t="s">
        <v>7208</v>
      </c>
      <c r="C1311" s="3" t="s">
        <v>7209</v>
      </c>
      <c r="D1311" s="3" t="s">
        <v>7121</v>
      </c>
      <c r="E1311" s="3" t="s">
        <v>7122</v>
      </c>
      <c r="F1311" s="2" t="s">
        <v>7210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f t="shared" si="1"/>
        <v>1311</v>
      </c>
      <c r="B1312" s="3" t="s">
        <v>7211</v>
      </c>
      <c r="C1312" s="3" t="s">
        <v>7212</v>
      </c>
      <c r="D1312" s="3" t="s">
        <v>7121</v>
      </c>
      <c r="E1312" s="3" t="s">
        <v>7122</v>
      </c>
      <c r="F1312" s="2" t="s">
        <v>7213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f t="shared" si="1"/>
        <v>1312</v>
      </c>
      <c r="B1313" s="3" t="s">
        <v>7214</v>
      </c>
      <c r="C1313" s="3" t="s">
        <v>7215</v>
      </c>
      <c r="D1313" s="3" t="s">
        <v>7121</v>
      </c>
      <c r="E1313" s="3" t="s">
        <v>7122</v>
      </c>
      <c r="F1313" s="2" t="s">
        <v>7216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f t="shared" si="1"/>
        <v>1313</v>
      </c>
      <c r="B1314" s="3" t="s">
        <v>7217</v>
      </c>
      <c r="C1314" s="3" t="s">
        <v>7218</v>
      </c>
      <c r="D1314" s="3" t="s">
        <v>7121</v>
      </c>
      <c r="E1314" s="3" t="s">
        <v>7122</v>
      </c>
      <c r="F1314" s="2" t="s">
        <v>7219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f t="shared" si="1"/>
        <v>1314</v>
      </c>
      <c r="B1315" s="3" t="s">
        <v>7220</v>
      </c>
      <c r="C1315" s="3" t="s">
        <v>7221</v>
      </c>
      <c r="D1315" s="3" t="s">
        <v>7121</v>
      </c>
      <c r="E1315" s="3" t="s">
        <v>7122</v>
      </c>
      <c r="F1315" s="2" t="s">
        <v>7222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f t="shared" si="1"/>
        <v>1315</v>
      </c>
      <c r="B1316" s="3" t="s">
        <v>7223</v>
      </c>
      <c r="C1316" s="3" t="s">
        <v>7224</v>
      </c>
      <c r="D1316" s="3" t="s">
        <v>7121</v>
      </c>
      <c r="E1316" s="3" t="s">
        <v>7122</v>
      </c>
      <c r="F1316" s="2" t="s">
        <v>7225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f t="shared" si="1"/>
        <v>1316</v>
      </c>
      <c r="B1317" s="3" t="s">
        <v>7226</v>
      </c>
      <c r="C1317" s="3" t="s">
        <v>7227</v>
      </c>
      <c r="D1317" s="3" t="s">
        <v>7121</v>
      </c>
      <c r="E1317" s="3" t="s">
        <v>7122</v>
      </c>
      <c r="F1317" s="2" t="s">
        <v>7228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f t="shared" si="1"/>
        <v>1317</v>
      </c>
      <c r="B1318" s="3" t="s">
        <v>7229</v>
      </c>
      <c r="C1318" s="3" t="s">
        <v>7230</v>
      </c>
      <c r="D1318" s="3" t="s">
        <v>7121</v>
      </c>
      <c r="E1318" s="3" t="s">
        <v>7122</v>
      </c>
      <c r="F1318" s="2" t="s">
        <v>7231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f t="shared" si="1"/>
        <v>1318</v>
      </c>
      <c r="B1319" s="3" t="s">
        <v>7232</v>
      </c>
      <c r="C1319" s="3" t="s">
        <v>7233</v>
      </c>
      <c r="D1319" s="3" t="s">
        <v>7121</v>
      </c>
      <c r="E1319" s="3" t="s">
        <v>7122</v>
      </c>
      <c r="F1319" s="2" t="s">
        <v>7234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f t="shared" si="1"/>
        <v>1319</v>
      </c>
      <c r="B1320" s="3" t="s">
        <v>7235</v>
      </c>
      <c r="C1320" s="3" t="s">
        <v>7236</v>
      </c>
      <c r="D1320" s="3" t="s">
        <v>7121</v>
      </c>
      <c r="E1320" s="3" t="s">
        <v>7122</v>
      </c>
      <c r="F1320" s="2" t="s">
        <v>7237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f t="shared" si="1"/>
        <v>1320</v>
      </c>
      <c r="B1321" s="3" t="s">
        <v>7238</v>
      </c>
      <c r="C1321" s="3" t="s">
        <v>7239</v>
      </c>
      <c r="D1321" s="3" t="s">
        <v>7121</v>
      </c>
      <c r="E1321" s="3" t="s">
        <v>7122</v>
      </c>
      <c r="F1321" s="2" t="s">
        <v>7240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f t="shared" si="1"/>
        <v>1321</v>
      </c>
      <c r="B1322" s="3" t="s">
        <v>7241</v>
      </c>
      <c r="C1322" s="3" t="s">
        <v>7242</v>
      </c>
      <c r="D1322" s="3" t="s">
        <v>7121</v>
      </c>
      <c r="E1322" s="3" t="s">
        <v>7122</v>
      </c>
      <c r="F1322" s="2" t="s">
        <v>7243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f t="shared" si="1"/>
        <v>1322</v>
      </c>
      <c r="B1323" s="3" t="s">
        <v>7244</v>
      </c>
      <c r="C1323" s="3" t="s">
        <v>7245</v>
      </c>
      <c r="D1323" s="3" t="s">
        <v>7121</v>
      </c>
      <c r="E1323" s="3" t="s">
        <v>7122</v>
      </c>
      <c r="F1323" s="2" t="s">
        <v>7246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f t="shared" si="1"/>
        <v>1323</v>
      </c>
      <c r="B1324" s="3" t="s">
        <v>7247</v>
      </c>
      <c r="C1324" s="3" t="s">
        <v>7248</v>
      </c>
      <c r="D1324" s="3" t="s">
        <v>7121</v>
      </c>
      <c r="E1324" s="3" t="s">
        <v>7122</v>
      </c>
      <c r="F1324" s="2" t="s">
        <v>7249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f t="shared" si="1"/>
        <v>1324</v>
      </c>
      <c r="B1325" s="3" t="s">
        <v>7250</v>
      </c>
      <c r="C1325" s="3" t="s">
        <v>7251</v>
      </c>
      <c r="D1325" s="3" t="s">
        <v>7252</v>
      </c>
      <c r="E1325" s="3" t="s">
        <v>7253</v>
      </c>
      <c r="F1325" s="2" t="s">
        <v>7254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f t="shared" si="1"/>
        <v>1325</v>
      </c>
      <c r="B1326" s="3" t="s">
        <v>7255</v>
      </c>
      <c r="C1326" s="3" t="s">
        <v>7256</v>
      </c>
      <c r="D1326" s="3" t="s">
        <v>7252</v>
      </c>
      <c r="E1326" s="3" t="s">
        <v>7253</v>
      </c>
      <c r="F1326" s="2" t="s">
        <v>7257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f t="shared" si="1"/>
        <v>1326</v>
      </c>
      <c r="B1327" s="3" t="s">
        <v>7258</v>
      </c>
      <c r="C1327" s="3" t="s">
        <v>7259</v>
      </c>
      <c r="D1327" s="3" t="s">
        <v>7252</v>
      </c>
      <c r="E1327" s="3" t="s">
        <v>7253</v>
      </c>
      <c r="F1327" s="2" t="s">
        <v>7260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f t="shared" si="1"/>
        <v>1327</v>
      </c>
      <c r="B1328" s="3" t="s">
        <v>7261</v>
      </c>
      <c r="C1328" s="3" t="s">
        <v>7262</v>
      </c>
      <c r="D1328" s="3" t="s">
        <v>7252</v>
      </c>
      <c r="E1328" s="3" t="s">
        <v>7253</v>
      </c>
      <c r="F1328" s="2" t="s">
        <v>7263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f t="shared" si="1"/>
        <v>1328</v>
      </c>
      <c r="B1329" s="3" t="s">
        <v>7264</v>
      </c>
      <c r="C1329" s="3" t="s">
        <v>7265</v>
      </c>
      <c r="D1329" s="3" t="s">
        <v>7252</v>
      </c>
      <c r="E1329" s="3" t="s">
        <v>7253</v>
      </c>
      <c r="F1329" s="2" t="s">
        <v>7266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f t="shared" si="1"/>
        <v>1329</v>
      </c>
      <c r="B1330" s="3" t="s">
        <v>830</v>
      </c>
      <c r="C1330" s="3" t="s">
        <v>3210</v>
      </c>
      <c r="D1330" s="3" t="s">
        <v>7252</v>
      </c>
      <c r="E1330" s="3" t="s">
        <v>7253</v>
      </c>
      <c r="F1330" s="2" t="s">
        <v>7267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f t="shared" si="1"/>
        <v>1330</v>
      </c>
      <c r="B1331" s="3" t="s">
        <v>7268</v>
      </c>
      <c r="C1331" s="3" t="s">
        <v>7269</v>
      </c>
      <c r="D1331" s="3" t="s">
        <v>7252</v>
      </c>
      <c r="E1331" s="3" t="s">
        <v>7253</v>
      </c>
      <c r="F1331" s="2" t="s">
        <v>7270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f t="shared" si="1"/>
        <v>1331</v>
      </c>
      <c r="B1332" s="3" t="s">
        <v>7271</v>
      </c>
      <c r="C1332" s="3" t="s">
        <v>7272</v>
      </c>
      <c r="D1332" s="3" t="s">
        <v>7252</v>
      </c>
      <c r="E1332" s="3" t="s">
        <v>7253</v>
      </c>
      <c r="F1332" s="2" t="s">
        <v>7273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f t="shared" si="1"/>
        <v>1332</v>
      </c>
      <c r="B1333" s="3" t="s">
        <v>7274</v>
      </c>
      <c r="C1333" s="3" t="s">
        <v>7275</v>
      </c>
      <c r="D1333" s="3" t="s">
        <v>7252</v>
      </c>
      <c r="E1333" s="3" t="s">
        <v>7253</v>
      </c>
      <c r="F1333" s="2" t="s">
        <v>7276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f t="shared" si="1"/>
        <v>1333</v>
      </c>
      <c r="B1334" s="3" t="s">
        <v>7277</v>
      </c>
      <c r="C1334" s="3" t="s">
        <v>7278</v>
      </c>
      <c r="D1334" s="3" t="s">
        <v>7252</v>
      </c>
      <c r="E1334" s="3" t="s">
        <v>7253</v>
      </c>
      <c r="F1334" s="2" t="s">
        <v>7279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f t="shared" si="1"/>
        <v>1334</v>
      </c>
      <c r="B1335" s="3" t="s">
        <v>7280</v>
      </c>
      <c r="C1335" s="3" t="s">
        <v>7281</v>
      </c>
      <c r="D1335" s="3" t="s">
        <v>7252</v>
      </c>
      <c r="E1335" s="3" t="s">
        <v>7253</v>
      </c>
      <c r="F1335" s="2" t="s">
        <v>7282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f t="shared" si="1"/>
        <v>1335</v>
      </c>
      <c r="B1336" s="3" t="s">
        <v>7283</v>
      </c>
      <c r="C1336" s="3" t="s">
        <v>7284</v>
      </c>
      <c r="D1336" s="3" t="s">
        <v>7252</v>
      </c>
      <c r="E1336" s="3" t="s">
        <v>7253</v>
      </c>
      <c r="F1336" s="2" t="s">
        <v>7285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f t="shared" si="1"/>
        <v>1336</v>
      </c>
      <c r="B1337" s="3" t="s">
        <v>7286</v>
      </c>
      <c r="C1337" s="3" t="s">
        <v>7287</v>
      </c>
      <c r="D1337" s="3" t="s">
        <v>7252</v>
      </c>
      <c r="E1337" s="3" t="s">
        <v>7253</v>
      </c>
      <c r="F1337" s="2" t="s">
        <v>7288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f t="shared" si="1"/>
        <v>1337</v>
      </c>
      <c r="B1338" s="3" t="s">
        <v>7289</v>
      </c>
      <c r="C1338" s="3" t="s">
        <v>7290</v>
      </c>
      <c r="D1338" s="3" t="s">
        <v>7252</v>
      </c>
      <c r="E1338" s="3" t="s">
        <v>7253</v>
      </c>
      <c r="F1338" s="2" t="s">
        <v>7291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f t="shared" si="1"/>
        <v>1338</v>
      </c>
      <c r="B1339" s="3" t="s">
        <v>7292</v>
      </c>
      <c r="C1339" s="3" t="s">
        <v>7293</v>
      </c>
      <c r="D1339" s="3" t="s">
        <v>7252</v>
      </c>
      <c r="E1339" s="3" t="s">
        <v>7253</v>
      </c>
      <c r="F1339" s="2" t="s">
        <v>7294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f t="shared" si="1"/>
        <v>1339</v>
      </c>
      <c r="B1340" s="3" t="s">
        <v>7295</v>
      </c>
      <c r="C1340" s="3" t="s">
        <v>7296</v>
      </c>
      <c r="D1340" s="3" t="s">
        <v>7252</v>
      </c>
      <c r="E1340" s="3" t="s">
        <v>7253</v>
      </c>
      <c r="F1340" s="2" t="s">
        <v>7297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f t="shared" si="1"/>
        <v>1340</v>
      </c>
      <c r="B1341" s="3" t="s">
        <v>7298</v>
      </c>
      <c r="C1341" s="3" t="s">
        <v>7299</v>
      </c>
      <c r="D1341" s="3" t="s">
        <v>7252</v>
      </c>
      <c r="E1341" s="3" t="s">
        <v>7253</v>
      </c>
      <c r="F1341" s="2" t="s">
        <v>7300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f t="shared" si="1"/>
        <v>1341</v>
      </c>
      <c r="B1342" s="3" t="s">
        <v>7301</v>
      </c>
      <c r="C1342" s="3" t="s">
        <v>7302</v>
      </c>
      <c r="D1342" s="3" t="s">
        <v>7252</v>
      </c>
      <c r="E1342" s="3" t="s">
        <v>7253</v>
      </c>
      <c r="F1342" s="2" t="s">
        <v>7303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f t="shared" si="1"/>
        <v>1342</v>
      </c>
      <c r="B1343" s="3" t="s">
        <v>7304</v>
      </c>
      <c r="C1343" s="3" t="s">
        <v>7305</v>
      </c>
      <c r="D1343" s="3" t="s">
        <v>7252</v>
      </c>
      <c r="E1343" s="3" t="s">
        <v>7253</v>
      </c>
      <c r="F1343" s="2" t="s">
        <v>7306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f t="shared" si="1"/>
        <v>1343</v>
      </c>
      <c r="B1344" s="3" t="s">
        <v>7307</v>
      </c>
      <c r="C1344" s="3" t="s">
        <v>7308</v>
      </c>
      <c r="D1344" s="3" t="s">
        <v>7252</v>
      </c>
      <c r="E1344" s="3" t="s">
        <v>7253</v>
      </c>
      <c r="F1344" s="2" t="s">
        <v>7309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f t="shared" si="1"/>
        <v>1344</v>
      </c>
      <c r="B1345" s="3" t="s">
        <v>7310</v>
      </c>
      <c r="C1345" s="3" t="s">
        <v>7311</v>
      </c>
      <c r="D1345" s="3" t="s">
        <v>7252</v>
      </c>
      <c r="E1345" s="3" t="s">
        <v>7253</v>
      </c>
      <c r="F1345" s="2" t="s">
        <v>7312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f t="shared" si="1"/>
        <v>1345</v>
      </c>
      <c r="B1346" s="3" t="s">
        <v>7313</v>
      </c>
      <c r="C1346" s="3" t="s">
        <v>7314</v>
      </c>
      <c r="D1346" s="3" t="s">
        <v>7252</v>
      </c>
      <c r="E1346" s="3" t="s">
        <v>7253</v>
      </c>
      <c r="F1346" s="2" t="s">
        <v>7315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f t="shared" si="1"/>
        <v>1346</v>
      </c>
      <c r="B1347" s="3" t="s">
        <v>7316</v>
      </c>
      <c r="C1347" s="3" t="s">
        <v>7317</v>
      </c>
      <c r="D1347" s="3" t="s">
        <v>7252</v>
      </c>
      <c r="E1347" s="3" t="s">
        <v>7253</v>
      </c>
      <c r="F1347" s="2" t="s">
        <v>7318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f t="shared" si="1"/>
        <v>1347</v>
      </c>
      <c r="B1348" s="3" t="s">
        <v>7319</v>
      </c>
      <c r="C1348" s="3" t="s">
        <v>7320</v>
      </c>
      <c r="D1348" s="3" t="s">
        <v>7252</v>
      </c>
      <c r="E1348" s="3" t="s">
        <v>7253</v>
      </c>
      <c r="F1348" s="2" t="s">
        <v>7321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f t="shared" si="1"/>
        <v>1348</v>
      </c>
      <c r="B1349" s="3" t="s">
        <v>7322</v>
      </c>
      <c r="C1349" s="3" t="s">
        <v>7323</v>
      </c>
      <c r="D1349" s="3" t="s">
        <v>7252</v>
      </c>
      <c r="E1349" s="3" t="s">
        <v>7253</v>
      </c>
      <c r="F1349" s="2" t="s">
        <v>7324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f t="shared" si="1"/>
        <v>1349</v>
      </c>
      <c r="B1350" s="3" t="s">
        <v>7325</v>
      </c>
      <c r="C1350" s="3" t="s">
        <v>7326</v>
      </c>
      <c r="D1350" s="3" t="s">
        <v>7327</v>
      </c>
      <c r="E1350" s="3" t="s">
        <v>7328</v>
      </c>
      <c r="F1350" s="2" t="s">
        <v>7329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f t="shared" si="1"/>
        <v>1350</v>
      </c>
      <c r="B1351" s="3" t="s">
        <v>7330</v>
      </c>
      <c r="C1351" s="3" t="s">
        <v>7331</v>
      </c>
      <c r="D1351" s="3" t="s">
        <v>7327</v>
      </c>
      <c r="E1351" s="3" t="s">
        <v>7328</v>
      </c>
      <c r="F1351" s="2" t="s">
        <v>7332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f t="shared" si="1"/>
        <v>1351</v>
      </c>
      <c r="B1352" s="3" t="s">
        <v>7333</v>
      </c>
      <c r="C1352" s="3" t="s">
        <v>7334</v>
      </c>
      <c r="D1352" s="3" t="s">
        <v>7327</v>
      </c>
      <c r="E1352" s="3" t="s">
        <v>7328</v>
      </c>
      <c r="F1352" s="2" t="s">
        <v>7335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f t="shared" si="1"/>
        <v>1352</v>
      </c>
      <c r="B1353" s="3" t="s">
        <v>7336</v>
      </c>
      <c r="C1353" s="3" t="s">
        <v>7337</v>
      </c>
      <c r="D1353" s="3" t="s">
        <v>7327</v>
      </c>
      <c r="E1353" s="3" t="s">
        <v>7328</v>
      </c>
      <c r="F1353" s="2" t="s">
        <v>7338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f t="shared" si="1"/>
        <v>1353</v>
      </c>
      <c r="B1354" s="3" t="s">
        <v>7339</v>
      </c>
      <c r="C1354" s="3" t="s">
        <v>7340</v>
      </c>
      <c r="D1354" s="3" t="s">
        <v>7327</v>
      </c>
      <c r="E1354" s="3" t="s">
        <v>7328</v>
      </c>
      <c r="F1354" s="2" t="s">
        <v>7341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f t="shared" si="1"/>
        <v>1354</v>
      </c>
      <c r="B1355" s="3" t="s">
        <v>7342</v>
      </c>
      <c r="C1355" s="3" t="s">
        <v>7343</v>
      </c>
      <c r="D1355" s="3" t="s">
        <v>7327</v>
      </c>
      <c r="E1355" s="3" t="s">
        <v>7328</v>
      </c>
      <c r="F1355" s="2" t="s">
        <v>7344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f t="shared" si="1"/>
        <v>1355</v>
      </c>
      <c r="B1356" s="3" t="s">
        <v>7345</v>
      </c>
      <c r="C1356" s="3" t="s">
        <v>7346</v>
      </c>
      <c r="D1356" s="3" t="s">
        <v>7327</v>
      </c>
      <c r="E1356" s="3" t="s">
        <v>7328</v>
      </c>
      <c r="F1356" s="2" t="s">
        <v>7347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f t="shared" si="1"/>
        <v>1356</v>
      </c>
      <c r="B1357" s="3" t="s">
        <v>813</v>
      </c>
      <c r="C1357" s="3" t="s">
        <v>3149</v>
      </c>
      <c r="D1357" s="3" t="s">
        <v>7327</v>
      </c>
      <c r="E1357" s="3" t="s">
        <v>7328</v>
      </c>
      <c r="F1357" s="2" t="s">
        <v>7348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f t="shared" si="1"/>
        <v>1357</v>
      </c>
      <c r="B1358" s="3" t="s">
        <v>7349</v>
      </c>
      <c r="C1358" s="3" t="s">
        <v>7350</v>
      </c>
      <c r="D1358" s="3" t="s">
        <v>7327</v>
      </c>
      <c r="E1358" s="3" t="s">
        <v>7328</v>
      </c>
      <c r="F1358" s="2" t="s">
        <v>7351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f t="shared" si="1"/>
        <v>1358</v>
      </c>
      <c r="B1359" s="3" t="s">
        <v>933</v>
      </c>
      <c r="C1359" s="3" t="s">
        <v>3140</v>
      </c>
      <c r="D1359" s="3" t="s">
        <v>7327</v>
      </c>
      <c r="E1359" s="3" t="s">
        <v>7328</v>
      </c>
      <c r="F1359" s="2" t="s">
        <v>7352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f t="shared" si="1"/>
        <v>1359</v>
      </c>
      <c r="B1360" s="3" t="s">
        <v>818</v>
      </c>
      <c r="C1360" s="3" t="s">
        <v>3167</v>
      </c>
      <c r="D1360" s="3" t="s">
        <v>7327</v>
      </c>
      <c r="E1360" s="3" t="s">
        <v>7328</v>
      </c>
      <c r="F1360" s="2" t="s">
        <v>7353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f t="shared" si="1"/>
        <v>1360</v>
      </c>
      <c r="B1361" s="3" t="s">
        <v>7354</v>
      </c>
      <c r="C1361" s="3" t="s">
        <v>7355</v>
      </c>
      <c r="D1361" s="3" t="s">
        <v>7327</v>
      </c>
      <c r="E1361" s="3" t="s">
        <v>7328</v>
      </c>
      <c r="F1361" s="2" t="s">
        <v>7356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f t="shared" si="1"/>
        <v>1361</v>
      </c>
      <c r="B1362" s="3" t="s">
        <v>7357</v>
      </c>
      <c r="C1362" s="3" t="s">
        <v>7358</v>
      </c>
      <c r="D1362" s="3" t="s">
        <v>7327</v>
      </c>
      <c r="E1362" s="3" t="s">
        <v>7328</v>
      </c>
      <c r="F1362" s="2" t="s">
        <v>7359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f t="shared" si="1"/>
        <v>1362</v>
      </c>
      <c r="B1363" s="3" t="s">
        <v>822</v>
      </c>
      <c r="C1363" s="3" t="s">
        <v>3173</v>
      </c>
      <c r="D1363" s="3" t="s">
        <v>7327</v>
      </c>
      <c r="E1363" s="3" t="s">
        <v>7328</v>
      </c>
      <c r="F1363" s="2" t="s">
        <v>7360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f t="shared" si="1"/>
        <v>1363</v>
      </c>
      <c r="B1364" s="3" t="s">
        <v>7361</v>
      </c>
      <c r="C1364" s="3" t="s">
        <v>7362</v>
      </c>
      <c r="D1364" s="3" t="s">
        <v>7327</v>
      </c>
      <c r="E1364" s="3" t="s">
        <v>7328</v>
      </c>
      <c r="F1364" s="2" t="s">
        <v>7363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f t="shared" si="1"/>
        <v>1364</v>
      </c>
      <c r="B1365" s="3" t="s">
        <v>7364</v>
      </c>
      <c r="C1365" s="3" t="s">
        <v>7365</v>
      </c>
      <c r="D1365" s="3" t="s">
        <v>7327</v>
      </c>
      <c r="E1365" s="3" t="s">
        <v>7328</v>
      </c>
      <c r="F1365" s="2" t="s">
        <v>7366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f t="shared" si="1"/>
        <v>1365</v>
      </c>
      <c r="B1366" s="3" t="s">
        <v>7367</v>
      </c>
      <c r="C1366" s="3" t="s">
        <v>7368</v>
      </c>
      <c r="D1366" s="3" t="s">
        <v>7327</v>
      </c>
      <c r="E1366" s="3" t="s">
        <v>7328</v>
      </c>
      <c r="F1366" s="2" t="s">
        <v>7369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f t="shared" si="1"/>
        <v>1366</v>
      </c>
      <c r="B1367" s="3" t="s">
        <v>7370</v>
      </c>
      <c r="C1367" s="3" t="s">
        <v>7371</v>
      </c>
      <c r="D1367" s="3" t="s">
        <v>7327</v>
      </c>
      <c r="E1367" s="3" t="s">
        <v>7328</v>
      </c>
      <c r="F1367" s="2" t="s">
        <v>7372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f t="shared" si="1"/>
        <v>1367</v>
      </c>
      <c r="B1368" s="3" t="s">
        <v>815</v>
      </c>
      <c r="C1368" s="3" t="s">
        <v>3156</v>
      </c>
      <c r="D1368" s="3" t="s">
        <v>7327</v>
      </c>
      <c r="E1368" s="3" t="s">
        <v>7328</v>
      </c>
      <c r="F1368" s="2" t="s">
        <v>7373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f t="shared" si="1"/>
        <v>1368</v>
      </c>
      <c r="B1369" s="3" t="s">
        <v>7374</v>
      </c>
      <c r="C1369" s="3" t="s">
        <v>7375</v>
      </c>
      <c r="D1369" s="3" t="s">
        <v>7327</v>
      </c>
      <c r="E1369" s="3" t="s">
        <v>7328</v>
      </c>
      <c r="F1369" s="2" t="s">
        <v>7376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f t="shared" si="1"/>
        <v>1369</v>
      </c>
      <c r="B1370" s="3" t="s">
        <v>7377</v>
      </c>
      <c r="C1370" s="3" t="s">
        <v>7378</v>
      </c>
      <c r="D1370" s="3" t="s">
        <v>7327</v>
      </c>
      <c r="E1370" s="3" t="s">
        <v>7328</v>
      </c>
      <c r="F1370" s="2" t="s">
        <v>7379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f t="shared" si="1"/>
        <v>1370</v>
      </c>
      <c r="B1371" s="3" t="s">
        <v>7380</v>
      </c>
      <c r="C1371" s="3" t="s">
        <v>7381</v>
      </c>
      <c r="D1371" s="3" t="s">
        <v>7327</v>
      </c>
      <c r="E1371" s="3" t="s">
        <v>7328</v>
      </c>
      <c r="F1371" s="2" t="s">
        <v>7382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f t="shared" si="1"/>
        <v>1371</v>
      </c>
      <c r="B1372" s="3" t="s">
        <v>7383</v>
      </c>
      <c r="C1372" s="3" t="s">
        <v>7384</v>
      </c>
      <c r="D1372" s="3" t="s">
        <v>7327</v>
      </c>
      <c r="E1372" s="3" t="s">
        <v>7328</v>
      </c>
      <c r="F1372" s="2" t="s">
        <v>7385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f t="shared" si="1"/>
        <v>1372</v>
      </c>
      <c r="B1373" s="3" t="s">
        <v>7386</v>
      </c>
      <c r="C1373" s="3" t="s">
        <v>7387</v>
      </c>
      <c r="D1373" s="3" t="s">
        <v>7327</v>
      </c>
      <c r="E1373" s="3" t="s">
        <v>7328</v>
      </c>
      <c r="F1373" s="2" t="s">
        <v>7388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f t="shared" si="1"/>
        <v>1373</v>
      </c>
      <c r="B1374" s="3" t="s">
        <v>7389</v>
      </c>
      <c r="C1374" s="3" t="s">
        <v>7390</v>
      </c>
      <c r="D1374" s="3" t="s">
        <v>7327</v>
      </c>
      <c r="E1374" s="3" t="s">
        <v>7328</v>
      </c>
      <c r="F1374" s="2" t="s">
        <v>7391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f t="shared" si="1"/>
        <v>1374</v>
      </c>
      <c r="B1375" s="3" t="s">
        <v>7392</v>
      </c>
      <c r="C1375" s="3" t="s">
        <v>7393</v>
      </c>
      <c r="D1375" s="3" t="s">
        <v>7327</v>
      </c>
      <c r="E1375" s="3" t="s">
        <v>7328</v>
      </c>
      <c r="F1375" s="2" t="s">
        <v>7394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f t="shared" si="1"/>
        <v>1375</v>
      </c>
      <c r="B1376" s="3" t="s">
        <v>7395</v>
      </c>
      <c r="C1376" s="3" t="s">
        <v>7396</v>
      </c>
      <c r="D1376" s="3" t="s">
        <v>7397</v>
      </c>
      <c r="E1376" s="3" t="s">
        <v>7398</v>
      </c>
      <c r="F1376" s="2" t="s">
        <v>7399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f t="shared" si="1"/>
        <v>1376</v>
      </c>
      <c r="B1377" s="3" t="s">
        <v>7400</v>
      </c>
      <c r="C1377" s="3" t="s">
        <v>7401</v>
      </c>
      <c r="D1377" s="3" t="s">
        <v>7397</v>
      </c>
      <c r="E1377" s="3" t="s">
        <v>7398</v>
      </c>
      <c r="F1377" s="2" t="s">
        <v>7402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f t="shared" si="1"/>
        <v>1377</v>
      </c>
      <c r="B1378" s="3" t="s">
        <v>7403</v>
      </c>
      <c r="C1378" s="3" t="s">
        <v>7404</v>
      </c>
      <c r="D1378" s="3" t="s">
        <v>7397</v>
      </c>
      <c r="E1378" s="3" t="s">
        <v>7398</v>
      </c>
      <c r="F1378" s="2" t="s">
        <v>7405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f t="shared" si="1"/>
        <v>1378</v>
      </c>
      <c r="B1379" s="3" t="s">
        <v>7406</v>
      </c>
      <c r="C1379" s="3" t="s">
        <v>7407</v>
      </c>
      <c r="D1379" s="3" t="s">
        <v>7397</v>
      </c>
      <c r="E1379" s="3" t="s">
        <v>7398</v>
      </c>
      <c r="F1379" s="2" t="s">
        <v>7408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f t="shared" si="1"/>
        <v>1379</v>
      </c>
      <c r="B1380" s="3" t="s">
        <v>7409</v>
      </c>
      <c r="C1380" s="3" t="s">
        <v>7410</v>
      </c>
      <c r="D1380" s="3" t="s">
        <v>7397</v>
      </c>
      <c r="E1380" s="3" t="s">
        <v>7398</v>
      </c>
      <c r="F1380" s="2" t="s">
        <v>7411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f t="shared" si="1"/>
        <v>1380</v>
      </c>
      <c r="B1381" s="3" t="s">
        <v>7412</v>
      </c>
      <c r="C1381" s="3" t="s">
        <v>7413</v>
      </c>
      <c r="D1381" s="3" t="s">
        <v>7397</v>
      </c>
      <c r="E1381" s="3" t="s">
        <v>7398</v>
      </c>
      <c r="F1381" s="2" t="s">
        <v>7414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f t="shared" si="1"/>
        <v>1381</v>
      </c>
      <c r="B1382" s="3" t="s">
        <v>7415</v>
      </c>
      <c r="C1382" s="3" t="s">
        <v>7416</v>
      </c>
      <c r="D1382" s="3" t="s">
        <v>7397</v>
      </c>
      <c r="E1382" s="3" t="s">
        <v>7398</v>
      </c>
      <c r="F1382" s="2" t="s">
        <v>7417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f t="shared" si="1"/>
        <v>1382</v>
      </c>
      <c r="B1383" s="3" t="s">
        <v>7418</v>
      </c>
      <c r="C1383" s="3" t="s">
        <v>7419</v>
      </c>
      <c r="D1383" s="3" t="s">
        <v>7397</v>
      </c>
      <c r="E1383" s="3" t="s">
        <v>7398</v>
      </c>
      <c r="F1383" s="2" t="s">
        <v>7420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f t="shared" si="1"/>
        <v>1383</v>
      </c>
      <c r="B1384" s="3" t="s">
        <v>7421</v>
      </c>
      <c r="C1384" s="3" t="s">
        <v>7422</v>
      </c>
      <c r="D1384" s="3" t="s">
        <v>7397</v>
      </c>
      <c r="E1384" s="3" t="s">
        <v>7398</v>
      </c>
      <c r="F1384" s="2" t="s">
        <v>7423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f t="shared" si="1"/>
        <v>1384</v>
      </c>
      <c r="B1385" s="3" t="s">
        <v>7424</v>
      </c>
      <c r="C1385" s="3" t="s">
        <v>7425</v>
      </c>
      <c r="D1385" s="3" t="s">
        <v>7397</v>
      </c>
      <c r="E1385" s="3" t="s">
        <v>7398</v>
      </c>
      <c r="F1385" s="2" t="s">
        <v>7426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f t="shared" si="1"/>
        <v>1385</v>
      </c>
      <c r="B1386" s="3" t="s">
        <v>7427</v>
      </c>
      <c r="C1386" s="3" t="s">
        <v>7428</v>
      </c>
      <c r="D1386" s="3" t="s">
        <v>7397</v>
      </c>
      <c r="E1386" s="3" t="s">
        <v>7398</v>
      </c>
      <c r="F1386" s="2" t="s">
        <v>7429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f t="shared" si="1"/>
        <v>1386</v>
      </c>
      <c r="B1387" s="3" t="s">
        <v>7430</v>
      </c>
      <c r="C1387" s="3" t="s">
        <v>7431</v>
      </c>
      <c r="D1387" s="3" t="s">
        <v>7397</v>
      </c>
      <c r="E1387" s="3" t="s">
        <v>7398</v>
      </c>
      <c r="F1387" s="2" t="s">
        <v>7432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f t="shared" si="1"/>
        <v>1387</v>
      </c>
      <c r="B1388" s="3" t="s">
        <v>7433</v>
      </c>
      <c r="C1388" s="3" t="s">
        <v>7434</v>
      </c>
      <c r="D1388" s="3" t="s">
        <v>7397</v>
      </c>
      <c r="E1388" s="3" t="s">
        <v>7398</v>
      </c>
      <c r="F1388" s="2" t="s">
        <v>7435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f t="shared" si="1"/>
        <v>1388</v>
      </c>
      <c r="B1389" s="3" t="s">
        <v>7436</v>
      </c>
      <c r="C1389" s="3" t="s">
        <v>7437</v>
      </c>
      <c r="D1389" s="3" t="s">
        <v>7397</v>
      </c>
      <c r="E1389" s="3" t="s">
        <v>7398</v>
      </c>
      <c r="F1389" s="2" t="s">
        <v>7438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f t="shared" si="1"/>
        <v>1389</v>
      </c>
      <c r="B1390" s="3" t="s">
        <v>7439</v>
      </c>
      <c r="C1390" s="3" t="s">
        <v>7440</v>
      </c>
      <c r="D1390" s="3" t="s">
        <v>7397</v>
      </c>
      <c r="E1390" s="3" t="s">
        <v>7398</v>
      </c>
      <c r="F1390" s="2" t="s">
        <v>7441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f t="shared" si="1"/>
        <v>1390</v>
      </c>
      <c r="B1391" s="3" t="s">
        <v>7442</v>
      </c>
      <c r="C1391" s="3" t="s">
        <v>7443</v>
      </c>
      <c r="D1391" s="3" t="s">
        <v>7397</v>
      </c>
      <c r="E1391" s="3" t="s">
        <v>7398</v>
      </c>
      <c r="F1391" s="2" t="s">
        <v>7444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f t="shared" si="1"/>
        <v>1391</v>
      </c>
      <c r="B1392" s="3" t="s">
        <v>7445</v>
      </c>
      <c r="C1392" s="3" t="s">
        <v>7446</v>
      </c>
      <c r="D1392" s="3" t="s">
        <v>7397</v>
      </c>
      <c r="E1392" s="3" t="s">
        <v>7398</v>
      </c>
      <c r="F1392" s="2" t="s">
        <v>7447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f t="shared" si="1"/>
        <v>1392</v>
      </c>
      <c r="B1393" s="3" t="s">
        <v>7448</v>
      </c>
      <c r="C1393" s="3" t="s">
        <v>7449</v>
      </c>
      <c r="D1393" s="3" t="s">
        <v>7397</v>
      </c>
      <c r="E1393" s="3" t="s">
        <v>7398</v>
      </c>
      <c r="F1393" s="2" t="s">
        <v>7450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f t="shared" si="1"/>
        <v>1393</v>
      </c>
      <c r="B1394" s="3" t="s">
        <v>7451</v>
      </c>
      <c r="C1394" s="3" t="s">
        <v>7452</v>
      </c>
      <c r="D1394" s="3" t="s">
        <v>7397</v>
      </c>
      <c r="E1394" s="3" t="s">
        <v>7398</v>
      </c>
      <c r="F1394" s="2" t="s">
        <v>7453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f t="shared" si="1"/>
        <v>1394</v>
      </c>
      <c r="B1395" s="3" t="s">
        <v>7454</v>
      </c>
      <c r="C1395" s="3" t="s">
        <v>7455</v>
      </c>
      <c r="D1395" s="3" t="s">
        <v>7397</v>
      </c>
      <c r="E1395" s="3" t="s">
        <v>7398</v>
      </c>
      <c r="F1395" s="2" t="s">
        <v>7456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f t="shared" si="1"/>
        <v>1395</v>
      </c>
      <c r="B1396" s="3" t="s">
        <v>7457</v>
      </c>
      <c r="C1396" s="3" t="s">
        <v>7458</v>
      </c>
      <c r="D1396" s="3" t="s">
        <v>7397</v>
      </c>
      <c r="E1396" s="3" t="s">
        <v>7398</v>
      </c>
      <c r="F1396" s="2" t="s">
        <v>7459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f t="shared" si="1"/>
        <v>1396</v>
      </c>
      <c r="B1397" s="3" t="s">
        <v>7460</v>
      </c>
      <c r="C1397" s="3" t="s">
        <v>7461</v>
      </c>
      <c r="D1397" s="3" t="s">
        <v>7397</v>
      </c>
      <c r="E1397" s="3" t="s">
        <v>7398</v>
      </c>
      <c r="F1397" s="2" t="s">
        <v>7462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f t="shared" si="1"/>
        <v>1397</v>
      </c>
      <c r="B1398" s="3" t="s">
        <v>7463</v>
      </c>
      <c r="C1398" s="3" t="s">
        <v>7464</v>
      </c>
      <c r="D1398" s="3" t="s">
        <v>7397</v>
      </c>
      <c r="E1398" s="3" t="s">
        <v>7398</v>
      </c>
      <c r="F1398" s="2" t="s">
        <v>7465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f t="shared" si="1"/>
        <v>1398</v>
      </c>
      <c r="B1399" s="3" t="s">
        <v>7466</v>
      </c>
      <c r="C1399" s="3" t="s">
        <v>7467</v>
      </c>
      <c r="D1399" s="3" t="s">
        <v>7397</v>
      </c>
      <c r="E1399" s="3" t="s">
        <v>7398</v>
      </c>
      <c r="F1399" s="2" t="s">
        <v>7468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f t="shared" si="1"/>
        <v>1399</v>
      </c>
      <c r="B1400" s="3" t="s">
        <v>824</v>
      </c>
      <c r="C1400" s="3" t="s">
        <v>3182</v>
      </c>
      <c r="D1400" s="3" t="s">
        <v>7397</v>
      </c>
      <c r="E1400" s="3" t="s">
        <v>7398</v>
      </c>
      <c r="F1400" s="2" t="s">
        <v>7469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f t="shared" si="1"/>
        <v>1400</v>
      </c>
      <c r="B1401" s="3" t="s">
        <v>7470</v>
      </c>
      <c r="C1401" s="3" t="s">
        <v>7471</v>
      </c>
      <c r="D1401" s="3" t="s">
        <v>7397</v>
      </c>
      <c r="E1401" s="3" t="s">
        <v>7398</v>
      </c>
      <c r="F1401" s="2" t="s">
        <v>7472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f t="shared" si="1"/>
        <v>1401</v>
      </c>
      <c r="B1402" s="3" t="s">
        <v>7473</v>
      </c>
      <c r="C1402" s="3" t="s">
        <v>7474</v>
      </c>
      <c r="D1402" s="3" t="s">
        <v>7397</v>
      </c>
      <c r="E1402" s="3" t="s">
        <v>7398</v>
      </c>
      <c r="F1402" s="2" t="s">
        <v>7475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f t="shared" si="1"/>
        <v>1402</v>
      </c>
      <c r="B1403" s="3" t="s">
        <v>7476</v>
      </c>
      <c r="C1403" s="3" t="s">
        <v>7477</v>
      </c>
      <c r="D1403" s="3" t="s">
        <v>7397</v>
      </c>
      <c r="E1403" s="3" t="s">
        <v>7398</v>
      </c>
      <c r="F1403" s="2" t="s">
        <v>7478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f t="shared" si="1"/>
        <v>1403</v>
      </c>
      <c r="B1404" s="3" t="s">
        <v>7479</v>
      </c>
      <c r="C1404" s="3" t="s">
        <v>7480</v>
      </c>
      <c r="D1404" s="3" t="s">
        <v>7397</v>
      </c>
      <c r="E1404" s="3" t="s">
        <v>7398</v>
      </c>
      <c r="F1404" s="2" t="s">
        <v>7481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f t="shared" si="1"/>
        <v>1404</v>
      </c>
      <c r="B1405" s="3" t="s">
        <v>7482</v>
      </c>
      <c r="C1405" s="3" t="s">
        <v>7483</v>
      </c>
      <c r="D1405" s="3" t="s">
        <v>7397</v>
      </c>
      <c r="E1405" s="3" t="s">
        <v>7398</v>
      </c>
      <c r="F1405" s="2" t="s">
        <v>7484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f t="shared" si="1"/>
        <v>1405</v>
      </c>
      <c r="B1406" s="3" t="s">
        <v>7485</v>
      </c>
      <c r="C1406" s="3" t="s">
        <v>7486</v>
      </c>
      <c r="D1406" s="3" t="s">
        <v>7397</v>
      </c>
      <c r="E1406" s="3" t="s">
        <v>7398</v>
      </c>
      <c r="F1406" s="2" t="s">
        <v>7487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f t="shared" si="1"/>
        <v>1406</v>
      </c>
      <c r="B1407" s="3" t="s">
        <v>7488</v>
      </c>
      <c r="C1407" s="3" t="s">
        <v>7489</v>
      </c>
      <c r="D1407" s="3" t="s">
        <v>7397</v>
      </c>
      <c r="E1407" s="3" t="s">
        <v>7398</v>
      </c>
      <c r="F1407" s="2" t="s">
        <v>7490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f t="shared" si="1"/>
        <v>1407</v>
      </c>
      <c r="B1408" s="3" t="s">
        <v>7491</v>
      </c>
      <c r="C1408" s="3" t="s">
        <v>7492</v>
      </c>
      <c r="D1408" s="3" t="s">
        <v>7397</v>
      </c>
      <c r="E1408" s="3" t="s">
        <v>7398</v>
      </c>
      <c r="F1408" s="2" t="s">
        <v>7493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f t="shared" si="1"/>
        <v>1408</v>
      </c>
      <c r="B1409" s="3" t="s">
        <v>7494</v>
      </c>
      <c r="C1409" s="3" t="s">
        <v>7495</v>
      </c>
      <c r="D1409" s="3" t="s">
        <v>7397</v>
      </c>
      <c r="E1409" s="3" t="s">
        <v>7398</v>
      </c>
      <c r="F1409" s="2" t="s">
        <v>7496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f t="shared" si="1"/>
        <v>1409</v>
      </c>
      <c r="B1410" s="3" t="s">
        <v>7497</v>
      </c>
      <c r="C1410" s="3" t="s">
        <v>7498</v>
      </c>
      <c r="D1410" s="3" t="s">
        <v>7397</v>
      </c>
      <c r="E1410" s="3" t="s">
        <v>7398</v>
      </c>
      <c r="F1410" s="2" t="s">
        <v>7499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f t="shared" si="1"/>
        <v>1410</v>
      </c>
      <c r="B1411" s="3" t="s">
        <v>7500</v>
      </c>
      <c r="C1411" s="3" t="s">
        <v>7501</v>
      </c>
      <c r="D1411" s="3" t="s">
        <v>7397</v>
      </c>
      <c r="E1411" s="3" t="s">
        <v>7398</v>
      </c>
      <c r="F1411" s="2" t="s">
        <v>7502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f t="shared" si="1"/>
        <v>1411</v>
      </c>
      <c r="B1412" s="3" t="s">
        <v>7503</v>
      </c>
      <c r="C1412" s="3" t="s">
        <v>7504</v>
      </c>
      <c r="D1412" s="3" t="s">
        <v>7505</v>
      </c>
      <c r="E1412" s="3" t="s">
        <v>7506</v>
      </c>
      <c r="F1412" s="2" t="s">
        <v>7507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f t="shared" si="1"/>
        <v>1412</v>
      </c>
      <c r="B1413" s="3" t="s">
        <v>7508</v>
      </c>
      <c r="C1413" s="3" t="s">
        <v>7509</v>
      </c>
      <c r="D1413" s="3" t="s">
        <v>7505</v>
      </c>
      <c r="E1413" s="3" t="s">
        <v>7506</v>
      </c>
      <c r="F1413" s="2" t="s">
        <v>7510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f t="shared" si="1"/>
        <v>1413</v>
      </c>
      <c r="B1414" s="3" t="s">
        <v>7511</v>
      </c>
      <c r="C1414" s="3" t="s">
        <v>7512</v>
      </c>
      <c r="D1414" s="3" t="s">
        <v>7505</v>
      </c>
      <c r="E1414" s="3" t="s">
        <v>7513</v>
      </c>
      <c r="F1414" s="2" t="s">
        <v>7514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f t="shared" si="1"/>
        <v>1414</v>
      </c>
      <c r="B1415" s="3" t="s">
        <v>7515</v>
      </c>
      <c r="C1415" s="3" t="s">
        <v>7516</v>
      </c>
      <c r="D1415" s="3" t="s">
        <v>7505</v>
      </c>
      <c r="E1415" s="3" t="s">
        <v>7506</v>
      </c>
      <c r="F1415" s="2" t="s">
        <v>7517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f t="shared" si="1"/>
        <v>1415</v>
      </c>
      <c r="B1416" s="3" t="s">
        <v>7518</v>
      </c>
      <c r="C1416" s="3" t="s">
        <v>7519</v>
      </c>
      <c r="D1416" s="3" t="s">
        <v>7505</v>
      </c>
      <c r="E1416" s="3" t="s">
        <v>7513</v>
      </c>
      <c r="F1416" s="2" t="s">
        <v>7520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f t="shared" si="1"/>
        <v>1416</v>
      </c>
      <c r="B1417" s="3" t="s">
        <v>7521</v>
      </c>
      <c r="C1417" s="3" t="s">
        <v>7522</v>
      </c>
      <c r="D1417" s="3" t="s">
        <v>7505</v>
      </c>
      <c r="E1417" s="3" t="s">
        <v>7513</v>
      </c>
      <c r="F1417" s="2" t="s">
        <v>7523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f t="shared" si="1"/>
        <v>1417</v>
      </c>
      <c r="B1418" s="3" t="s">
        <v>7524</v>
      </c>
      <c r="C1418" s="3" t="s">
        <v>7525</v>
      </c>
      <c r="D1418" s="3" t="s">
        <v>7505</v>
      </c>
      <c r="E1418" s="3" t="s">
        <v>7513</v>
      </c>
      <c r="F1418" s="2" t="s">
        <v>7526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f t="shared" si="1"/>
        <v>1418</v>
      </c>
      <c r="B1419" s="3" t="s">
        <v>7527</v>
      </c>
      <c r="C1419" s="3" t="s">
        <v>7528</v>
      </c>
      <c r="D1419" s="3" t="s">
        <v>7505</v>
      </c>
      <c r="E1419" s="3" t="s">
        <v>7513</v>
      </c>
      <c r="F1419" s="2" t="s">
        <v>7529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f t="shared" si="1"/>
        <v>1419</v>
      </c>
      <c r="B1420" s="3" t="s">
        <v>713</v>
      </c>
      <c r="C1420" s="3" t="s">
        <v>172</v>
      </c>
      <c r="D1420" s="3" t="s">
        <v>7505</v>
      </c>
      <c r="E1420" s="3" t="s">
        <v>7513</v>
      </c>
      <c r="F1420" s="2" t="s">
        <v>7530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f t="shared" si="1"/>
        <v>1420</v>
      </c>
      <c r="B1421" s="3" t="s">
        <v>716</v>
      </c>
      <c r="C1421" s="3" t="s">
        <v>276</v>
      </c>
      <c r="D1421" s="3" t="s">
        <v>7505</v>
      </c>
      <c r="E1421" s="3" t="s">
        <v>7513</v>
      </c>
      <c r="F1421" s="2" t="s">
        <v>7531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f t="shared" si="1"/>
        <v>1421</v>
      </c>
      <c r="B1422" s="3" t="s">
        <v>7532</v>
      </c>
      <c r="C1422" s="3" t="s">
        <v>7533</v>
      </c>
      <c r="D1422" s="3" t="s">
        <v>7505</v>
      </c>
      <c r="E1422" s="3" t="s">
        <v>7513</v>
      </c>
      <c r="F1422" s="2" t="s">
        <v>7534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f t="shared" si="1"/>
        <v>1422</v>
      </c>
      <c r="B1423" s="3" t="s">
        <v>7535</v>
      </c>
      <c r="C1423" s="3" t="s">
        <v>7536</v>
      </c>
      <c r="D1423" s="3" t="s">
        <v>7505</v>
      </c>
      <c r="E1423" s="3" t="s">
        <v>7513</v>
      </c>
      <c r="F1423" s="2" t="s">
        <v>7537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f t="shared" si="1"/>
        <v>1423</v>
      </c>
      <c r="B1424" s="3" t="s">
        <v>7538</v>
      </c>
      <c r="C1424" s="3" t="s">
        <v>7539</v>
      </c>
      <c r="D1424" s="3" t="s">
        <v>7505</v>
      </c>
      <c r="E1424" s="3" t="s">
        <v>7506</v>
      </c>
      <c r="F1424" s="2" t="s">
        <v>7540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f t="shared" si="1"/>
        <v>1424</v>
      </c>
      <c r="B1425" s="3" t="s">
        <v>3212</v>
      </c>
      <c r="C1425" s="3" t="s">
        <v>273</v>
      </c>
      <c r="D1425" s="3" t="s">
        <v>7505</v>
      </c>
      <c r="E1425" s="3" t="s">
        <v>7513</v>
      </c>
      <c r="F1425" s="2" t="s">
        <v>7541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f t="shared" si="1"/>
        <v>1425</v>
      </c>
      <c r="B1426" s="3" t="s">
        <v>7542</v>
      </c>
      <c r="C1426" s="3" t="s">
        <v>7543</v>
      </c>
      <c r="D1426" s="3" t="s">
        <v>7505</v>
      </c>
      <c r="E1426" s="3" t="s">
        <v>7513</v>
      </c>
      <c r="F1426" s="2" t="s">
        <v>7544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f t="shared" si="1"/>
        <v>1426</v>
      </c>
      <c r="B1427" s="3" t="s">
        <v>7545</v>
      </c>
      <c r="C1427" s="3" t="s">
        <v>7546</v>
      </c>
      <c r="D1427" s="3" t="s">
        <v>7505</v>
      </c>
      <c r="E1427" s="3" t="s">
        <v>7506</v>
      </c>
      <c r="F1427" s="2" t="s">
        <v>7547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f t="shared" si="1"/>
        <v>1427</v>
      </c>
      <c r="B1428" s="3" t="s">
        <v>7548</v>
      </c>
      <c r="C1428" s="3" t="s">
        <v>7549</v>
      </c>
      <c r="D1428" s="3" t="s">
        <v>7505</v>
      </c>
      <c r="E1428" s="3" t="s">
        <v>7506</v>
      </c>
      <c r="F1428" s="2" t="s">
        <v>7550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f t="shared" si="1"/>
        <v>1428</v>
      </c>
      <c r="B1429" s="3" t="s">
        <v>7551</v>
      </c>
      <c r="C1429" s="3" t="s">
        <v>7552</v>
      </c>
      <c r="D1429" s="3" t="s">
        <v>7505</v>
      </c>
      <c r="E1429" s="3" t="s">
        <v>7506</v>
      </c>
      <c r="F1429" s="2" t="s">
        <v>7553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f t="shared" si="1"/>
        <v>1429</v>
      </c>
      <c r="B1430" s="3" t="s">
        <v>7554</v>
      </c>
      <c r="C1430" s="3" t="s">
        <v>7555</v>
      </c>
      <c r="D1430" s="3" t="s">
        <v>7505</v>
      </c>
      <c r="E1430" s="3" t="s">
        <v>7513</v>
      </c>
      <c r="F1430" s="2" t="s">
        <v>7556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f t="shared" si="1"/>
        <v>1430</v>
      </c>
      <c r="B1431" s="3" t="s">
        <v>7557</v>
      </c>
      <c r="C1431" s="3" t="s">
        <v>7558</v>
      </c>
      <c r="D1431" s="3" t="s">
        <v>7505</v>
      </c>
      <c r="E1431" s="3" t="s">
        <v>7506</v>
      </c>
      <c r="F1431" s="2" t="s">
        <v>7559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f t="shared" si="1"/>
        <v>1431</v>
      </c>
      <c r="B1432" s="3" t="s">
        <v>3205</v>
      </c>
      <c r="C1432" s="3" t="s">
        <v>3206</v>
      </c>
      <c r="D1432" s="3" t="s">
        <v>7505</v>
      </c>
      <c r="E1432" s="3" t="s">
        <v>7513</v>
      </c>
      <c r="F1432" s="2" t="s">
        <v>7560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f t="shared" si="1"/>
        <v>1432</v>
      </c>
      <c r="B1433" s="3" t="s">
        <v>7561</v>
      </c>
      <c r="C1433" s="3" t="s">
        <v>7562</v>
      </c>
      <c r="D1433" s="3" t="s">
        <v>7505</v>
      </c>
      <c r="E1433" s="3" t="s">
        <v>7506</v>
      </c>
      <c r="F1433" s="2" t="s">
        <v>7563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f t="shared" si="1"/>
        <v>1433</v>
      </c>
      <c r="B1434" s="3" t="s">
        <v>7564</v>
      </c>
      <c r="C1434" s="3" t="s">
        <v>7565</v>
      </c>
      <c r="D1434" s="3" t="s">
        <v>7505</v>
      </c>
      <c r="E1434" s="3" t="s">
        <v>7506</v>
      </c>
      <c r="F1434" s="2" t="s">
        <v>7566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f t="shared" si="1"/>
        <v>1434</v>
      </c>
      <c r="B1435" s="3" t="s">
        <v>7567</v>
      </c>
      <c r="C1435" s="3" t="s">
        <v>7568</v>
      </c>
      <c r="D1435" s="3" t="s">
        <v>7505</v>
      </c>
      <c r="E1435" s="3" t="s">
        <v>7513</v>
      </c>
      <c r="F1435" s="2" t="s">
        <v>7569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f t="shared" si="1"/>
        <v>1435</v>
      </c>
      <c r="B1436" s="3" t="s">
        <v>7570</v>
      </c>
      <c r="C1436" s="3" t="s">
        <v>7571</v>
      </c>
      <c r="D1436" s="3" t="s">
        <v>7505</v>
      </c>
      <c r="E1436" s="3" t="s">
        <v>7513</v>
      </c>
      <c r="F1436" s="2" t="s">
        <v>7572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f t="shared" si="1"/>
        <v>1436</v>
      </c>
      <c r="B1437" s="3" t="s">
        <v>7573</v>
      </c>
      <c r="C1437" s="3" t="s">
        <v>7574</v>
      </c>
      <c r="D1437" s="3" t="s">
        <v>7505</v>
      </c>
      <c r="E1437" s="3" t="s">
        <v>7513</v>
      </c>
      <c r="F1437" s="2" t="s">
        <v>7575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f t="shared" si="1"/>
        <v>1437</v>
      </c>
      <c r="B1438" s="3" t="s">
        <v>7576</v>
      </c>
      <c r="C1438" s="3" t="s">
        <v>7577</v>
      </c>
      <c r="D1438" s="3" t="s">
        <v>7505</v>
      </c>
      <c r="E1438" s="3" t="s">
        <v>7513</v>
      </c>
      <c r="F1438" s="2" t="s">
        <v>7578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f t="shared" si="1"/>
        <v>1438</v>
      </c>
      <c r="B1439" s="3" t="s">
        <v>7579</v>
      </c>
      <c r="C1439" s="3" t="s">
        <v>7580</v>
      </c>
      <c r="D1439" s="3" t="s">
        <v>7505</v>
      </c>
      <c r="E1439" s="3" t="s">
        <v>7513</v>
      </c>
      <c r="F1439" s="2" t="s">
        <v>7581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f t="shared" si="1"/>
        <v>1439</v>
      </c>
      <c r="B1440" s="3" t="s">
        <v>7582</v>
      </c>
      <c r="C1440" s="3" t="s">
        <v>7583</v>
      </c>
      <c r="D1440" s="3" t="s">
        <v>7505</v>
      </c>
      <c r="E1440" s="3" t="s">
        <v>7513</v>
      </c>
      <c r="F1440" s="2" t="s">
        <v>7584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f t="shared" si="1"/>
        <v>1440</v>
      </c>
      <c r="B1441" s="3" t="s">
        <v>7585</v>
      </c>
      <c r="C1441" s="3" t="s">
        <v>7586</v>
      </c>
      <c r="D1441" s="3" t="s">
        <v>7505</v>
      </c>
      <c r="E1441" s="3" t="s">
        <v>7513</v>
      </c>
      <c r="F1441" s="2" t="s">
        <v>7587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f t="shared" si="1"/>
        <v>1441</v>
      </c>
      <c r="B1442" s="3" t="s">
        <v>7588</v>
      </c>
      <c r="C1442" s="3" t="s">
        <v>7589</v>
      </c>
      <c r="D1442" s="3" t="s">
        <v>7505</v>
      </c>
      <c r="E1442" s="3" t="s">
        <v>7513</v>
      </c>
      <c r="F1442" s="2" t="s">
        <v>7590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f t="shared" si="1"/>
        <v>1442</v>
      </c>
      <c r="B1443" s="3" t="s">
        <v>7591</v>
      </c>
      <c r="C1443" s="3" t="s">
        <v>7592</v>
      </c>
      <c r="D1443" s="3" t="s">
        <v>7505</v>
      </c>
      <c r="E1443" s="3" t="s">
        <v>7506</v>
      </c>
      <c r="F1443" s="2" t="s">
        <v>7593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f t="shared" si="1"/>
        <v>1443</v>
      </c>
      <c r="B1444" s="3" t="s">
        <v>7594</v>
      </c>
      <c r="C1444" s="3" t="s">
        <v>7595</v>
      </c>
      <c r="D1444" s="3" t="s">
        <v>7505</v>
      </c>
      <c r="E1444" s="3" t="s">
        <v>7513</v>
      </c>
      <c r="F1444" s="2" t="s">
        <v>7596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f t="shared" si="1"/>
        <v>1444</v>
      </c>
      <c r="B1445" s="3" t="s">
        <v>7597</v>
      </c>
      <c r="C1445" s="3" t="s">
        <v>7598</v>
      </c>
      <c r="D1445" s="3" t="s">
        <v>7505</v>
      </c>
      <c r="E1445" s="3" t="s">
        <v>7513</v>
      </c>
      <c r="F1445" s="2" t="s">
        <v>7599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f t="shared" si="1"/>
        <v>1445</v>
      </c>
      <c r="B1446" s="3" t="s">
        <v>7600</v>
      </c>
      <c r="C1446" s="3" t="s">
        <v>7601</v>
      </c>
      <c r="D1446" s="3" t="s">
        <v>7505</v>
      </c>
      <c r="E1446" s="3" t="s">
        <v>7506</v>
      </c>
      <c r="F1446" s="2" t="s">
        <v>7602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f t="shared" si="1"/>
        <v>1446</v>
      </c>
      <c r="B1447" s="3" t="s">
        <v>7603</v>
      </c>
      <c r="C1447" s="3" t="s">
        <v>7604</v>
      </c>
      <c r="D1447" s="3" t="s">
        <v>7505</v>
      </c>
      <c r="E1447" s="3" t="s">
        <v>7506</v>
      </c>
      <c r="F1447" s="2" t="s">
        <v>7605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f t="shared" si="1"/>
        <v>1447</v>
      </c>
      <c r="B1448" s="3" t="s">
        <v>7606</v>
      </c>
      <c r="C1448" s="3" t="s">
        <v>7607</v>
      </c>
      <c r="D1448" s="3" t="s">
        <v>7505</v>
      </c>
      <c r="E1448" s="3" t="s">
        <v>7506</v>
      </c>
      <c r="F1448" s="2" t="s">
        <v>7608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f t="shared" si="1"/>
        <v>1448</v>
      </c>
      <c r="B1449" s="3" t="s">
        <v>7609</v>
      </c>
      <c r="C1449" s="3" t="s">
        <v>7610</v>
      </c>
      <c r="D1449" s="3" t="s">
        <v>7505</v>
      </c>
      <c r="E1449" s="3" t="s">
        <v>7513</v>
      </c>
      <c r="F1449" s="2" t="s">
        <v>7611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f t="shared" si="1"/>
        <v>1449</v>
      </c>
      <c r="B1450" s="3" t="s">
        <v>7612</v>
      </c>
      <c r="C1450" s="3" t="s">
        <v>7613</v>
      </c>
      <c r="D1450" s="3" t="s">
        <v>7505</v>
      </c>
      <c r="E1450" s="3" t="s">
        <v>7513</v>
      </c>
      <c r="F1450" s="2" t="s">
        <v>7614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f t="shared" si="1"/>
        <v>1450</v>
      </c>
      <c r="B1451" s="3" t="s">
        <v>7615</v>
      </c>
      <c r="C1451" s="3" t="s">
        <v>7616</v>
      </c>
      <c r="D1451" s="3" t="s">
        <v>7505</v>
      </c>
      <c r="E1451" s="3" t="s">
        <v>6279</v>
      </c>
      <c r="F1451" s="2" t="s">
        <v>7617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f t="shared" si="1"/>
        <v>1451</v>
      </c>
      <c r="B1452" s="3" t="s">
        <v>7618</v>
      </c>
      <c r="C1452" s="3" t="s">
        <v>7619</v>
      </c>
      <c r="D1452" s="3" t="s">
        <v>7505</v>
      </c>
      <c r="E1452" s="3" t="s">
        <v>7513</v>
      </c>
      <c r="F1452" s="2" t="s">
        <v>7620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f t="shared" si="1"/>
        <v>1452</v>
      </c>
      <c r="B1453" s="3" t="s">
        <v>730</v>
      </c>
      <c r="C1453" s="3" t="s">
        <v>258</v>
      </c>
      <c r="D1453" s="3" t="s">
        <v>7505</v>
      </c>
      <c r="E1453" s="3" t="s">
        <v>7506</v>
      </c>
      <c r="F1453" s="2" t="s">
        <v>7621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f t="shared" si="1"/>
        <v>1453</v>
      </c>
      <c r="B1454" s="3" t="s">
        <v>7622</v>
      </c>
      <c r="C1454" s="3" t="s">
        <v>7623</v>
      </c>
      <c r="D1454" s="3" t="s">
        <v>7505</v>
      </c>
      <c r="E1454" s="3" t="s">
        <v>7506</v>
      </c>
      <c r="F1454" s="2" t="s">
        <v>7624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f t="shared" si="1"/>
        <v>1454</v>
      </c>
      <c r="B1455" s="3" t="s">
        <v>7625</v>
      </c>
      <c r="C1455" s="3" t="s">
        <v>7626</v>
      </c>
      <c r="D1455" s="3" t="s">
        <v>7505</v>
      </c>
      <c r="E1455" s="3" t="s">
        <v>7506</v>
      </c>
      <c r="F1455" s="2" t="s">
        <v>7627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f t="shared" si="1"/>
        <v>1455</v>
      </c>
      <c r="B1456" s="3" t="s">
        <v>7628</v>
      </c>
      <c r="C1456" s="3" t="s">
        <v>7629</v>
      </c>
      <c r="D1456" s="3" t="s">
        <v>7505</v>
      </c>
      <c r="E1456" s="3" t="s">
        <v>7506</v>
      </c>
      <c r="F1456" s="2" t="s">
        <v>7630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f t="shared" si="1"/>
        <v>1456</v>
      </c>
      <c r="B1457" s="3" t="s">
        <v>7631</v>
      </c>
      <c r="C1457" s="3" t="s">
        <v>7632</v>
      </c>
      <c r="D1457" s="3" t="s">
        <v>7505</v>
      </c>
      <c r="E1457" s="3" t="s">
        <v>7506</v>
      </c>
      <c r="F1457" s="2" t="s">
        <v>7633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f t="shared" si="1"/>
        <v>1457</v>
      </c>
      <c r="B1458" s="3" t="s">
        <v>7634</v>
      </c>
      <c r="C1458" s="3" t="s">
        <v>7635</v>
      </c>
      <c r="D1458" s="3" t="s">
        <v>7505</v>
      </c>
      <c r="E1458" s="3" t="s">
        <v>7506</v>
      </c>
      <c r="F1458" s="2" t="s">
        <v>7636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f t="shared" si="1"/>
        <v>1458</v>
      </c>
      <c r="B1459" s="3" t="s">
        <v>7637</v>
      </c>
      <c r="C1459" s="3" t="s">
        <v>7638</v>
      </c>
      <c r="D1459" s="3" t="s">
        <v>7505</v>
      </c>
      <c r="E1459" s="3" t="s">
        <v>7506</v>
      </c>
      <c r="F1459" s="2" t="s">
        <v>7639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f t="shared" si="1"/>
        <v>1459</v>
      </c>
      <c r="B1460" s="3" t="s">
        <v>7640</v>
      </c>
      <c r="C1460" s="3" t="s">
        <v>7641</v>
      </c>
      <c r="D1460" s="3" t="s">
        <v>7505</v>
      </c>
      <c r="E1460" s="3" t="s">
        <v>7506</v>
      </c>
      <c r="F1460" s="2" t="s">
        <v>7642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f t="shared" si="1"/>
        <v>1460</v>
      </c>
      <c r="B1461" s="3" t="s">
        <v>7643</v>
      </c>
      <c r="C1461" s="3" t="s">
        <v>7644</v>
      </c>
      <c r="D1461" s="3" t="s">
        <v>7505</v>
      </c>
      <c r="E1461" s="3" t="s">
        <v>7506</v>
      </c>
      <c r="F1461" s="2" t="s">
        <v>7645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f t="shared" si="1"/>
        <v>1461</v>
      </c>
      <c r="B1462" s="3" t="s">
        <v>7646</v>
      </c>
      <c r="C1462" s="3" t="s">
        <v>7647</v>
      </c>
      <c r="D1462" s="3" t="s">
        <v>7648</v>
      </c>
      <c r="E1462" s="3" t="s">
        <v>7649</v>
      </c>
      <c r="F1462" s="2" t="s">
        <v>7650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f t="shared" si="1"/>
        <v>1462</v>
      </c>
      <c r="B1463" s="3" t="s">
        <v>7651</v>
      </c>
      <c r="C1463" s="3" t="s">
        <v>7652</v>
      </c>
      <c r="D1463" s="3" t="s">
        <v>7648</v>
      </c>
      <c r="E1463" s="3" t="s">
        <v>7649</v>
      </c>
      <c r="F1463" s="2" t="s">
        <v>7653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f t="shared" si="1"/>
        <v>1463</v>
      </c>
      <c r="B1464" s="3" t="s">
        <v>709</v>
      </c>
      <c r="C1464" s="3" t="s">
        <v>231</v>
      </c>
      <c r="D1464" s="3" t="s">
        <v>7648</v>
      </c>
      <c r="E1464" s="3" t="s">
        <v>7649</v>
      </c>
      <c r="F1464" s="2" t="s">
        <v>7654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f t="shared" si="1"/>
        <v>1464</v>
      </c>
      <c r="B1465" s="3" t="s">
        <v>7655</v>
      </c>
      <c r="C1465" s="3" t="s">
        <v>7656</v>
      </c>
      <c r="D1465" s="3" t="s">
        <v>7648</v>
      </c>
      <c r="E1465" s="3" t="s">
        <v>7649</v>
      </c>
      <c r="F1465" s="2" t="s">
        <v>7657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f t="shared" si="1"/>
        <v>1465</v>
      </c>
      <c r="B1466" s="3" t="s">
        <v>7658</v>
      </c>
      <c r="C1466" s="3" t="s">
        <v>7659</v>
      </c>
      <c r="D1466" s="3" t="s">
        <v>7648</v>
      </c>
      <c r="E1466" s="3" t="s">
        <v>7649</v>
      </c>
      <c r="F1466" s="2" t="s">
        <v>7660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f t="shared" si="1"/>
        <v>1466</v>
      </c>
      <c r="B1467" s="3" t="s">
        <v>7661</v>
      </c>
      <c r="C1467" s="3" t="s">
        <v>7662</v>
      </c>
      <c r="D1467" s="3" t="s">
        <v>7648</v>
      </c>
      <c r="E1467" s="3" t="s">
        <v>7649</v>
      </c>
      <c r="F1467" s="2" t="s">
        <v>7663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f t="shared" si="1"/>
        <v>1467</v>
      </c>
      <c r="B1468" s="3" t="s">
        <v>834</v>
      </c>
      <c r="C1468" s="3" t="s">
        <v>3124</v>
      </c>
      <c r="D1468" s="3" t="s">
        <v>7648</v>
      </c>
      <c r="E1468" s="3" t="s">
        <v>7649</v>
      </c>
      <c r="F1468" s="2" t="s">
        <v>7664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f t="shared" si="1"/>
        <v>1468</v>
      </c>
      <c r="B1469" s="3" t="s">
        <v>7665</v>
      </c>
      <c r="C1469" s="3" t="s">
        <v>7666</v>
      </c>
      <c r="D1469" s="3" t="s">
        <v>7648</v>
      </c>
      <c r="E1469" s="3" t="s">
        <v>7649</v>
      </c>
      <c r="F1469" s="2" t="s">
        <v>7667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f t="shared" si="1"/>
        <v>1469</v>
      </c>
      <c r="B1470" s="3" t="s">
        <v>7668</v>
      </c>
      <c r="C1470" s="3" t="s">
        <v>7669</v>
      </c>
      <c r="D1470" s="3" t="s">
        <v>7648</v>
      </c>
      <c r="E1470" s="3" t="s">
        <v>7649</v>
      </c>
      <c r="F1470" s="2" t="s">
        <v>7670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f t="shared" si="1"/>
        <v>1470</v>
      </c>
      <c r="B1471" s="3" t="s">
        <v>7671</v>
      </c>
      <c r="C1471" s="3" t="s">
        <v>7672</v>
      </c>
      <c r="D1471" s="3" t="s">
        <v>7648</v>
      </c>
      <c r="E1471" s="3" t="s">
        <v>7649</v>
      </c>
      <c r="F1471" s="2" t="s">
        <v>7673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f t="shared" si="1"/>
        <v>1471</v>
      </c>
      <c r="B1472" s="3" t="s">
        <v>7674</v>
      </c>
      <c r="C1472" s="3" t="s">
        <v>7675</v>
      </c>
      <c r="D1472" s="3" t="s">
        <v>7648</v>
      </c>
      <c r="E1472" s="3" t="s">
        <v>7649</v>
      </c>
      <c r="F1472" s="2" t="s">
        <v>7676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f t="shared" si="1"/>
        <v>1472</v>
      </c>
      <c r="B1473" s="3" t="s">
        <v>7677</v>
      </c>
      <c r="C1473" s="3" t="s">
        <v>7678</v>
      </c>
      <c r="D1473" s="3" t="s">
        <v>7648</v>
      </c>
      <c r="E1473" s="3" t="s">
        <v>7649</v>
      </c>
      <c r="F1473" s="2" t="s">
        <v>7679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f t="shared" si="1"/>
        <v>1473</v>
      </c>
      <c r="B1474" s="3" t="s">
        <v>7680</v>
      </c>
      <c r="C1474" s="3" t="s">
        <v>7681</v>
      </c>
      <c r="D1474" s="3" t="s">
        <v>7648</v>
      </c>
      <c r="E1474" s="3" t="s">
        <v>7649</v>
      </c>
      <c r="F1474" s="2" t="s">
        <v>7682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f t="shared" si="1"/>
        <v>1474</v>
      </c>
      <c r="B1475" s="3" t="s">
        <v>7683</v>
      </c>
      <c r="C1475" s="3" t="s">
        <v>7684</v>
      </c>
      <c r="D1475" s="3" t="s">
        <v>7648</v>
      </c>
      <c r="E1475" s="3" t="s">
        <v>7649</v>
      </c>
      <c r="F1475" s="2" t="s">
        <v>7685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f t="shared" si="1"/>
        <v>1475</v>
      </c>
      <c r="B1476" s="3" t="s">
        <v>7686</v>
      </c>
      <c r="C1476" s="3" t="s">
        <v>7687</v>
      </c>
      <c r="D1476" s="3" t="s">
        <v>7648</v>
      </c>
      <c r="E1476" s="3" t="s">
        <v>7649</v>
      </c>
      <c r="F1476" s="2" t="s">
        <v>7688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f t="shared" si="1"/>
        <v>1476</v>
      </c>
      <c r="B1477" s="3" t="s">
        <v>7689</v>
      </c>
      <c r="C1477" s="3" t="s">
        <v>7690</v>
      </c>
      <c r="D1477" s="3" t="s">
        <v>7648</v>
      </c>
      <c r="E1477" s="3" t="s">
        <v>7649</v>
      </c>
      <c r="F1477" s="2" t="s">
        <v>7691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f t="shared" si="1"/>
        <v>1477</v>
      </c>
      <c r="B1478" s="3" t="s">
        <v>7692</v>
      </c>
      <c r="C1478" s="3" t="s">
        <v>7693</v>
      </c>
      <c r="D1478" s="3" t="s">
        <v>7648</v>
      </c>
      <c r="E1478" s="3" t="s">
        <v>7649</v>
      </c>
      <c r="F1478" s="2" t="s">
        <v>7694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f t="shared" si="1"/>
        <v>1478</v>
      </c>
      <c r="B1479" s="3" t="s">
        <v>7695</v>
      </c>
      <c r="C1479" s="3" t="s">
        <v>7696</v>
      </c>
      <c r="D1479" s="3" t="s">
        <v>7648</v>
      </c>
      <c r="E1479" s="3" t="s">
        <v>7649</v>
      </c>
      <c r="F1479" s="2" t="s">
        <v>7697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f t="shared" si="1"/>
        <v>1479</v>
      </c>
      <c r="B1480" s="3" t="s">
        <v>723</v>
      </c>
      <c r="C1480" s="3" t="s">
        <v>249</v>
      </c>
      <c r="D1480" s="3" t="s">
        <v>7648</v>
      </c>
      <c r="E1480" s="3" t="s">
        <v>7649</v>
      </c>
      <c r="F1480" s="2" t="s">
        <v>7698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f t="shared" si="1"/>
        <v>1480</v>
      </c>
      <c r="B1481" s="3" t="s">
        <v>7699</v>
      </c>
      <c r="C1481" s="3" t="s">
        <v>7700</v>
      </c>
      <c r="D1481" s="3" t="s">
        <v>7648</v>
      </c>
      <c r="E1481" s="3" t="s">
        <v>7649</v>
      </c>
      <c r="F1481" s="2" t="s">
        <v>7701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f t="shared" si="1"/>
        <v>1481</v>
      </c>
      <c r="B1482" s="3" t="s">
        <v>7702</v>
      </c>
      <c r="C1482" s="3" t="s">
        <v>7703</v>
      </c>
      <c r="D1482" s="3" t="s">
        <v>7648</v>
      </c>
      <c r="E1482" s="3" t="s">
        <v>7649</v>
      </c>
      <c r="F1482" s="2" t="s">
        <v>7704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f t="shared" si="1"/>
        <v>1482</v>
      </c>
      <c r="B1483" s="3" t="s">
        <v>7705</v>
      </c>
      <c r="C1483" s="3" t="s">
        <v>7706</v>
      </c>
      <c r="D1483" s="3" t="s">
        <v>7648</v>
      </c>
      <c r="E1483" s="3" t="s">
        <v>7649</v>
      </c>
      <c r="F1483" s="2" t="s">
        <v>7707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f t="shared" si="1"/>
        <v>1483</v>
      </c>
      <c r="B1484" s="3" t="s">
        <v>7708</v>
      </c>
      <c r="C1484" s="3" t="s">
        <v>7709</v>
      </c>
      <c r="D1484" s="3" t="s">
        <v>7648</v>
      </c>
      <c r="E1484" s="3" t="s">
        <v>7649</v>
      </c>
      <c r="F1484" s="2" t="s">
        <v>7710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f t="shared" si="1"/>
        <v>1484</v>
      </c>
      <c r="B1485" s="3" t="s">
        <v>7711</v>
      </c>
      <c r="C1485" s="3" t="s">
        <v>7712</v>
      </c>
      <c r="D1485" s="3" t="s">
        <v>7648</v>
      </c>
      <c r="E1485" s="3" t="s">
        <v>7649</v>
      </c>
      <c r="F1485" s="2" t="s">
        <v>7713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f t="shared" si="1"/>
        <v>1485</v>
      </c>
      <c r="B1486" s="3" t="s">
        <v>7714</v>
      </c>
      <c r="C1486" s="3" t="s">
        <v>7715</v>
      </c>
      <c r="D1486" s="3" t="s">
        <v>7648</v>
      </c>
      <c r="E1486" s="3" t="s">
        <v>7649</v>
      </c>
      <c r="F1486" s="2" t="s">
        <v>7716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f t="shared" si="1"/>
        <v>1486</v>
      </c>
      <c r="B1487" s="3" t="s">
        <v>7717</v>
      </c>
      <c r="C1487" s="3" t="s">
        <v>7718</v>
      </c>
      <c r="D1487" s="3" t="s">
        <v>7648</v>
      </c>
      <c r="E1487" s="3" t="s">
        <v>7649</v>
      </c>
      <c r="F1487" s="2" t="s">
        <v>7719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f t="shared" si="1"/>
        <v>1487</v>
      </c>
      <c r="B1488" s="3" t="s">
        <v>7720</v>
      </c>
      <c r="C1488" s="3" t="s">
        <v>7721</v>
      </c>
      <c r="D1488" s="3" t="s">
        <v>7648</v>
      </c>
      <c r="E1488" s="3" t="s">
        <v>7649</v>
      </c>
      <c r="F1488" s="2" t="s">
        <v>7722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f t="shared" si="1"/>
        <v>1488</v>
      </c>
      <c r="B1489" s="3" t="s">
        <v>7723</v>
      </c>
      <c r="C1489" s="3" t="s">
        <v>7724</v>
      </c>
      <c r="D1489" s="3" t="s">
        <v>7648</v>
      </c>
      <c r="E1489" s="3" t="s">
        <v>7725</v>
      </c>
      <c r="F1489" s="2" t="s">
        <v>7726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f t="shared" si="1"/>
        <v>1489</v>
      </c>
      <c r="B1490" s="3" t="s">
        <v>7727</v>
      </c>
      <c r="C1490" s="3" t="s">
        <v>7728</v>
      </c>
      <c r="D1490" s="3" t="s">
        <v>7648</v>
      </c>
      <c r="E1490" s="3" t="s">
        <v>7729</v>
      </c>
      <c r="F1490" s="2" t="s">
        <v>7730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f t="shared" si="1"/>
        <v>1490</v>
      </c>
      <c r="B1491" s="3" t="s">
        <v>7731</v>
      </c>
      <c r="C1491" s="3" t="s">
        <v>7732</v>
      </c>
      <c r="D1491" s="3" t="s">
        <v>7648</v>
      </c>
      <c r="E1491" s="3" t="s">
        <v>7649</v>
      </c>
      <c r="F1491" s="2" t="s">
        <v>7733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f t="shared" si="1"/>
        <v>1491</v>
      </c>
      <c r="B1492" s="3" t="s">
        <v>7734</v>
      </c>
      <c r="C1492" s="3" t="s">
        <v>7735</v>
      </c>
      <c r="D1492" s="3" t="s">
        <v>7648</v>
      </c>
      <c r="E1492" s="3" t="s">
        <v>7649</v>
      </c>
      <c r="F1492" s="2" t="s">
        <v>7736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f t="shared" si="1"/>
        <v>1492</v>
      </c>
      <c r="B1493" s="3" t="s">
        <v>7737</v>
      </c>
      <c r="C1493" s="3" t="s">
        <v>7738</v>
      </c>
      <c r="D1493" s="3" t="s">
        <v>7648</v>
      </c>
      <c r="E1493" s="3" t="s">
        <v>7725</v>
      </c>
      <c r="F1493" s="2" t="s">
        <v>7739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f t="shared" si="1"/>
        <v>1493</v>
      </c>
      <c r="B1494" s="3" t="s">
        <v>7740</v>
      </c>
      <c r="C1494" s="3" t="s">
        <v>7741</v>
      </c>
      <c r="D1494" s="3" t="s">
        <v>7648</v>
      </c>
      <c r="E1494" s="3" t="s">
        <v>7649</v>
      </c>
      <c r="F1494" s="2" t="s">
        <v>7742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f t="shared" si="1"/>
        <v>1494</v>
      </c>
      <c r="B1495" s="3" t="s">
        <v>7743</v>
      </c>
      <c r="C1495" s="3" t="s">
        <v>7744</v>
      </c>
      <c r="D1495" s="3" t="s">
        <v>7648</v>
      </c>
      <c r="E1495" s="3" t="s">
        <v>7649</v>
      </c>
      <c r="F1495" s="2" t="s">
        <v>7745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f t="shared" si="1"/>
        <v>1495</v>
      </c>
      <c r="B1496" s="3" t="s">
        <v>7746</v>
      </c>
      <c r="C1496" s="3" t="s">
        <v>7747</v>
      </c>
      <c r="D1496" s="3" t="s">
        <v>7648</v>
      </c>
      <c r="E1496" s="3" t="s">
        <v>7649</v>
      </c>
      <c r="F1496" s="2" t="s">
        <v>7748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f t="shared" si="1"/>
        <v>1496</v>
      </c>
      <c r="B1497" s="3" t="s">
        <v>726</v>
      </c>
      <c r="C1497" s="3" t="s">
        <v>228</v>
      </c>
      <c r="D1497" s="3" t="s">
        <v>7648</v>
      </c>
      <c r="E1497" s="3" t="s">
        <v>7725</v>
      </c>
      <c r="F1497" s="2" t="s">
        <v>7749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f t="shared" si="1"/>
        <v>1497</v>
      </c>
      <c r="B1498" s="3" t="s">
        <v>7750</v>
      </c>
      <c r="C1498" s="3" t="s">
        <v>7751</v>
      </c>
      <c r="D1498" s="3" t="s">
        <v>7648</v>
      </c>
      <c r="E1498" s="3" t="s">
        <v>7649</v>
      </c>
      <c r="F1498" s="2" t="s">
        <v>7752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f t="shared" si="1"/>
        <v>1498</v>
      </c>
      <c r="B1499" s="3" t="s">
        <v>7753</v>
      </c>
      <c r="C1499" s="3" t="s">
        <v>7754</v>
      </c>
      <c r="D1499" s="3" t="s">
        <v>7648</v>
      </c>
      <c r="E1499" s="3" t="s">
        <v>7649</v>
      </c>
      <c r="F1499" s="2" t="s">
        <v>7755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f t="shared" si="1"/>
        <v>1499</v>
      </c>
      <c r="B1500" s="3" t="s">
        <v>7756</v>
      </c>
      <c r="C1500" s="3" t="s">
        <v>7757</v>
      </c>
      <c r="D1500" s="3" t="s">
        <v>7648</v>
      </c>
      <c r="E1500" s="3" t="s">
        <v>7649</v>
      </c>
      <c r="F1500" s="2" t="s">
        <v>7758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f t="shared" si="1"/>
        <v>1500</v>
      </c>
      <c r="B1501" s="3" t="s">
        <v>720</v>
      </c>
      <c r="C1501" s="3" t="s">
        <v>225</v>
      </c>
      <c r="D1501" s="3" t="s">
        <v>7648</v>
      </c>
      <c r="E1501" s="3" t="s">
        <v>7725</v>
      </c>
      <c r="F1501" s="2" t="s">
        <v>7759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f t="shared" si="1"/>
        <v>1501</v>
      </c>
      <c r="B1502" s="3" t="s">
        <v>7760</v>
      </c>
      <c r="C1502" s="3" t="s">
        <v>7761</v>
      </c>
      <c r="D1502" s="3" t="s">
        <v>7648</v>
      </c>
      <c r="E1502" s="3" t="s">
        <v>7649</v>
      </c>
      <c r="F1502" s="2" t="s">
        <v>7762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f t="shared" si="1"/>
        <v>1502</v>
      </c>
      <c r="B1503" s="3" t="s">
        <v>7763</v>
      </c>
      <c r="C1503" s="3" t="s">
        <v>7764</v>
      </c>
      <c r="D1503" s="3" t="s">
        <v>7648</v>
      </c>
      <c r="E1503" s="3" t="s">
        <v>7729</v>
      </c>
      <c r="F1503" s="2" t="s">
        <v>7765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f t="shared" si="1"/>
        <v>1503</v>
      </c>
      <c r="B1504" s="3" t="s">
        <v>7766</v>
      </c>
      <c r="C1504" s="3" t="s">
        <v>7767</v>
      </c>
      <c r="D1504" s="3" t="s">
        <v>7648</v>
      </c>
      <c r="E1504" s="3" t="s">
        <v>7649</v>
      </c>
      <c r="F1504" s="2" t="s">
        <v>7768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f t="shared" si="1"/>
        <v>1504</v>
      </c>
      <c r="B1505" s="3" t="s">
        <v>7769</v>
      </c>
      <c r="C1505" s="3" t="s">
        <v>7770</v>
      </c>
      <c r="D1505" s="3" t="s">
        <v>7648</v>
      </c>
      <c r="E1505" s="3" t="s">
        <v>7649</v>
      </c>
      <c r="F1505" s="2" t="s">
        <v>7771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f t="shared" si="1"/>
        <v>1505</v>
      </c>
      <c r="B1506" s="3" t="s">
        <v>7772</v>
      </c>
      <c r="C1506" s="3" t="s">
        <v>7773</v>
      </c>
      <c r="D1506" s="3" t="s">
        <v>7774</v>
      </c>
      <c r="E1506" s="3" t="s">
        <v>7775</v>
      </c>
      <c r="F1506" s="2" t="s">
        <v>7776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f t="shared" si="1"/>
        <v>1506</v>
      </c>
      <c r="B1507" s="3" t="s">
        <v>7777</v>
      </c>
      <c r="C1507" s="3" t="s">
        <v>7778</v>
      </c>
      <c r="D1507" s="3" t="s">
        <v>7774</v>
      </c>
      <c r="E1507" s="3" t="s">
        <v>7779</v>
      </c>
      <c r="F1507" s="2" t="s">
        <v>7780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f t="shared" si="1"/>
        <v>1507</v>
      </c>
      <c r="B1508" s="3" t="s">
        <v>839</v>
      </c>
      <c r="C1508" s="3" t="s">
        <v>3142</v>
      </c>
      <c r="D1508" s="3" t="s">
        <v>7774</v>
      </c>
      <c r="E1508" s="3" t="s">
        <v>7779</v>
      </c>
      <c r="F1508" s="2" t="s">
        <v>7781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f t="shared" si="1"/>
        <v>1508</v>
      </c>
      <c r="B1509" s="3" t="s">
        <v>7782</v>
      </c>
      <c r="C1509" s="3" t="s">
        <v>7783</v>
      </c>
      <c r="D1509" s="3" t="s">
        <v>7774</v>
      </c>
      <c r="E1509" s="3" t="s">
        <v>7779</v>
      </c>
      <c r="F1509" s="2" t="s">
        <v>7784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f t="shared" si="1"/>
        <v>1509</v>
      </c>
      <c r="B1510" s="3" t="s">
        <v>836</v>
      </c>
      <c r="C1510" s="3" t="s">
        <v>3141</v>
      </c>
      <c r="D1510" s="3" t="s">
        <v>7774</v>
      </c>
      <c r="E1510" s="3" t="s">
        <v>7779</v>
      </c>
      <c r="F1510" s="2" t="s">
        <v>7785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f t="shared" si="1"/>
        <v>1510</v>
      </c>
      <c r="B1511" s="3" t="s">
        <v>7786</v>
      </c>
      <c r="C1511" s="3" t="s">
        <v>7787</v>
      </c>
      <c r="D1511" s="3" t="s">
        <v>7774</v>
      </c>
      <c r="E1511" s="3" t="s">
        <v>7779</v>
      </c>
      <c r="F1511" s="2" t="s">
        <v>7788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f t="shared" si="1"/>
        <v>1511</v>
      </c>
      <c r="B1512" s="3" t="s">
        <v>841</v>
      </c>
      <c r="C1512" s="3" t="s">
        <v>3143</v>
      </c>
      <c r="D1512" s="3" t="s">
        <v>7774</v>
      </c>
      <c r="E1512" s="3" t="s">
        <v>7779</v>
      </c>
      <c r="F1512" s="2" t="s">
        <v>7789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f t="shared" si="1"/>
        <v>1512</v>
      </c>
      <c r="B1513" s="3" t="s">
        <v>7790</v>
      </c>
      <c r="C1513" s="3" t="s">
        <v>7791</v>
      </c>
      <c r="D1513" s="3" t="s">
        <v>7774</v>
      </c>
      <c r="E1513" s="3" t="s">
        <v>7779</v>
      </c>
      <c r="F1513" s="2" t="s">
        <v>7792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f t="shared" si="1"/>
        <v>1513</v>
      </c>
      <c r="B1514" s="3" t="s">
        <v>7793</v>
      </c>
      <c r="C1514" s="3" t="s">
        <v>7794</v>
      </c>
      <c r="D1514" s="3" t="s">
        <v>7774</v>
      </c>
      <c r="E1514" s="3" t="s">
        <v>7775</v>
      </c>
      <c r="F1514" s="2" t="s">
        <v>7795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f t="shared" si="1"/>
        <v>1514</v>
      </c>
      <c r="B1515" s="3" t="s">
        <v>7796</v>
      </c>
      <c r="C1515" s="3" t="s">
        <v>7797</v>
      </c>
      <c r="D1515" s="3" t="s">
        <v>7774</v>
      </c>
      <c r="E1515" s="3" t="s">
        <v>7775</v>
      </c>
      <c r="F1515" s="2" t="s">
        <v>7798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f t="shared" si="1"/>
        <v>1515</v>
      </c>
      <c r="B1516" s="3" t="s">
        <v>843</v>
      </c>
      <c r="C1516" s="3" t="s">
        <v>3144</v>
      </c>
      <c r="D1516" s="3" t="s">
        <v>7774</v>
      </c>
      <c r="E1516" s="3" t="s">
        <v>7779</v>
      </c>
      <c r="F1516" s="2" t="s">
        <v>7799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f t="shared" si="1"/>
        <v>1516</v>
      </c>
      <c r="B1517" s="3" t="s">
        <v>7800</v>
      </c>
      <c r="C1517" s="3" t="s">
        <v>7801</v>
      </c>
      <c r="D1517" s="3" t="s">
        <v>7774</v>
      </c>
      <c r="E1517" s="3" t="s">
        <v>7775</v>
      </c>
      <c r="F1517" s="2" t="s">
        <v>7802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f t="shared" si="1"/>
        <v>1517</v>
      </c>
      <c r="B1518" s="3" t="s">
        <v>7803</v>
      </c>
      <c r="C1518" s="3" t="s">
        <v>7804</v>
      </c>
      <c r="D1518" s="3" t="s">
        <v>7774</v>
      </c>
      <c r="E1518" s="3" t="s">
        <v>7779</v>
      </c>
      <c r="F1518" s="2" t="s">
        <v>7805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f t="shared" si="1"/>
        <v>1518</v>
      </c>
      <c r="B1519" s="3" t="s">
        <v>847</v>
      </c>
      <c r="C1519" s="3" t="s">
        <v>3146</v>
      </c>
      <c r="D1519" s="3" t="s">
        <v>7774</v>
      </c>
      <c r="E1519" s="3" t="s">
        <v>7779</v>
      </c>
      <c r="F1519" s="2" t="s">
        <v>7806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f t="shared" si="1"/>
        <v>1519</v>
      </c>
      <c r="B1520" s="3" t="s">
        <v>7807</v>
      </c>
      <c r="C1520" s="3" t="s">
        <v>7808</v>
      </c>
      <c r="D1520" s="3" t="s">
        <v>7774</v>
      </c>
      <c r="E1520" s="3" t="s">
        <v>7779</v>
      </c>
      <c r="F1520" s="2" t="s">
        <v>7809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f t="shared" si="1"/>
        <v>1520</v>
      </c>
      <c r="B1521" s="3" t="s">
        <v>7810</v>
      </c>
      <c r="C1521" s="3" t="s">
        <v>7811</v>
      </c>
      <c r="D1521" s="3" t="s">
        <v>7774</v>
      </c>
      <c r="E1521" s="3" t="s">
        <v>7779</v>
      </c>
      <c r="F1521" s="2" t="s">
        <v>7812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f t="shared" si="1"/>
        <v>1521</v>
      </c>
      <c r="B1522" s="3" t="s">
        <v>7813</v>
      </c>
      <c r="C1522" s="3" t="s">
        <v>7814</v>
      </c>
      <c r="D1522" s="3" t="s">
        <v>7774</v>
      </c>
      <c r="E1522" s="3" t="s">
        <v>7775</v>
      </c>
      <c r="F1522" s="2" t="s">
        <v>7815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f t="shared" si="1"/>
        <v>1522</v>
      </c>
      <c r="B1523" s="3" t="s">
        <v>7816</v>
      </c>
      <c r="C1523" s="3" t="s">
        <v>7817</v>
      </c>
      <c r="D1523" s="3" t="s">
        <v>7774</v>
      </c>
      <c r="E1523" s="3" t="s">
        <v>7779</v>
      </c>
      <c r="F1523" s="2" t="s">
        <v>7818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f t="shared" si="1"/>
        <v>1523</v>
      </c>
      <c r="B1524" s="3" t="s">
        <v>7819</v>
      </c>
      <c r="C1524" s="3" t="s">
        <v>7820</v>
      </c>
      <c r="D1524" s="3" t="s">
        <v>7774</v>
      </c>
      <c r="E1524" s="3" t="s">
        <v>7775</v>
      </c>
      <c r="F1524" s="2" t="s">
        <v>7821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f t="shared" si="1"/>
        <v>1524</v>
      </c>
      <c r="B1525" s="3" t="s">
        <v>7822</v>
      </c>
      <c r="C1525" s="3" t="s">
        <v>7823</v>
      </c>
      <c r="D1525" s="3" t="s">
        <v>7774</v>
      </c>
      <c r="E1525" s="3" t="s">
        <v>7779</v>
      </c>
      <c r="F1525" s="2" t="s">
        <v>7824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f t="shared" si="1"/>
        <v>1525</v>
      </c>
      <c r="B1526" s="3" t="s">
        <v>7825</v>
      </c>
      <c r="C1526" s="3" t="s">
        <v>7826</v>
      </c>
      <c r="D1526" s="3" t="s">
        <v>7774</v>
      </c>
      <c r="E1526" s="3" t="s">
        <v>7779</v>
      </c>
      <c r="F1526" s="2" t="s">
        <v>7827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f t="shared" si="1"/>
        <v>1526</v>
      </c>
      <c r="B1527" s="3" t="s">
        <v>7828</v>
      </c>
      <c r="C1527" s="3" t="s">
        <v>7829</v>
      </c>
      <c r="D1527" s="3" t="s">
        <v>7774</v>
      </c>
      <c r="E1527" s="3" t="s">
        <v>7775</v>
      </c>
      <c r="F1527" s="2" t="s">
        <v>7830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f t="shared" si="1"/>
        <v>1527</v>
      </c>
      <c r="B1528" s="3" t="s">
        <v>7831</v>
      </c>
      <c r="C1528" s="3" t="s">
        <v>7832</v>
      </c>
      <c r="D1528" s="3" t="s">
        <v>7774</v>
      </c>
      <c r="E1528" s="3" t="s">
        <v>7779</v>
      </c>
      <c r="F1528" s="2" t="s">
        <v>7833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f t="shared" si="1"/>
        <v>1528</v>
      </c>
      <c r="B1529" s="3" t="s">
        <v>7834</v>
      </c>
      <c r="C1529" s="3" t="s">
        <v>7835</v>
      </c>
      <c r="D1529" s="3" t="s">
        <v>7774</v>
      </c>
      <c r="E1529" s="3" t="s">
        <v>7779</v>
      </c>
      <c r="F1529" s="2" t="s">
        <v>7836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f t="shared" si="1"/>
        <v>1529</v>
      </c>
      <c r="B1530" s="3" t="s">
        <v>7837</v>
      </c>
      <c r="C1530" s="3" t="s">
        <v>7838</v>
      </c>
      <c r="D1530" s="3" t="s">
        <v>7774</v>
      </c>
      <c r="E1530" s="3" t="s">
        <v>7775</v>
      </c>
      <c r="F1530" s="2" t="s">
        <v>7839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f t="shared" si="1"/>
        <v>1530</v>
      </c>
      <c r="B1531" s="3" t="s">
        <v>7840</v>
      </c>
      <c r="C1531" s="3" t="s">
        <v>7841</v>
      </c>
      <c r="D1531" s="3" t="s">
        <v>7774</v>
      </c>
      <c r="E1531" s="3" t="s">
        <v>7775</v>
      </c>
      <c r="F1531" s="2" t="s">
        <v>7842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f t="shared" si="1"/>
        <v>1531</v>
      </c>
      <c r="B1532" s="3" t="s">
        <v>7843</v>
      </c>
      <c r="C1532" s="3" t="s">
        <v>7844</v>
      </c>
      <c r="D1532" s="3" t="s">
        <v>7774</v>
      </c>
      <c r="E1532" s="3" t="s">
        <v>7779</v>
      </c>
      <c r="F1532" s="2" t="s">
        <v>7845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f t="shared" si="1"/>
        <v>1532</v>
      </c>
      <c r="B1533" s="3" t="s">
        <v>7846</v>
      </c>
      <c r="C1533" s="3" t="s">
        <v>7847</v>
      </c>
      <c r="D1533" s="3" t="s">
        <v>7774</v>
      </c>
      <c r="E1533" s="3" t="s">
        <v>7775</v>
      </c>
      <c r="F1533" s="2" t="s">
        <v>7848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f t="shared" si="1"/>
        <v>1533</v>
      </c>
      <c r="B1534" s="3" t="s">
        <v>7849</v>
      </c>
      <c r="C1534" s="3" t="s">
        <v>7850</v>
      </c>
      <c r="D1534" s="3" t="s">
        <v>7774</v>
      </c>
      <c r="E1534" s="3" t="s">
        <v>7779</v>
      </c>
      <c r="F1534" s="2" t="s">
        <v>7851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f t="shared" si="1"/>
        <v>1534</v>
      </c>
      <c r="B1535" s="3" t="s">
        <v>7852</v>
      </c>
      <c r="C1535" s="3" t="s">
        <v>7853</v>
      </c>
      <c r="D1535" s="3" t="s">
        <v>7774</v>
      </c>
      <c r="E1535" s="3" t="s">
        <v>7779</v>
      </c>
      <c r="F1535" s="2" t="s">
        <v>7854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f t="shared" si="1"/>
        <v>1535</v>
      </c>
      <c r="B1536" s="3" t="s">
        <v>7855</v>
      </c>
      <c r="C1536" s="3" t="s">
        <v>7856</v>
      </c>
      <c r="D1536" s="3" t="s">
        <v>7774</v>
      </c>
      <c r="E1536" s="3" t="s">
        <v>7779</v>
      </c>
      <c r="F1536" s="2" t="s">
        <v>7857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f t="shared" si="1"/>
        <v>1536</v>
      </c>
      <c r="B1537" s="3" t="s">
        <v>845</v>
      </c>
      <c r="C1537" s="3" t="s">
        <v>3145</v>
      </c>
      <c r="D1537" s="3" t="s">
        <v>7774</v>
      </c>
      <c r="E1537" s="3" t="s">
        <v>7779</v>
      </c>
      <c r="F1537" s="2" t="s">
        <v>7858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f t="shared" si="1"/>
        <v>1537</v>
      </c>
      <c r="B1538" s="3" t="s">
        <v>7859</v>
      </c>
      <c r="C1538" s="3" t="s">
        <v>7860</v>
      </c>
      <c r="D1538" s="3" t="s">
        <v>7774</v>
      </c>
      <c r="E1538" s="3" t="s">
        <v>7779</v>
      </c>
      <c r="F1538" s="2" t="s">
        <v>7861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f t="shared" si="1"/>
        <v>1538</v>
      </c>
      <c r="B1539" s="3" t="s">
        <v>7862</v>
      </c>
      <c r="C1539" s="3" t="s">
        <v>7863</v>
      </c>
      <c r="D1539" s="3" t="s">
        <v>7774</v>
      </c>
      <c r="E1539" s="3" t="s">
        <v>7779</v>
      </c>
      <c r="F1539" s="2" t="s">
        <v>7864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f t="shared" si="1"/>
        <v>1539</v>
      </c>
      <c r="B1540" s="3" t="s">
        <v>7865</v>
      </c>
      <c r="C1540" s="3" t="s">
        <v>7866</v>
      </c>
      <c r="D1540" s="3" t="s">
        <v>7774</v>
      </c>
      <c r="E1540" s="3" t="s">
        <v>7779</v>
      </c>
      <c r="F1540" s="2" t="s">
        <v>7867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f t="shared" si="1"/>
        <v>1540</v>
      </c>
      <c r="B1541" s="3" t="s">
        <v>7868</v>
      </c>
      <c r="C1541" s="3" t="s">
        <v>7869</v>
      </c>
      <c r="D1541" s="3" t="s">
        <v>7774</v>
      </c>
      <c r="E1541" s="3" t="s">
        <v>7779</v>
      </c>
      <c r="F1541" s="2" t="s">
        <v>7870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f t="shared" si="1"/>
        <v>1541</v>
      </c>
      <c r="B1542" s="3" t="s">
        <v>849</v>
      </c>
      <c r="C1542" s="3" t="s">
        <v>3147</v>
      </c>
      <c r="D1542" s="3" t="s">
        <v>7774</v>
      </c>
      <c r="E1542" s="3" t="s">
        <v>7779</v>
      </c>
      <c r="F1542" s="2" t="s">
        <v>7871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f t="shared" si="1"/>
        <v>1542</v>
      </c>
      <c r="B1543" s="3" t="s">
        <v>7872</v>
      </c>
      <c r="C1543" s="3" t="s">
        <v>7873</v>
      </c>
      <c r="D1543" s="3" t="s">
        <v>7774</v>
      </c>
      <c r="E1543" s="3" t="s">
        <v>7779</v>
      </c>
      <c r="F1543" s="2" t="s">
        <v>7874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f t="shared" si="1"/>
        <v>1543</v>
      </c>
      <c r="B1544" s="3" t="s">
        <v>7875</v>
      </c>
      <c r="C1544" s="3" t="s">
        <v>7876</v>
      </c>
      <c r="D1544" s="3" t="s">
        <v>7774</v>
      </c>
      <c r="E1544" s="3" t="s">
        <v>7775</v>
      </c>
      <c r="F1544" s="2" t="s">
        <v>7877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f t="shared" si="1"/>
        <v>1544</v>
      </c>
      <c r="B1545" s="3" t="s">
        <v>7878</v>
      </c>
      <c r="C1545" s="3" t="s">
        <v>7879</v>
      </c>
      <c r="D1545" s="3" t="s">
        <v>7774</v>
      </c>
      <c r="E1545" s="3" t="s">
        <v>7775</v>
      </c>
      <c r="F1545" s="2" t="s">
        <v>7880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f t="shared" si="1"/>
        <v>1545</v>
      </c>
      <c r="B1546" s="3" t="s">
        <v>7881</v>
      </c>
      <c r="C1546" s="3" t="s">
        <v>7882</v>
      </c>
      <c r="D1546" s="3" t="s">
        <v>7774</v>
      </c>
      <c r="E1546" s="3" t="s">
        <v>7775</v>
      </c>
      <c r="F1546" s="2" t="s">
        <v>7883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f t="shared" si="1"/>
        <v>1546</v>
      </c>
      <c r="B1547" s="3" t="s">
        <v>7884</v>
      </c>
      <c r="C1547" s="3" t="s">
        <v>7885</v>
      </c>
      <c r="D1547" s="3" t="s">
        <v>7774</v>
      </c>
      <c r="E1547" s="3" t="s">
        <v>7779</v>
      </c>
      <c r="F1547" s="2" t="s">
        <v>7886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f t="shared" si="1"/>
        <v>1547</v>
      </c>
      <c r="B1548" s="3" t="s">
        <v>7887</v>
      </c>
      <c r="C1548" s="3" t="s">
        <v>7888</v>
      </c>
      <c r="D1548" s="3" t="s">
        <v>7774</v>
      </c>
      <c r="E1548" s="3" t="s">
        <v>7775</v>
      </c>
      <c r="F1548" s="2" t="s">
        <v>7889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f t="shared" si="1"/>
        <v>1548</v>
      </c>
      <c r="B1549" s="3" t="s">
        <v>7890</v>
      </c>
      <c r="C1549" s="3" t="s">
        <v>7891</v>
      </c>
      <c r="D1549" s="3" t="s">
        <v>7774</v>
      </c>
      <c r="E1549" s="3" t="s">
        <v>7779</v>
      </c>
      <c r="F1549" s="2" t="s">
        <v>7892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f t="shared" si="1"/>
        <v>1549</v>
      </c>
      <c r="B1550" s="3" t="s">
        <v>7893</v>
      </c>
      <c r="C1550" s="3" t="s">
        <v>7894</v>
      </c>
      <c r="D1550" s="3" t="s">
        <v>7774</v>
      </c>
      <c r="E1550" s="3" t="s">
        <v>7895</v>
      </c>
      <c r="F1550" s="2" t="s">
        <v>7896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f t="shared" si="1"/>
        <v>1550</v>
      </c>
      <c r="B1551" s="3" t="s">
        <v>7897</v>
      </c>
      <c r="C1551" s="3" t="s">
        <v>7898</v>
      </c>
      <c r="D1551" s="3" t="s">
        <v>7774</v>
      </c>
      <c r="E1551" s="3" t="s">
        <v>7775</v>
      </c>
      <c r="F1551" s="2" t="s">
        <v>7899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f t="shared" si="1"/>
        <v>1551</v>
      </c>
      <c r="B1552" s="3" t="s">
        <v>7900</v>
      </c>
      <c r="C1552" s="3" t="s">
        <v>7901</v>
      </c>
      <c r="D1552" s="3" t="s">
        <v>7902</v>
      </c>
      <c r="E1552" s="3" t="s">
        <v>7903</v>
      </c>
      <c r="F1552" s="2" t="s">
        <v>7904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f t="shared" si="1"/>
        <v>1552</v>
      </c>
      <c r="B1553" s="3" t="s">
        <v>7905</v>
      </c>
      <c r="C1553" s="3" t="s">
        <v>7906</v>
      </c>
      <c r="D1553" s="3" t="s">
        <v>7902</v>
      </c>
      <c r="E1553" s="3" t="s">
        <v>7903</v>
      </c>
      <c r="F1553" s="2" t="s">
        <v>7907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f t="shared" si="1"/>
        <v>1553</v>
      </c>
      <c r="B1554" s="3" t="s">
        <v>7908</v>
      </c>
      <c r="C1554" s="3" t="s">
        <v>7909</v>
      </c>
      <c r="D1554" s="3" t="s">
        <v>7902</v>
      </c>
      <c r="E1554" s="3" t="s">
        <v>6838</v>
      </c>
      <c r="F1554" s="2" t="s">
        <v>7910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f t="shared" si="1"/>
        <v>1554</v>
      </c>
      <c r="B1555" s="3" t="s">
        <v>7911</v>
      </c>
      <c r="C1555" s="3" t="s">
        <v>7912</v>
      </c>
      <c r="D1555" s="3" t="s">
        <v>7902</v>
      </c>
      <c r="E1555" s="3" t="s">
        <v>7903</v>
      </c>
      <c r="F1555" s="2" t="s">
        <v>7913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f t="shared" si="1"/>
        <v>1555</v>
      </c>
      <c r="B1556" s="3" t="s">
        <v>7914</v>
      </c>
      <c r="C1556" s="3" t="s">
        <v>7915</v>
      </c>
      <c r="D1556" s="3" t="s">
        <v>7902</v>
      </c>
      <c r="E1556" s="3" t="s">
        <v>6838</v>
      </c>
      <c r="F1556" s="2" t="s">
        <v>7916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f t="shared" si="1"/>
        <v>1556</v>
      </c>
      <c r="B1557" s="3" t="s">
        <v>7917</v>
      </c>
      <c r="C1557" s="3" t="s">
        <v>7918</v>
      </c>
      <c r="D1557" s="3" t="s">
        <v>7902</v>
      </c>
      <c r="E1557" s="3" t="s">
        <v>6838</v>
      </c>
      <c r="F1557" s="2" t="s">
        <v>7919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f t="shared" si="1"/>
        <v>1557</v>
      </c>
      <c r="B1558" s="3" t="s">
        <v>7920</v>
      </c>
      <c r="C1558" s="3" t="s">
        <v>7921</v>
      </c>
      <c r="D1558" s="3" t="s">
        <v>7902</v>
      </c>
      <c r="E1558" s="3" t="s">
        <v>7903</v>
      </c>
      <c r="F1558" s="2" t="s">
        <v>7922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f t="shared" si="1"/>
        <v>1558</v>
      </c>
      <c r="B1559" s="3" t="s">
        <v>7923</v>
      </c>
      <c r="C1559" s="3" t="s">
        <v>7924</v>
      </c>
      <c r="D1559" s="3" t="s">
        <v>7902</v>
      </c>
      <c r="E1559" s="3" t="s">
        <v>6838</v>
      </c>
      <c r="F1559" s="2" t="s">
        <v>7925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f t="shared" si="1"/>
        <v>1559</v>
      </c>
      <c r="B1560" s="3" t="s">
        <v>854</v>
      </c>
      <c r="C1560" s="3" t="s">
        <v>3150</v>
      </c>
      <c r="D1560" s="3" t="s">
        <v>7902</v>
      </c>
      <c r="E1560" s="3" t="s">
        <v>7926</v>
      </c>
      <c r="F1560" s="2" t="s">
        <v>7927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f t="shared" si="1"/>
        <v>1560</v>
      </c>
      <c r="B1561" s="3" t="s">
        <v>7928</v>
      </c>
      <c r="C1561" s="3" t="s">
        <v>7929</v>
      </c>
      <c r="D1561" s="3" t="s">
        <v>7902</v>
      </c>
      <c r="E1561" s="3" t="s">
        <v>7930</v>
      </c>
      <c r="F1561" s="2" t="s">
        <v>7931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f t="shared" si="1"/>
        <v>1561</v>
      </c>
      <c r="B1562" s="3" t="s">
        <v>7932</v>
      </c>
      <c r="C1562" s="3" t="s">
        <v>7933</v>
      </c>
      <c r="D1562" s="3" t="s">
        <v>7902</v>
      </c>
      <c r="E1562" s="3" t="s">
        <v>7926</v>
      </c>
      <c r="F1562" s="2" t="s">
        <v>7934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f t="shared" si="1"/>
        <v>1562</v>
      </c>
      <c r="B1563" s="3" t="s">
        <v>7935</v>
      </c>
      <c r="C1563" s="3" t="s">
        <v>7936</v>
      </c>
      <c r="D1563" s="3" t="s">
        <v>7902</v>
      </c>
      <c r="E1563" s="3" t="s">
        <v>7926</v>
      </c>
      <c r="F1563" s="2" t="s">
        <v>7937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f t="shared" si="1"/>
        <v>1563</v>
      </c>
      <c r="B1564" s="3" t="s">
        <v>7938</v>
      </c>
      <c r="C1564" s="3" t="s">
        <v>7939</v>
      </c>
      <c r="D1564" s="3" t="s">
        <v>7902</v>
      </c>
      <c r="E1564" s="3" t="s">
        <v>7926</v>
      </c>
      <c r="F1564" s="2" t="s">
        <v>7940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f t="shared" si="1"/>
        <v>1564</v>
      </c>
      <c r="B1565" s="3" t="s">
        <v>7941</v>
      </c>
      <c r="C1565" s="3" t="s">
        <v>7942</v>
      </c>
      <c r="D1565" s="3" t="s">
        <v>7902</v>
      </c>
      <c r="E1565" s="3" t="s">
        <v>7926</v>
      </c>
      <c r="F1565" s="2" t="s">
        <v>7943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f t="shared" si="1"/>
        <v>1565</v>
      </c>
      <c r="B1566" s="3" t="s">
        <v>7944</v>
      </c>
      <c r="C1566" s="3" t="s">
        <v>7945</v>
      </c>
      <c r="D1566" s="3" t="s">
        <v>7902</v>
      </c>
      <c r="E1566" s="3" t="s">
        <v>6838</v>
      </c>
      <c r="F1566" s="2" t="s">
        <v>7946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f t="shared" si="1"/>
        <v>1566</v>
      </c>
      <c r="B1567" s="3" t="s">
        <v>7947</v>
      </c>
      <c r="C1567" s="3" t="s">
        <v>7948</v>
      </c>
      <c r="D1567" s="3" t="s">
        <v>7902</v>
      </c>
      <c r="E1567" s="3" t="s">
        <v>7926</v>
      </c>
      <c r="F1567" s="2" t="s">
        <v>7949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f t="shared" si="1"/>
        <v>1567</v>
      </c>
      <c r="B1568" s="3" t="s">
        <v>7950</v>
      </c>
      <c r="C1568" s="3" t="s">
        <v>7951</v>
      </c>
      <c r="D1568" s="3" t="s">
        <v>7902</v>
      </c>
      <c r="E1568" s="3" t="s">
        <v>6838</v>
      </c>
      <c r="F1568" s="2" t="s">
        <v>7952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f t="shared" si="1"/>
        <v>1568</v>
      </c>
      <c r="B1569" s="3" t="s">
        <v>7953</v>
      </c>
      <c r="C1569" s="3" t="s">
        <v>7954</v>
      </c>
      <c r="D1569" s="3" t="s">
        <v>7902</v>
      </c>
      <c r="E1569" s="3" t="s">
        <v>7926</v>
      </c>
      <c r="F1569" s="2" t="s">
        <v>7955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f t="shared" si="1"/>
        <v>1569</v>
      </c>
      <c r="B1570" s="3" t="s">
        <v>7956</v>
      </c>
      <c r="C1570" s="3" t="s">
        <v>7957</v>
      </c>
      <c r="D1570" s="3" t="s">
        <v>7902</v>
      </c>
      <c r="E1570" s="3" t="s">
        <v>7926</v>
      </c>
      <c r="F1570" s="2" t="s">
        <v>7958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f t="shared" si="1"/>
        <v>1570</v>
      </c>
      <c r="B1571" s="3" t="s">
        <v>7959</v>
      </c>
      <c r="C1571" s="3" t="s">
        <v>7960</v>
      </c>
      <c r="D1571" s="3" t="s">
        <v>7902</v>
      </c>
      <c r="E1571" s="3" t="s">
        <v>7926</v>
      </c>
      <c r="F1571" s="2" t="s">
        <v>7961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f t="shared" si="1"/>
        <v>1571</v>
      </c>
      <c r="B1572" s="3" t="s">
        <v>7962</v>
      </c>
      <c r="C1572" s="3" t="s">
        <v>7963</v>
      </c>
      <c r="D1572" s="3" t="s">
        <v>7902</v>
      </c>
      <c r="E1572" s="3" t="s">
        <v>7926</v>
      </c>
      <c r="F1572" s="2" t="s">
        <v>7964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f t="shared" si="1"/>
        <v>1572</v>
      </c>
      <c r="B1573" s="3" t="s">
        <v>7965</v>
      </c>
      <c r="C1573" s="3" t="s">
        <v>7966</v>
      </c>
      <c r="D1573" s="3" t="s">
        <v>7902</v>
      </c>
      <c r="E1573" s="3" t="s">
        <v>7903</v>
      </c>
      <c r="F1573" s="2" t="s">
        <v>7967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f t="shared" si="1"/>
        <v>1573</v>
      </c>
      <c r="B1574" s="3" t="s">
        <v>7968</v>
      </c>
      <c r="C1574" s="3" t="s">
        <v>7969</v>
      </c>
      <c r="D1574" s="3" t="s">
        <v>7902</v>
      </c>
      <c r="E1574" s="3" t="s">
        <v>7903</v>
      </c>
      <c r="F1574" s="2" t="s">
        <v>7970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f t="shared" si="1"/>
        <v>1574</v>
      </c>
      <c r="B1575" s="3" t="s">
        <v>7971</v>
      </c>
      <c r="C1575" s="3" t="s">
        <v>7972</v>
      </c>
      <c r="D1575" s="3" t="s">
        <v>7902</v>
      </c>
      <c r="E1575" s="3" t="s">
        <v>7926</v>
      </c>
      <c r="F1575" s="2" t="s">
        <v>7973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f t="shared" si="1"/>
        <v>1575</v>
      </c>
      <c r="B1576" s="3" t="s">
        <v>7974</v>
      </c>
      <c r="C1576" s="3" t="s">
        <v>7975</v>
      </c>
      <c r="D1576" s="3" t="s">
        <v>7902</v>
      </c>
      <c r="E1576" s="3" t="s">
        <v>7903</v>
      </c>
      <c r="F1576" s="2" t="s">
        <v>7976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f t="shared" si="1"/>
        <v>1576</v>
      </c>
      <c r="B1577" s="3" t="s">
        <v>7977</v>
      </c>
      <c r="C1577" s="3" t="s">
        <v>7978</v>
      </c>
      <c r="D1577" s="3" t="s">
        <v>7902</v>
      </c>
      <c r="E1577" s="3" t="s">
        <v>7926</v>
      </c>
      <c r="F1577" s="2" t="s">
        <v>7979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f t="shared" si="1"/>
        <v>1577</v>
      </c>
      <c r="B1578" s="3" t="s">
        <v>7980</v>
      </c>
      <c r="C1578" s="3" t="s">
        <v>7981</v>
      </c>
      <c r="D1578" s="3" t="s">
        <v>7902</v>
      </c>
      <c r="E1578" s="3" t="s">
        <v>6838</v>
      </c>
      <c r="F1578" s="2" t="s">
        <v>7982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f t="shared" si="1"/>
        <v>1578</v>
      </c>
      <c r="B1579" s="3" t="s">
        <v>851</v>
      </c>
      <c r="C1579" s="3" t="s">
        <v>3148</v>
      </c>
      <c r="D1579" s="3" t="s">
        <v>7902</v>
      </c>
      <c r="E1579" s="3" t="s">
        <v>7926</v>
      </c>
      <c r="F1579" s="2" t="s">
        <v>7983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f t="shared" si="1"/>
        <v>1579</v>
      </c>
      <c r="B1580" s="3" t="s">
        <v>7984</v>
      </c>
      <c r="C1580" s="3" t="s">
        <v>7985</v>
      </c>
      <c r="D1580" s="3" t="s">
        <v>7902</v>
      </c>
      <c r="E1580" s="3" t="s">
        <v>6838</v>
      </c>
      <c r="F1580" s="2" t="s">
        <v>7986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f t="shared" si="1"/>
        <v>1580</v>
      </c>
      <c r="B1581" s="3" t="s">
        <v>7987</v>
      </c>
      <c r="C1581" s="3" t="s">
        <v>7988</v>
      </c>
      <c r="D1581" s="3" t="s">
        <v>7902</v>
      </c>
      <c r="E1581" s="3" t="s">
        <v>7930</v>
      </c>
      <c r="F1581" s="2" t="s">
        <v>7989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f t="shared" si="1"/>
        <v>1581</v>
      </c>
      <c r="B1582" s="3" t="s">
        <v>7990</v>
      </c>
      <c r="C1582" s="3" t="s">
        <v>7991</v>
      </c>
      <c r="D1582" s="3" t="s">
        <v>7902</v>
      </c>
      <c r="E1582" s="3" t="s">
        <v>7930</v>
      </c>
      <c r="F1582" s="2" t="s">
        <v>7992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f t="shared" si="1"/>
        <v>1582</v>
      </c>
      <c r="B1583" s="3" t="s">
        <v>7993</v>
      </c>
      <c r="C1583" s="3" t="s">
        <v>7994</v>
      </c>
      <c r="D1583" s="3" t="s">
        <v>7902</v>
      </c>
      <c r="E1583" s="3" t="s">
        <v>6838</v>
      </c>
      <c r="F1583" s="2" t="s">
        <v>7995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f t="shared" si="1"/>
        <v>1583</v>
      </c>
      <c r="B1584" s="3" t="s">
        <v>7996</v>
      </c>
      <c r="C1584" s="3" t="s">
        <v>7997</v>
      </c>
      <c r="D1584" s="3" t="s">
        <v>7902</v>
      </c>
      <c r="E1584" s="3" t="s">
        <v>7903</v>
      </c>
      <c r="F1584" s="2" t="s">
        <v>7998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f t="shared" si="1"/>
        <v>1584</v>
      </c>
      <c r="B1585" s="3" t="s">
        <v>7999</v>
      </c>
      <c r="C1585" s="3" t="s">
        <v>8000</v>
      </c>
      <c r="D1585" s="3" t="s">
        <v>7902</v>
      </c>
      <c r="E1585" s="3" t="s">
        <v>7926</v>
      </c>
      <c r="F1585" s="2" t="s">
        <v>8001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f t="shared" si="1"/>
        <v>1585</v>
      </c>
      <c r="B1586" s="3" t="s">
        <v>8002</v>
      </c>
      <c r="C1586" s="3" t="s">
        <v>8003</v>
      </c>
      <c r="D1586" s="3" t="s">
        <v>7902</v>
      </c>
      <c r="E1586" s="3" t="s">
        <v>6838</v>
      </c>
      <c r="F1586" s="2" t="s">
        <v>8004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f t="shared" si="1"/>
        <v>1586</v>
      </c>
      <c r="B1587" s="3" t="s">
        <v>8005</v>
      </c>
      <c r="C1587" s="3" t="s">
        <v>8006</v>
      </c>
      <c r="D1587" s="3" t="s">
        <v>7902</v>
      </c>
      <c r="E1587" s="3" t="s">
        <v>7903</v>
      </c>
      <c r="F1587" s="2" t="s">
        <v>8007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f t="shared" si="1"/>
        <v>1587</v>
      </c>
      <c r="B1588" s="3" t="s">
        <v>8008</v>
      </c>
      <c r="C1588" s="3" t="s">
        <v>8009</v>
      </c>
      <c r="D1588" s="3" t="s">
        <v>7902</v>
      </c>
      <c r="E1588" s="3" t="s">
        <v>7926</v>
      </c>
      <c r="F1588" s="2" t="s">
        <v>8010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f t="shared" si="1"/>
        <v>1588</v>
      </c>
      <c r="B1589" s="3" t="s">
        <v>8011</v>
      </c>
      <c r="C1589" s="3" t="s">
        <v>8012</v>
      </c>
      <c r="D1589" s="3" t="s">
        <v>7902</v>
      </c>
      <c r="E1589" s="3" t="s">
        <v>6838</v>
      </c>
      <c r="F1589" s="2" t="s">
        <v>8013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f t="shared" si="1"/>
        <v>1589</v>
      </c>
      <c r="B1590" s="3" t="s">
        <v>8014</v>
      </c>
      <c r="C1590" s="3" t="s">
        <v>8015</v>
      </c>
      <c r="D1590" s="3" t="s">
        <v>7902</v>
      </c>
      <c r="E1590" s="3" t="s">
        <v>7122</v>
      </c>
      <c r="F1590" s="2" t="s">
        <v>8016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f t="shared" si="1"/>
        <v>1590</v>
      </c>
      <c r="B1591" s="3" t="s">
        <v>8017</v>
      </c>
      <c r="C1591" s="3" t="s">
        <v>8018</v>
      </c>
      <c r="D1591" s="3" t="s">
        <v>7902</v>
      </c>
      <c r="E1591" s="3" t="s">
        <v>7122</v>
      </c>
      <c r="F1591" s="2" t="s">
        <v>8019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f t="shared" si="1"/>
        <v>1591</v>
      </c>
      <c r="B1592" s="3" t="s">
        <v>8020</v>
      </c>
      <c r="C1592" s="3" t="s">
        <v>8021</v>
      </c>
      <c r="D1592" s="3" t="s">
        <v>7902</v>
      </c>
      <c r="E1592" s="3" t="s">
        <v>7926</v>
      </c>
      <c r="F1592" s="2" t="s">
        <v>8022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f t="shared" si="1"/>
        <v>1592</v>
      </c>
      <c r="B1593" s="3" t="s">
        <v>8023</v>
      </c>
      <c r="C1593" s="3" t="s">
        <v>8024</v>
      </c>
      <c r="D1593" s="3" t="s">
        <v>7902</v>
      </c>
      <c r="E1593" s="3" t="s">
        <v>7122</v>
      </c>
      <c r="F1593" s="2" t="s">
        <v>8025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f t="shared" si="1"/>
        <v>1593</v>
      </c>
      <c r="B1594" s="3" t="s">
        <v>8026</v>
      </c>
      <c r="C1594" s="3" t="s">
        <v>8027</v>
      </c>
      <c r="D1594" s="3" t="s">
        <v>8028</v>
      </c>
      <c r="E1594" s="3" t="s">
        <v>8029</v>
      </c>
      <c r="F1594" s="2" t="s">
        <v>8030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f t="shared" si="1"/>
        <v>1594</v>
      </c>
      <c r="B1595" s="3" t="s">
        <v>8031</v>
      </c>
      <c r="C1595" s="3" t="s">
        <v>8032</v>
      </c>
      <c r="D1595" s="3" t="s">
        <v>8028</v>
      </c>
      <c r="E1595" s="3" t="s">
        <v>8029</v>
      </c>
      <c r="F1595" s="2" t="s">
        <v>8033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f t="shared" si="1"/>
        <v>1595</v>
      </c>
      <c r="B1596" s="3" t="s">
        <v>8034</v>
      </c>
      <c r="C1596" s="3" t="s">
        <v>8035</v>
      </c>
      <c r="D1596" s="3" t="s">
        <v>8028</v>
      </c>
      <c r="E1596" s="3" t="s">
        <v>8029</v>
      </c>
      <c r="F1596" s="2" t="s">
        <v>8036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f t="shared" si="1"/>
        <v>1596</v>
      </c>
      <c r="B1597" s="3" t="s">
        <v>8037</v>
      </c>
      <c r="C1597" s="3" t="s">
        <v>8038</v>
      </c>
      <c r="D1597" s="3" t="s">
        <v>8028</v>
      </c>
      <c r="E1597" s="3" t="s">
        <v>8029</v>
      </c>
      <c r="F1597" s="2" t="s">
        <v>8039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f t="shared" si="1"/>
        <v>1597</v>
      </c>
      <c r="B1598" s="3" t="s">
        <v>8040</v>
      </c>
      <c r="C1598" s="3" t="s">
        <v>8041</v>
      </c>
      <c r="D1598" s="3" t="s">
        <v>8028</v>
      </c>
      <c r="E1598" s="3" t="s">
        <v>8029</v>
      </c>
      <c r="F1598" s="2" t="s">
        <v>8042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f t="shared" si="1"/>
        <v>1598</v>
      </c>
      <c r="B1599" s="3" t="s">
        <v>8043</v>
      </c>
      <c r="C1599" s="3" t="s">
        <v>8044</v>
      </c>
      <c r="D1599" s="3" t="s">
        <v>8028</v>
      </c>
      <c r="E1599" s="3" t="s">
        <v>8029</v>
      </c>
      <c r="F1599" s="2" t="s">
        <v>8045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f t="shared" si="1"/>
        <v>1599</v>
      </c>
      <c r="B1600" s="3" t="s">
        <v>8046</v>
      </c>
      <c r="C1600" s="3" t="s">
        <v>8047</v>
      </c>
      <c r="D1600" s="3" t="s">
        <v>8028</v>
      </c>
      <c r="E1600" s="3" t="s">
        <v>8029</v>
      </c>
      <c r="F1600" s="2" t="s">
        <v>8048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f t="shared" si="1"/>
        <v>1600</v>
      </c>
      <c r="B1601" s="3" t="s">
        <v>8049</v>
      </c>
      <c r="C1601" s="3" t="s">
        <v>8050</v>
      </c>
      <c r="D1601" s="3" t="s">
        <v>8028</v>
      </c>
      <c r="E1601" s="3" t="s">
        <v>8029</v>
      </c>
      <c r="F1601" s="2" t="s">
        <v>8051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f t="shared" si="1"/>
        <v>1601</v>
      </c>
      <c r="B1602" s="3" t="s">
        <v>856</v>
      </c>
      <c r="C1602" s="3" t="s">
        <v>3151</v>
      </c>
      <c r="D1602" s="3" t="s">
        <v>8028</v>
      </c>
      <c r="E1602" s="3" t="s">
        <v>8029</v>
      </c>
      <c r="F1602" s="2" t="s">
        <v>8052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f t="shared" si="1"/>
        <v>1602</v>
      </c>
      <c r="B1603" s="3" t="s">
        <v>8053</v>
      </c>
      <c r="C1603" s="3" t="s">
        <v>8054</v>
      </c>
      <c r="D1603" s="3" t="s">
        <v>8028</v>
      </c>
      <c r="E1603" s="3" t="s">
        <v>8029</v>
      </c>
      <c r="F1603" s="2" t="s">
        <v>8055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f t="shared" si="1"/>
        <v>1603</v>
      </c>
      <c r="B1604" s="3" t="s">
        <v>8056</v>
      </c>
      <c r="C1604" s="3" t="s">
        <v>8057</v>
      </c>
      <c r="D1604" s="3" t="s">
        <v>8028</v>
      </c>
      <c r="E1604" s="3" t="s">
        <v>8029</v>
      </c>
      <c r="F1604" s="2" t="s">
        <v>8058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f t="shared" si="1"/>
        <v>1604</v>
      </c>
      <c r="B1605" s="3" t="s">
        <v>858</v>
      </c>
      <c r="C1605" s="3" t="s">
        <v>3152</v>
      </c>
      <c r="D1605" s="3" t="s">
        <v>8028</v>
      </c>
      <c r="E1605" s="3" t="s">
        <v>8029</v>
      </c>
      <c r="F1605" s="2" t="s">
        <v>8059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f t="shared" si="1"/>
        <v>1605</v>
      </c>
      <c r="B1606" s="3" t="s">
        <v>8060</v>
      </c>
      <c r="C1606" s="3" t="s">
        <v>8061</v>
      </c>
      <c r="D1606" s="3" t="s">
        <v>8028</v>
      </c>
      <c r="E1606" s="3" t="s">
        <v>8029</v>
      </c>
      <c r="F1606" s="2" t="s">
        <v>8062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f t="shared" si="1"/>
        <v>1606</v>
      </c>
      <c r="B1607" s="3" t="s">
        <v>8063</v>
      </c>
      <c r="C1607" s="3" t="s">
        <v>8064</v>
      </c>
      <c r="D1607" s="3" t="s">
        <v>8028</v>
      </c>
      <c r="E1607" s="3" t="s">
        <v>8029</v>
      </c>
      <c r="F1607" s="2" t="s">
        <v>8065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f t="shared" si="1"/>
        <v>1607</v>
      </c>
      <c r="B1608" s="3" t="s">
        <v>8066</v>
      </c>
      <c r="C1608" s="3" t="s">
        <v>8067</v>
      </c>
      <c r="D1608" s="3" t="s">
        <v>8028</v>
      </c>
      <c r="E1608" s="3" t="s">
        <v>8029</v>
      </c>
      <c r="F1608" s="2" t="s">
        <v>8068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f t="shared" si="1"/>
        <v>1608</v>
      </c>
      <c r="B1609" s="3" t="s">
        <v>8069</v>
      </c>
      <c r="C1609" s="3" t="s">
        <v>8070</v>
      </c>
      <c r="D1609" s="3" t="s">
        <v>8028</v>
      </c>
      <c r="E1609" s="3" t="s">
        <v>8029</v>
      </c>
      <c r="F1609" s="2" t="s">
        <v>8071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f t="shared" si="1"/>
        <v>1609</v>
      </c>
      <c r="B1610" s="3" t="s">
        <v>8072</v>
      </c>
      <c r="C1610" s="3" t="s">
        <v>8073</v>
      </c>
      <c r="D1610" s="3" t="s">
        <v>8028</v>
      </c>
      <c r="E1610" s="3" t="s">
        <v>8029</v>
      </c>
      <c r="F1610" s="2" t="s">
        <v>8074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f t="shared" si="1"/>
        <v>1610</v>
      </c>
      <c r="B1611" s="3" t="s">
        <v>8075</v>
      </c>
      <c r="C1611" s="3" t="s">
        <v>8076</v>
      </c>
      <c r="D1611" s="3" t="s">
        <v>8028</v>
      </c>
      <c r="E1611" s="3" t="s">
        <v>8029</v>
      </c>
      <c r="F1611" s="2" t="s">
        <v>8077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f t="shared" si="1"/>
        <v>1611</v>
      </c>
      <c r="B1612" s="3" t="s">
        <v>8078</v>
      </c>
      <c r="C1612" s="3" t="s">
        <v>8079</v>
      </c>
      <c r="D1612" s="3" t="s">
        <v>8028</v>
      </c>
      <c r="E1612" s="3" t="s">
        <v>8029</v>
      </c>
      <c r="F1612" s="2" t="s">
        <v>8080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f t="shared" si="1"/>
        <v>1612</v>
      </c>
      <c r="B1613" s="3" t="s">
        <v>8081</v>
      </c>
      <c r="C1613" s="3" t="s">
        <v>8082</v>
      </c>
      <c r="D1613" s="3" t="s">
        <v>8028</v>
      </c>
      <c r="E1613" s="3" t="s">
        <v>8029</v>
      </c>
      <c r="F1613" s="2" t="s">
        <v>8083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f t="shared" si="1"/>
        <v>1613</v>
      </c>
      <c r="B1614" s="3" t="s">
        <v>8084</v>
      </c>
      <c r="C1614" s="3" t="s">
        <v>8085</v>
      </c>
      <c r="D1614" s="3" t="s">
        <v>8028</v>
      </c>
      <c r="E1614" s="3" t="s">
        <v>8029</v>
      </c>
      <c r="F1614" s="2" t="s">
        <v>8086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f t="shared" si="1"/>
        <v>1614</v>
      </c>
      <c r="B1615" s="3" t="s">
        <v>8087</v>
      </c>
      <c r="C1615" s="3" t="s">
        <v>8088</v>
      </c>
      <c r="D1615" s="3" t="s">
        <v>8028</v>
      </c>
      <c r="E1615" s="3" t="s">
        <v>8029</v>
      </c>
      <c r="F1615" s="2" t="s">
        <v>8089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f t="shared" si="1"/>
        <v>1615</v>
      </c>
      <c r="B1616" s="3" t="s">
        <v>861</v>
      </c>
      <c r="C1616" s="3" t="s">
        <v>3153</v>
      </c>
      <c r="D1616" s="3" t="s">
        <v>8028</v>
      </c>
      <c r="E1616" s="3" t="s">
        <v>8029</v>
      </c>
      <c r="F1616" s="2" t="s">
        <v>8090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f t="shared" si="1"/>
        <v>1616</v>
      </c>
      <c r="B1617" s="3" t="s">
        <v>8091</v>
      </c>
      <c r="C1617" s="3" t="s">
        <v>8092</v>
      </c>
      <c r="D1617" s="3" t="s">
        <v>8028</v>
      </c>
      <c r="E1617" s="3" t="s">
        <v>8029</v>
      </c>
      <c r="F1617" s="2" t="s">
        <v>8093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f t="shared" si="1"/>
        <v>1617</v>
      </c>
      <c r="B1618" s="3" t="s">
        <v>8094</v>
      </c>
      <c r="C1618" s="3" t="s">
        <v>8095</v>
      </c>
      <c r="D1618" s="3" t="s">
        <v>8028</v>
      </c>
      <c r="E1618" s="3" t="s">
        <v>8029</v>
      </c>
      <c r="F1618" s="2" t="s">
        <v>8096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f t="shared" si="1"/>
        <v>1618</v>
      </c>
      <c r="B1619" s="3" t="s">
        <v>940</v>
      </c>
      <c r="C1619" s="3" t="s">
        <v>3209</v>
      </c>
      <c r="D1619" s="3" t="s">
        <v>8028</v>
      </c>
      <c r="E1619" s="3" t="s">
        <v>8029</v>
      </c>
      <c r="F1619" s="2" t="s">
        <v>8097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f t="shared" si="1"/>
        <v>1619</v>
      </c>
      <c r="B1620" s="3" t="s">
        <v>8098</v>
      </c>
      <c r="C1620" s="3" t="s">
        <v>8099</v>
      </c>
      <c r="D1620" s="3" t="s">
        <v>8028</v>
      </c>
      <c r="E1620" s="3" t="s">
        <v>8029</v>
      </c>
      <c r="F1620" s="2" t="s">
        <v>8100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f t="shared" si="1"/>
        <v>1620</v>
      </c>
      <c r="B1621" s="3" t="s">
        <v>8101</v>
      </c>
      <c r="C1621" s="3" t="s">
        <v>8102</v>
      </c>
      <c r="D1621" s="3" t="s">
        <v>8028</v>
      </c>
      <c r="E1621" s="3" t="s">
        <v>8029</v>
      </c>
      <c r="F1621" s="2" t="s">
        <v>8103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f t="shared" si="1"/>
        <v>1621</v>
      </c>
      <c r="B1622" s="3" t="s">
        <v>8104</v>
      </c>
      <c r="C1622" s="3" t="s">
        <v>8105</v>
      </c>
      <c r="D1622" s="3" t="s">
        <v>8028</v>
      </c>
      <c r="E1622" s="3" t="s">
        <v>8029</v>
      </c>
      <c r="F1622" s="2" t="s">
        <v>8106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f t="shared" si="1"/>
        <v>1622</v>
      </c>
      <c r="B1623" s="3" t="s">
        <v>8107</v>
      </c>
      <c r="C1623" s="3" t="s">
        <v>8108</v>
      </c>
      <c r="D1623" s="3" t="s">
        <v>8028</v>
      </c>
      <c r="E1623" s="3" t="s">
        <v>8029</v>
      </c>
      <c r="F1623" s="2" t="s">
        <v>8109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f t="shared" si="1"/>
        <v>1623</v>
      </c>
      <c r="B1624" s="3" t="s">
        <v>8110</v>
      </c>
      <c r="C1624" s="3" t="s">
        <v>8111</v>
      </c>
      <c r="D1624" s="3" t="s">
        <v>8028</v>
      </c>
      <c r="E1624" s="3" t="s">
        <v>8029</v>
      </c>
      <c r="F1624" s="2" t="s">
        <v>8112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f t="shared" si="1"/>
        <v>1624</v>
      </c>
      <c r="B1625" s="3" t="s">
        <v>8113</v>
      </c>
      <c r="C1625" s="3" t="s">
        <v>8114</v>
      </c>
      <c r="D1625" s="3" t="s">
        <v>8028</v>
      </c>
      <c r="E1625" s="3" t="s">
        <v>8029</v>
      </c>
      <c r="F1625" s="2" t="s">
        <v>8115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f t="shared" si="1"/>
        <v>1625</v>
      </c>
      <c r="B1626" s="3" t="s">
        <v>8116</v>
      </c>
      <c r="C1626" s="3" t="s">
        <v>8117</v>
      </c>
      <c r="D1626" s="3" t="s">
        <v>8028</v>
      </c>
      <c r="E1626" s="3" t="s">
        <v>8029</v>
      </c>
      <c r="F1626" s="2" t="s">
        <v>8118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f t="shared" si="1"/>
        <v>1626</v>
      </c>
      <c r="B1627" s="3" t="s">
        <v>8119</v>
      </c>
      <c r="C1627" s="3" t="s">
        <v>8120</v>
      </c>
      <c r="D1627" s="3" t="s">
        <v>8028</v>
      </c>
      <c r="E1627" s="3" t="s">
        <v>8029</v>
      </c>
      <c r="F1627" s="2" t="s">
        <v>8121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f t="shared" si="1"/>
        <v>1627</v>
      </c>
      <c r="B1628" s="3" t="s">
        <v>8122</v>
      </c>
      <c r="C1628" s="3" t="s">
        <v>8123</v>
      </c>
      <c r="D1628" s="3" t="s">
        <v>8124</v>
      </c>
      <c r="E1628" s="3" t="s">
        <v>8125</v>
      </c>
      <c r="F1628" s="2" t="s">
        <v>8126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f t="shared" si="1"/>
        <v>1628</v>
      </c>
      <c r="B1629" s="3" t="s">
        <v>8127</v>
      </c>
      <c r="C1629" s="3" t="s">
        <v>8128</v>
      </c>
      <c r="D1629" s="3" t="s">
        <v>8124</v>
      </c>
      <c r="E1629" s="3" t="s">
        <v>8125</v>
      </c>
      <c r="F1629" s="2" t="s">
        <v>8129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f t="shared" si="1"/>
        <v>1629</v>
      </c>
      <c r="B1630" s="3" t="s">
        <v>8130</v>
      </c>
      <c r="C1630" s="3" t="s">
        <v>8131</v>
      </c>
      <c r="D1630" s="3" t="s">
        <v>8124</v>
      </c>
      <c r="E1630" s="3" t="s">
        <v>8125</v>
      </c>
      <c r="F1630" s="2" t="s">
        <v>8132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f t="shared" si="1"/>
        <v>1630</v>
      </c>
      <c r="B1631" s="3" t="s">
        <v>8133</v>
      </c>
      <c r="C1631" s="3" t="s">
        <v>8134</v>
      </c>
      <c r="D1631" s="3" t="s">
        <v>8124</v>
      </c>
      <c r="E1631" s="3" t="s">
        <v>8125</v>
      </c>
      <c r="F1631" s="2" t="s">
        <v>8135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f t="shared" si="1"/>
        <v>1631</v>
      </c>
      <c r="B1632" s="3" t="s">
        <v>3136</v>
      </c>
      <c r="C1632" s="3" t="s">
        <v>3137</v>
      </c>
      <c r="D1632" s="3" t="s">
        <v>8124</v>
      </c>
      <c r="E1632" s="3" t="s">
        <v>8125</v>
      </c>
      <c r="F1632" s="2" t="s">
        <v>8136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f t="shared" si="1"/>
        <v>1632</v>
      </c>
      <c r="B1633" s="3" t="s">
        <v>870</v>
      </c>
      <c r="C1633" s="3" t="s">
        <v>3158</v>
      </c>
      <c r="D1633" s="3" t="s">
        <v>8124</v>
      </c>
      <c r="E1633" s="3" t="s">
        <v>8125</v>
      </c>
      <c r="F1633" s="2" t="s">
        <v>8137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f t="shared" si="1"/>
        <v>1633</v>
      </c>
      <c r="B1634" s="3" t="s">
        <v>3132</v>
      </c>
      <c r="C1634" s="3" t="s">
        <v>3133</v>
      </c>
      <c r="D1634" s="3" t="s">
        <v>8124</v>
      </c>
      <c r="E1634" s="3" t="s">
        <v>8125</v>
      </c>
      <c r="F1634" s="2" t="s">
        <v>8138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f t="shared" si="1"/>
        <v>1634</v>
      </c>
      <c r="B1635" s="3" t="s">
        <v>8139</v>
      </c>
      <c r="C1635" s="3" t="s">
        <v>8140</v>
      </c>
      <c r="D1635" s="3" t="s">
        <v>8124</v>
      </c>
      <c r="E1635" s="3" t="s">
        <v>8125</v>
      </c>
      <c r="F1635" s="2" t="s">
        <v>8141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f t="shared" si="1"/>
        <v>1635</v>
      </c>
      <c r="B1636" s="3" t="s">
        <v>8142</v>
      </c>
      <c r="C1636" s="3" t="s">
        <v>8143</v>
      </c>
      <c r="D1636" s="3" t="s">
        <v>8124</v>
      </c>
      <c r="E1636" s="3" t="s">
        <v>8125</v>
      </c>
      <c r="F1636" s="2" t="s">
        <v>8144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f t="shared" si="1"/>
        <v>1636</v>
      </c>
      <c r="B1637" s="3" t="s">
        <v>8145</v>
      </c>
      <c r="C1637" s="3" t="s">
        <v>8146</v>
      </c>
      <c r="D1637" s="3" t="s">
        <v>8124</v>
      </c>
      <c r="E1637" s="3" t="s">
        <v>8125</v>
      </c>
      <c r="F1637" s="2" t="s">
        <v>8147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f t="shared" si="1"/>
        <v>1637</v>
      </c>
      <c r="B1638" s="3" t="s">
        <v>927</v>
      </c>
      <c r="C1638" s="3" t="s">
        <v>3135</v>
      </c>
      <c r="D1638" s="3" t="s">
        <v>8124</v>
      </c>
      <c r="E1638" s="3" t="s">
        <v>8125</v>
      </c>
      <c r="F1638" s="2" t="s">
        <v>8148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f t="shared" si="1"/>
        <v>1638</v>
      </c>
      <c r="B1639" s="3" t="s">
        <v>863</v>
      </c>
      <c r="C1639" s="3" t="s">
        <v>3154</v>
      </c>
      <c r="D1639" s="3" t="s">
        <v>8124</v>
      </c>
      <c r="E1639" s="3" t="s">
        <v>8125</v>
      </c>
      <c r="F1639" s="2" t="s">
        <v>8149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f t="shared" si="1"/>
        <v>1639</v>
      </c>
      <c r="B1640" s="3" t="s">
        <v>866</v>
      </c>
      <c r="C1640" s="3" t="s">
        <v>3155</v>
      </c>
      <c r="D1640" s="3" t="s">
        <v>8124</v>
      </c>
      <c r="E1640" s="3" t="s">
        <v>8125</v>
      </c>
      <c r="F1640" s="2" t="s">
        <v>8150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f t="shared" si="1"/>
        <v>1640</v>
      </c>
      <c r="B1641" s="3" t="s">
        <v>8151</v>
      </c>
      <c r="C1641" s="3" t="s">
        <v>8152</v>
      </c>
      <c r="D1641" s="3" t="s">
        <v>8124</v>
      </c>
      <c r="E1641" s="3" t="s">
        <v>8125</v>
      </c>
      <c r="F1641" s="2" t="s">
        <v>8153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f t="shared" si="1"/>
        <v>1641</v>
      </c>
      <c r="B1642" s="3" t="s">
        <v>744</v>
      </c>
      <c r="C1642" s="3" t="s">
        <v>279</v>
      </c>
      <c r="D1642" s="3" t="s">
        <v>8124</v>
      </c>
      <c r="E1642" s="3" t="s">
        <v>8125</v>
      </c>
      <c r="F1642" s="2" t="s">
        <v>8154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f t="shared" si="1"/>
        <v>1642</v>
      </c>
      <c r="B1643" s="3" t="s">
        <v>872</v>
      </c>
      <c r="C1643" s="3" t="s">
        <v>3160</v>
      </c>
      <c r="D1643" s="3" t="s">
        <v>8124</v>
      </c>
      <c r="E1643" s="3" t="s">
        <v>8125</v>
      </c>
      <c r="F1643" s="2" t="s">
        <v>8155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f t="shared" si="1"/>
        <v>1643</v>
      </c>
      <c r="B1644" s="3" t="s">
        <v>8156</v>
      </c>
      <c r="C1644" s="3" t="s">
        <v>8157</v>
      </c>
      <c r="D1644" s="3" t="s">
        <v>8124</v>
      </c>
      <c r="E1644" s="3" t="s">
        <v>8125</v>
      </c>
      <c r="F1644" s="2" t="s">
        <v>8158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f t="shared" si="1"/>
        <v>1644</v>
      </c>
      <c r="B1645" s="3" t="s">
        <v>741</v>
      </c>
      <c r="C1645" s="3" t="s">
        <v>255</v>
      </c>
      <c r="D1645" s="3" t="s">
        <v>8124</v>
      </c>
      <c r="E1645" s="3" t="s">
        <v>8125</v>
      </c>
      <c r="F1645" s="2" t="s">
        <v>8159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f t="shared" si="1"/>
        <v>1645</v>
      </c>
      <c r="B1646" s="3" t="s">
        <v>868</v>
      </c>
      <c r="C1646" s="3" t="s">
        <v>3157</v>
      </c>
      <c r="D1646" s="3" t="s">
        <v>8124</v>
      </c>
      <c r="E1646" s="3" t="s">
        <v>8125</v>
      </c>
      <c r="F1646" s="2" t="s">
        <v>8160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f t="shared" si="1"/>
        <v>1646</v>
      </c>
      <c r="B1647" s="3" t="s">
        <v>8161</v>
      </c>
      <c r="C1647" s="3" t="s">
        <v>8162</v>
      </c>
      <c r="D1647" s="3" t="s">
        <v>8124</v>
      </c>
      <c r="E1647" s="3" t="s">
        <v>8125</v>
      </c>
      <c r="F1647" s="2" t="s">
        <v>8163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f t="shared" si="1"/>
        <v>1647</v>
      </c>
      <c r="B1648" s="3" t="s">
        <v>738</v>
      </c>
      <c r="C1648" s="3" t="s">
        <v>243</v>
      </c>
      <c r="D1648" s="3" t="s">
        <v>8124</v>
      </c>
      <c r="E1648" s="3" t="s">
        <v>8125</v>
      </c>
      <c r="F1648" s="2" t="s">
        <v>8164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f t="shared" si="1"/>
        <v>1648</v>
      </c>
      <c r="B1649" s="3" t="s">
        <v>733</v>
      </c>
      <c r="C1649" s="3" t="s">
        <v>163</v>
      </c>
      <c r="D1649" s="3" t="s">
        <v>8124</v>
      </c>
      <c r="E1649" s="3" t="s">
        <v>8125</v>
      </c>
      <c r="F1649" s="2" t="s">
        <v>8165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f t="shared" si="1"/>
        <v>1649</v>
      </c>
      <c r="B1650" s="3" t="s">
        <v>8166</v>
      </c>
      <c r="C1650" s="3" t="s">
        <v>8167</v>
      </c>
      <c r="D1650" s="3" t="s">
        <v>8124</v>
      </c>
      <c r="E1650" s="3" t="s">
        <v>8125</v>
      </c>
      <c r="F1650" s="2" t="s">
        <v>8168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f t="shared" si="1"/>
        <v>1650</v>
      </c>
      <c r="B1651" s="3" t="s">
        <v>8169</v>
      </c>
      <c r="C1651" s="3" t="s">
        <v>8170</v>
      </c>
      <c r="D1651" s="3" t="s">
        <v>8124</v>
      </c>
      <c r="E1651" s="3" t="s">
        <v>8125</v>
      </c>
      <c r="F1651" s="2" t="s">
        <v>8171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f t="shared" si="1"/>
        <v>1651</v>
      </c>
      <c r="B1652" s="3" t="s">
        <v>8172</v>
      </c>
      <c r="C1652" s="3" t="s">
        <v>8173</v>
      </c>
      <c r="D1652" s="3" t="s">
        <v>8124</v>
      </c>
      <c r="E1652" s="3" t="s">
        <v>8125</v>
      </c>
      <c r="F1652" s="2" t="s">
        <v>8174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f t="shared" si="1"/>
        <v>1652</v>
      </c>
      <c r="B1653" s="3" t="s">
        <v>8175</v>
      </c>
      <c r="C1653" s="3" t="s">
        <v>8176</v>
      </c>
      <c r="D1653" s="3" t="s">
        <v>8124</v>
      </c>
      <c r="E1653" s="3" t="s">
        <v>8125</v>
      </c>
      <c r="F1653" s="2" t="s">
        <v>8177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f t="shared" si="1"/>
        <v>1653</v>
      </c>
      <c r="B1654" s="3" t="s">
        <v>8178</v>
      </c>
      <c r="C1654" s="3" t="s">
        <v>8179</v>
      </c>
      <c r="D1654" s="3" t="s">
        <v>8124</v>
      </c>
      <c r="E1654" s="3" t="s">
        <v>8125</v>
      </c>
      <c r="F1654" s="2" t="s">
        <v>8180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f t="shared" si="1"/>
        <v>1654</v>
      </c>
      <c r="B1655" s="3" t="s">
        <v>3188</v>
      </c>
      <c r="C1655" s="3" t="s">
        <v>3189</v>
      </c>
      <c r="D1655" s="3" t="s">
        <v>8124</v>
      </c>
      <c r="E1655" s="3" t="s">
        <v>8125</v>
      </c>
      <c r="F1655" s="2" t="s">
        <v>8181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f t="shared" si="1"/>
        <v>1655</v>
      </c>
      <c r="B1656" s="3" t="s">
        <v>8182</v>
      </c>
      <c r="C1656" s="3" t="s">
        <v>8183</v>
      </c>
      <c r="D1656" s="3" t="s">
        <v>8124</v>
      </c>
      <c r="E1656" s="3" t="s">
        <v>8125</v>
      </c>
      <c r="F1656" s="2" t="s">
        <v>8184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f t="shared" si="1"/>
        <v>1656</v>
      </c>
      <c r="B1657" s="3" t="s">
        <v>8185</v>
      </c>
      <c r="C1657" s="3" t="s">
        <v>8186</v>
      </c>
      <c r="D1657" s="3" t="s">
        <v>8124</v>
      </c>
      <c r="E1657" s="3" t="s">
        <v>8125</v>
      </c>
      <c r="F1657" s="2" t="s">
        <v>8187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f t="shared" si="1"/>
        <v>1657</v>
      </c>
      <c r="B1658" s="3" t="s">
        <v>8188</v>
      </c>
      <c r="C1658" s="3" t="s">
        <v>8189</v>
      </c>
      <c r="D1658" s="3" t="s">
        <v>8124</v>
      </c>
      <c r="E1658" s="3" t="s">
        <v>8125</v>
      </c>
      <c r="F1658" s="2" t="s">
        <v>8190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f t="shared" si="1"/>
        <v>1658</v>
      </c>
      <c r="B1659" s="3" t="s">
        <v>8191</v>
      </c>
      <c r="C1659" s="3" t="s">
        <v>8192</v>
      </c>
      <c r="D1659" s="3" t="s">
        <v>8124</v>
      </c>
      <c r="E1659" s="3" t="s">
        <v>8125</v>
      </c>
      <c r="F1659" s="2" t="s">
        <v>8193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f t="shared" si="1"/>
        <v>1659</v>
      </c>
      <c r="B1660" s="3" t="s">
        <v>8194</v>
      </c>
      <c r="C1660" s="3" t="s">
        <v>8195</v>
      </c>
      <c r="D1660" s="3" t="s">
        <v>8124</v>
      </c>
      <c r="E1660" s="3" t="s">
        <v>8125</v>
      </c>
      <c r="F1660" s="2" t="s">
        <v>8196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f t="shared" si="1"/>
        <v>1660</v>
      </c>
      <c r="B1661" s="3" t="s">
        <v>8197</v>
      </c>
      <c r="C1661" s="3" t="s">
        <v>8198</v>
      </c>
      <c r="D1661" s="3" t="s">
        <v>8124</v>
      </c>
      <c r="E1661" s="3" t="s">
        <v>8125</v>
      </c>
      <c r="F1661" s="2" t="s">
        <v>8199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f t="shared" si="1"/>
        <v>1661</v>
      </c>
      <c r="B1662" s="3" t="s">
        <v>8200</v>
      </c>
      <c r="C1662" s="3" t="s">
        <v>8201</v>
      </c>
      <c r="D1662" s="3" t="s">
        <v>8124</v>
      </c>
      <c r="E1662" s="3" t="s">
        <v>8125</v>
      </c>
      <c r="F1662" s="2" t="s">
        <v>8202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f t="shared" si="1"/>
        <v>1662</v>
      </c>
      <c r="B1663" s="3" t="s">
        <v>882</v>
      </c>
      <c r="C1663" s="3" t="s">
        <v>3163</v>
      </c>
      <c r="D1663" s="3" t="s">
        <v>8203</v>
      </c>
      <c r="E1663" s="3" t="s">
        <v>8204</v>
      </c>
      <c r="F1663" s="2" t="s">
        <v>8205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f t="shared" si="1"/>
        <v>1663</v>
      </c>
      <c r="B1664" s="3" t="s">
        <v>8206</v>
      </c>
      <c r="C1664" s="3" t="s">
        <v>8207</v>
      </c>
      <c r="D1664" s="3" t="s">
        <v>8203</v>
      </c>
      <c r="E1664" s="3" t="s">
        <v>8204</v>
      </c>
      <c r="F1664" s="2" t="s">
        <v>8208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f t="shared" si="1"/>
        <v>1664</v>
      </c>
      <c r="B1665" s="3" t="s">
        <v>8209</v>
      </c>
      <c r="C1665" s="3" t="s">
        <v>8210</v>
      </c>
      <c r="D1665" s="3" t="s">
        <v>8203</v>
      </c>
      <c r="E1665" s="3" t="s">
        <v>8204</v>
      </c>
      <c r="F1665" s="2" t="s">
        <v>8211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f t="shared" si="1"/>
        <v>1665</v>
      </c>
      <c r="B1666" s="3" t="s">
        <v>8212</v>
      </c>
      <c r="C1666" s="3" t="s">
        <v>8213</v>
      </c>
      <c r="D1666" s="3" t="s">
        <v>8203</v>
      </c>
      <c r="E1666" s="3" t="s">
        <v>8204</v>
      </c>
      <c r="F1666" s="2" t="s">
        <v>8214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f t="shared" si="1"/>
        <v>1666</v>
      </c>
      <c r="B1667" s="3" t="s">
        <v>8215</v>
      </c>
      <c r="C1667" s="3" t="s">
        <v>8216</v>
      </c>
      <c r="D1667" s="3" t="s">
        <v>8203</v>
      </c>
      <c r="E1667" s="3" t="s">
        <v>8204</v>
      </c>
      <c r="F1667" s="2" t="s">
        <v>8217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f t="shared" si="1"/>
        <v>1667</v>
      </c>
      <c r="B1668" s="3" t="s">
        <v>8218</v>
      </c>
      <c r="C1668" s="3" t="s">
        <v>8219</v>
      </c>
      <c r="D1668" s="3" t="s">
        <v>8203</v>
      </c>
      <c r="E1668" s="3" t="s">
        <v>8204</v>
      </c>
      <c r="F1668" s="2" t="s">
        <v>8220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f t="shared" si="1"/>
        <v>1668</v>
      </c>
      <c r="B1669" s="3" t="s">
        <v>886</v>
      </c>
      <c r="C1669" s="3" t="s">
        <v>3165</v>
      </c>
      <c r="D1669" s="3" t="s">
        <v>8203</v>
      </c>
      <c r="E1669" s="3" t="s">
        <v>8204</v>
      </c>
      <c r="F1669" s="2" t="s">
        <v>8221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f t="shared" si="1"/>
        <v>1669</v>
      </c>
      <c r="B1670" s="3" t="s">
        <v>8222</v>
      </c>
      <c r="C1670" s="3" t="s">
        <v>8223</v>
      </c>
      <c r="D1670" s="3" t="s">
        <v>8203</v>
      </c>
      <c r="E1670" s="3" t="s">
        <v>8204</v>
      </c>
      <c r="F1670" s="2" t="s">
        <v>8224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f t="shared" si="1"/>
        <v>1670</v>
      </c>
      <c r="B1671" s="3" t="s">
        <v>8225</v>
      </c>
      <c r="C1671" s="3" t="s">
        <v>8226</v>
      </c>
      <c r="D1671" s="3" t="s">
        <v>8203</v>
      </c>
      <c r="E1671" s="3" t="s">
        <v>8204</v>
      </c>
      <c r="F1671" s="2" t="s">
        <v>8227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f t="shared" si="1"/>
        <v>1671</v>
      </c>
      <c r="B1672" s="3" t="s">
        <v>8228</v>
      </c>
      <c r="C1672" s="3" t="s">
        <v>8229</v>
      </c>
      <c r="D1672" s="3" t="s">
        <v>8203</v>
      </c>
      <c r="E1672" s="3" t="s">
        <v>8204</v>
      </c>
      <c r="F1672" s="2" t="s">
        <v>8230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f t="shared" si="1"/>
        <v>1672</v>
      </c>
      <c r="B1673" s="3" t="s">
        <v>8231</v>
      </c>
      <c r="C1673" s="3" t="s">
        <v>8232</v>
      </c>
      <c r="D1673" s="3" t="s">
        <v>8203</v>
      </c>
      <c r="E1673" s="3" t="s">
        <v>8204</v>
      </c>
      <c r="F1673" s="2" t="s">
        <v>8233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f t="shared" si="1"/>
        <v>1673</v>
      </c>
      <c r="B1674" s="3" t="s">
        <v>924</v>
      </c>
      <c r="C1674" s="3" t="s">
        <v>3131</v>
      </c>
      <c r="D1674" s="3" t="s">
        <v>8203</v>
      </c>
      <c r="E1674" s="3" t="s">
        <v>8204</v>
      </c>
      <c r="F1674" s="2" t="s">
        <v>8234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f t="shared" si="1"/>
        <v>1674</v>
      </c>
      <c r="B1675" s="3" t="s">
        <v>8235</v>
      </c>
      <c r="C1675" s="3" t="s">
        <v>8236</v>
      </c>
      <c r="D1675" s="3" t="s">
        <v>8203</v>
      </c>
      <c r="E1675" s="3" t="s">
        <v>8204</v>
      </c>
      <c r="F1675" s="2" t="s">
        <v>8237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f t="shared" si="1"/>
        <v>1675</v>
      </c>
      <c r="B1676" s="3" t="s">
        <v>8238</v>
      </c>
      <c r="C1676" s="3" t="s">
        <v>8239</v>
      </c>
      <c r="D1676" s="3" t="s">
        <v>8203</v>
      </c>
      <c r="E1676" s="3" t="s">
        <v>8204</v>
      </c>
      <c r="F1676" s="2" t="s">
        <v>8240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f t="shared" si="1"/>
        <v>1676</v>
      </c>
      <c r="B1677" s="3" t="s">
        <v>8241</v>
      </c>
      <c r="C1677" s="3" t="s">
        <v>8242</v>
      </c>
      <c r="D1677" s="3" t="s">
        <v>8203</v>
      </c>
      <c r="E1677" s="3" t="s">
        <v>8204</v>
      </c>
      <c r="F1677" s="2" t="s">
        <v>8243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f t="shared" si="1"/>
        <v>1677</v>
      </c>
      <c r="B1678" s="3" t="s">
        <v>8244</v>
      </c>
      <c r="C1678" s="3" t="s">
        <v>8245</v>
      </c>
      <c r="D1678" s="3" t="s">
        <v>8203</v>
      </c>
      <c r="E1678" s="3" t="s">
        <v>8204</v>
      </c>
      <c r="F1678" s="2" t="s">
        <v>8246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f t="shared" si="1"/>
        <v>1678</v>
      </c>
      <c r="B1679" s="3" t="s">
        <v>877</v>
      </c>
      <c r="C1679" s="3" t="s">
        <v>3161</v>
      </c>
      <c r="D1679" s="3" t="s">
        <v>8203</v>
      </c>
      <c r="E1679" s="3" t="s">
        <v>8204</v>
      </c>
      <c r="F1679" s="2" t="s">
        <v>8247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f t="shared" si="1"/>
        <v>1679</v>
      </c>
      <c r="B1680" s="3" t="s">
        <v>8248</v>
      </c>
      <c r="C1680" s="3" t="s">
        <v>8249</v>
      </c>
      <c r="D1680" s="3" t="s">
        <v>8203</v>
      </c>
      <c r="E1680" s="3" t="s">
        <v>8204</v>
      </c>
      <c r="F1680" s="2" t="s">
        <v>8250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f t="shared" si="1"/>
        <v>1680</v>
      </c>
      <c r="B1681" s="3" t="s">
        <v>8251</v>
      </c>
      <c r="C1681" s="3" t="s">
        <v>8252</v>
      </c>
      <c r="D1681" s="3" t="s">
        <v>8203</v>
      </c>
      <c r="E1681" s="3" t="s">
        <v>8204</v>
      </c>
      <c r="F1681" s="2" t="s">
        <v>8253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f t="shared" si="1"/>
        <v>1681</v>
      </c>
      <c r="B1682" s="3" t="s">
        <v>8254</v>
      </c>
      <c r="C1682" s="3" t="s">
        <v>8255</v>
      </c>
      <c r="D1682" s="3" t="s">
        <v>8203</v>
      </c>
      <c r="E1682" s="3" t="s">
        <v>8204</v>
      </c>
      <c r="F1682" s="2" t="s">
        <v>8256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f t="shared" si="1"/>
        <v>1682</v>
      </c>
      <c r="B1683" s="3" t="s">
        <v>8257</v>
      </c>
      <c r="C1683" s="3" t="s">
        <v>8258</v>
      </c>
      <c r="D1683" s="3" t="s">
        <v>8203</v>
      </c>
      <c r="E1683" s="3" t="s">
        <v>8204</v>
      </c>
      <c r="F1683" s="2" t="s">
        <v>8259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f t="shared" si="1"/>
        <v>1683</v>
      </c>
      <c r="B1684" s="3" t="s">
        <v>884</v>
      </c>
      <c r="C1684" s="3" t="s">
        <v>3164</v>
      </c>
      <c r="D1684" s="3" t="s">
        <v>8203</v>
      </c>
      <c r="E1684" s="3" t="s">
        <v>8204</v>
      </c>
      <c r="F1684" s="2" t="s">
        <v>8260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f t="shared" si="1"/>
        <v>1684</v>
      </c>
      <c r="B1685" s="3" t="s">
        <v>8261</v>
      </c>
      <c r="C1685" s="3" t="s">
        <v>8262</v>
      </c>
      <c r="D1685" s="3" t="s">
        <v>8203</v>
      </c>
      <c r="E1685" s="3" t="s">
        <v>8204</v>
      </c>
      <c r="F1685" s="2" t="s">
        <v>8263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f t="shared" si="1"/>
        <v>1685</v>
      </c>
      <c r="B1686" s="3" t="s">
        <v>8264</v>
      </c>
      <c r="C1686" s="3" t="s">
        <v>8265</v>
      </c>
      <c r="D1686" s="3" t="s">
        <v>8203</v>
      </c>
      <c r="E1686" s="3" t="s">
        <v>8204</v>
      </c>
      <c r="F1686" s="2" t="s">
        <v>8266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f t="shared" si="1"/>
        <v>1686</v>
      </c>
      <c r="B1687" s="3" t="s">
        <v>8267</v>
      </c>
      <c r="C1687" s="3" t="s">
        <v>8268</v>
      </c>
      <c r="D1687" s="3" t="s">
        <v>8203</v>
      </c>
      <c r="E1687" s="3" t="s">
        <v>8204</v>
      </c>
      <c r="F1687" s="2" t="s">
        <v>8269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f t="shared" si="1"/>
        <v>1687</v>
      </c>
      <c r="B1688" s="3" t="s">
        <v>880</v>
      </c>
      <c r="C1688" s="3" t="s">
        <v>3162</v>
      </c>
      <c r="D1688" s="3" t="s">
        <v>8203</v>
      </c>
      <c r="E1688" s="3" t="s">
        <v>8204</v>
      </c>
      <c r="F1688" s="2" t="s">
        <v>8270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f t="shared" si="1"/>
        <v>1688</v>
      </c>
      <c r="B1689" s="3" t="s">
        <v>8271</v>
      </c>
      <c r="C1689" s="3" t="s">
        <v>8272</v>
      </c>
      <c r="D1689" s="3" t="s">
        <v>8203</v>
      </c>
      <c r="E1689" s="3" t="s">
        <v>8204</v>
      </c>
      <c r="F1689" s="2" t="s">
        <v>8273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f t="shared" si="1"/>
        <v>1689</v>
      </c>
      <c r="B1690" s="3" t="s">
        <v>8274</v>
      </c>
      <c r="C1690" s="3" t="s">
        <v>8275</v>
      </c>
      <c r="D1690" s="3" t="s">
        <v>8203</v>
      </c>
      <c r="E1690" s="3" t="s">
        <v>8204</v>
      </c>
      <c r="F1690" s="2" t="s">
        <v>8276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f t="shared" si="1"/>
        <v>1690</v>
      </c>
      <c r="B1691" s="3" t="s">
        <v>874</v>
      </c>
      <c r="C1691" s="3" t="s">
        <v>661</v>
      </c>
      <c r="D1691" s="3" t="s">
        <v>8203</v>
      </c>
      <c r="E1691" s="3" t="s">
        <v>8204</v>
      </c>
      <c r="F1691" s="2" t="s">
        <v>8277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f t="shared" si="1"/>
        <v>1691</v>
      </c>
      <c r="B1692" s="3" t="s">
        <v>921</v>
      </c>
      <c r="C1692" s="3" t="s">
        <v>3130</v>
      </c>
      <c r="D1692" s="3" t="s">
        <v>8203</v>
      </c>
      <c r="E1692" s="3" t="s">
        <v>8204</v>
      </c>
      <c r="F1692" s="2" t="s">
        <v>8278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f t="shared" si="1"/>
        <v>1692</v>
      </c>
      <c r="B1693" s="3" t="s">
        <v>8279</v>
      </c>
      <c r="C1693" s="3" t="s">
        <v>8280</v>
      </c>
      <c r="D1693" s="3" t="s">
        <v>8203</v>
      </c>
      <c r="E1693" s="3" t="s">
        <v>8204</v>
      </c>
      <c r="F1693" s="2" t="s">
        <v>8281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f t="shared" si="1"/>
        <v>1693</v>
      </c>
      <c r="B1694" s="3" t="s">
        <v>8282</v>
      </c>
      <c r="C1694" s="3" t="s">
        <v>8283</v>
      </c>
      <c r="D1694" s="3" t="s">
        <v>8203</v>
      </c>
      <c r="E1694" s="3" t="s">
        <v>8204</v>
      </c>
      <c r="F1694" s="2" t="s">
        <v>8284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f t="shared" si="1"/>
        <v>1694</v>
      </c>
      <c r="B1695" s="3" t="s">
        <v>8285</v>
      </c>
      <c r="C1695" s="3" t="s">
        <v>8286</v>
      </c>
      <c r="D1695" s="3" t="s">
        <v>8203</v>
      </c>
      <c r="E1695" s="3" t="s">
        <v>8204</v>
      </c>
      <c r="F1695" s="2" t="s">
        <v>8287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f t="shared" si="1"/>
        <v>1695</v>
      </c>
      <c r="B1696" s="3" t="s">
        <v>8288</v>
      </c>
      <c r="C1696" s="3" t="s">
        <v>8289</v>
      </c>
      <c r="D1696" s="3" t="s">
        <v>8203</v>
      </c>
      <c r="E1696" s="3" t="s">
        <v>8204</v>
      </c>
      <c r="F1696" s="2" t="s">
        <v>8290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f t="shared" si="1"/>
        <v>1696</v>
      </c>
      <c r="B1697" s="3" t="s">
        <v>8291</v>
      </c>
      <c r="C1697" s="3" t="s">
        <v>8292</v>
      </c>
      <c r="D1697" s="3" t="s">
        <v>8203</v>
      </c>
      <c r="E1697" s="3" t="s">
        <v>8204</v>
      </c>
      <c r="F1697" s="2" t="s">
        <v>8293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f t="shared" si="1"/>
        <v>1697</v>
      </c>
      <c r="B1698" s="3" t="s">
        <v>3214</v>
      </c>
      <c r="C1698" s="3" t="s">
        <v>3215</v>
      </c>
      <c r="D1698" s="3" t="s">
        <v>8294</v>
      </c>
      <c r="E1698" s="3" t="s">
        <v>8295</v>
      </c>
      <c r="F1698" s="2" t="s">
        <v>8296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f t="shared" si="1"/>
        <v>1698</v>
      </c>
      <c r="B1699" s="3" t="s">
        <v>8297</v>
      </c>
      <c r="C1699" s="3" t="s">
        <v>8298</v>
      </c>
      <c r="D1699" s="3" t="s">
        <v>8294</v>
      </c>
      <c r="E1699" s="3" t="s">
        <v>8295</v>
      </c>
      <c r="F1699" s="2" t="s">
        <v>8299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f t="shared" si="1"/>
        <v>1699</v>
      </c>
      <c r="B1700" s="3" t="s">
        <v>943</v>
      </c>
      <c r="C1700" s="3" t="s">
        <v>658</v>
      </c>
      <c r="D1700" s="3" t="s">
        <v>8294</v>
      </c>
      <c r="E1700" s="3" t="s">
        <v>8295</v>
      </c>
      <c r="F1700" s="2" t="s">
        <v>8300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f t="shared" si="1"/>
        <v>1700</v>
      </c>
      <c r="B1701" s="3" t="s">
        <v>8301</v>
      </c>
      <c r="C1701" s="3" t="s">
        <v>8302</v>
      </c>
      <c r="D1701" s="3" t="s">
        <v>8294</v>
      </c>
      <c r="E1701" s="3" t="s">
        <v>8295</v>
      </c>
      <c r="F1701" s="2" t="s">
        <v>8303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f t="shared" si="1"/>
        <v>1701</v>
      </c>
      <c r="B1702" s="3" t="s">
        <v>918</v>
      </c>
      <c r="C1702" s="3" t="s">
        <v>3129</v>
      </c>
      <c r="D1702" s="3" t="s">
        <v>8294</v>
      </c>
      <c r="E1702" s="3" t="s">
        <v>8295</v>
      </c>
      <c r="F1702" s="2" t="s">
        <v>8304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f t="shared" si="1"/>
        <v>1702</v>
      </c>
      <c r="B1703" s="3" t="s">
        <v>888</v>
      </c>
      <c r="C1703" s="3" t="s">
        <v>3166</v>
      </c>
      <c r="D1703" s="3" t="s">
        <v>8294</v>
      </c>
      <c r="E1703" s="3" t="s">
        <v>8295</v>
      </c>
      <c r="F1703" s="2" t="s">
        <v>8305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f t="shared" si="1"/>
        <v>1703</v>
      </c>
      <c r="B1704" s="3" t="s">
        <v>8306</v>
      </c>
      <c r="C1704" s="3" t="s">
        <v>8307</v>
      </c>
      <c r="D1704" s="3" t="s">
        <v>8294</v>
      </c>
      <c r="E1704" s="3" t="s">
        <v>8295</v>
      </c>
      <c r="F1704" s="2" t="s">
        <v>8308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f t="shared" si="1"/>
        <v>1704</v>
      </c>
      <c r="B1705" s="3" t="s">
        <v>8309</v>
      </c>
      <c r="C1705" s="3" t="s">
        <v>8310</v>
      </c>
      <c r="D1705" s="3" t="s">
        <v>8294</v>
      </c>
      <c r="E1705" s="3" t="s">
        <v>8295</v>
      </c>
      <c r="F1705" s="2" t="s">
        <v>8311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f t="shared" si="1"/>
        <v>1705</v>
      </c>
      <c r="B1706" s="3" t="s">
        <v>8312</v>
      </c>
      <c r="C1706" s="3" t="s">
        <v>8313</v>
      </c>
      <c r="D1706" s="3" t="s">
        <v>8294</v>
      </c>
      <c r="E1706" s="3" t="s">
        <v>8295</v>
      </c>
      <c r="F1706" s="2" t="s">
        <v>8314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f t="shared" si="1"/>
        <v>1706</v>
      </c>
      <c r="B1707" s="3" t="s">
        <v>8315</v>
      </c>
      <c r="C1707" s="3" t="s">
        <v>8316</v>
      </c>
      <c r="D1707" s="3" t="s">
        <v>8294</v>
      </c>
      <c r="E1707" s="3" t="s">
        <v>8295</v>
      </c>
      <c r="F1707" s="2" t="s">
        <v>8317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f t="shared" si="1"/>
        <v>1707</v>
      </c>
      <c r="B1708" s="3" t="s">
        <v>8318</v>
      </c>
      <c r="C1708" s="3" t="s">
        <v>8319</v>
      </c>
      <c r="D1708" s="3" t="s">
        <v>8294</v>
      </c>
      <c r="E1708" s="3" t="s">
        <v>8295</v>
      </c>
      <c r="F1708" s="2" t="s">
        <v>8320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f t="shared" si="1"/>
        <v>1708</v>
      </c>
      <c r="B1709" s="3" t="s">
        <v>3125</v>
      </c>
      <c r="C1709" s="3" t="s">
        <v>3126</v>
      </c>
      <c r="D1709" s="3" t="s">
        <v>8294</v>
      </c>
      <c r="E1709" s="3" t="s">
        <v>8295</v>
      </c>
      <c r="F1709" s="2" t="s">
        <v>8321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f t="shared" si="1"/>
        <v>1709</v>
      </c>
      <c r="B1710" s="3" t="s">
        <v>8322</v>
      </c>
      <c r="C1710" s="3" t="s">
        <v>8323</v>
      </c>
      <c r="D1710" s="3" t="s">
        <v>8294</v>
      </c>
      <c r="E1710" s="3" t="s">
        <v>8295</v>
      </c>
      <c r="F1710" s="2" t="s">
        <v>8324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f t="shared" si="1"/>
        <v>1710</v>
      </c>
      <c r="B1711" s="3" t="s">
        <v>3217</v>
      </c>
      <c r="C1711" s="3" t="s">
        <v>3218</v>
      </c>
      <c r="D1711" s="3" t="s">
        <v>8294</v>
      </c>
      <c r="E1711" s="3" t="s">
        <v>8295</v>
      </c>
      <c r="F1711" s="2" t="s">
        <v>8325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f t="shared" si="1"/>
        <v>1711</v>
      </c>
      <c r="B1712" s="3" t="s">
        <v>8326</v>
      </c>
      <c r="C1712" s="3" t="s">
        <v>8327</v>
      </c>
      <c r="D1712" s="3" t="s">
        <v>8294</v>
      </c>
      <c r="E1712" s="3" t="s">
        <v>8295</v>
      </c>
      <c r="F1712" s="2" t="s">
        <v>8328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f t="shared" si="1"/>
        <v>1712</v>
      </c>
      <c r="B1713" s="3" t="s">
        <v>8329</v>
      </c>
      <c r="C1713" s="3" t="s">
        <v>8330</v>
      </c>
      <c r="D1713" s="3" t="s">
        <v>8331</v>
      </c>
      <c r="E1713" s="3" t="s">
        <v>8332</v>
      </c>
      <c r="F1713" s="2" t="s">
        <v>8333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f t="shared" si="1"/>
        <v>1713</v>
      </c>
      <c r="B1714" s="3" t="s">
        <v>8334</v>
      </c>
      <c r="C1714" s="3" t="s">
        <v>8335</v>
      </c>
      <c r="D1714" s="3" t="s">
        <v>8331</v>
      </c>
      <c r="E1714" s="3" t="s">
        <v>8332</v>
      </c>
      <c r="F1714" s="2" t="s">
        <v>8336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f t="shared" si="1"/>
        <v>1714</v>
      </c>
      <c r="B1715" s="3" t="s">
        <v>8337</v>
      </c>
      <c r="C1715" s="3" t="s">
        <v>8338</v>
      </c>
      <c r="D1715" s="3" t="s">
        <v>8331</v>
      </c>
      <c r="E1715" s="3" t="s">
        <v>8339</v>
      </c>
      <c r="F1715" s="2" t="s">
        <v>8340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f t="shared" si="1"/>
        <v>1715</v>
      </c>
      <c r="B1716" s="3" t="s">
        <v>8341</v>
      </c>
      <c r="C1716" s="3" t="s">
        <v>8342</v>
      </c>
      <c r="D1716" s="3" t="s">
        <v>8331</v>
      </c>
      <c r="E1716" s="3" t="s">
        <v>8339</v>
      </c>
      <c r="F1716" s="2" t="s">
        <v>8343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f t="shared" si="1"/>
        <v>1716</v>
      </c>
      <c r="B1717" s="3" t="s">
        <v>8344</v>
      </c>
      <c r="C1717" s="3" t="s">
        <v>8345</v>
      </c>
      <c r="D1717" s="3" t="s">
        <v>8331</v>
      </c>
      <c r="E1717" s="3" t="s">
        <v>7895</v>
      </c>
      <c r="F1717" s="2" t="s">
        <v>8346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f t="shared" si="1"/>
        <v>1717</v>
      </c>
      <c r="B1718" s="3" t="s">
        <v>8347</v>
      </c>
      <c r="C1718" s="3" t="s">
        <v>8348</v>
      </c>
      <c r="D1718" s="3" t="s">
        <v>8331</v>
      </c>
      <c r="E1718" s="3" t="s">
        <v>7779</v>
      </c>
      <c r="F1718" s="2" t="s">
        <v>8349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f t="shared" si="1"/>
        <v>1718</v>
      </c>
      <c r="B1719" s="3" t="s">
        <v>8350</v>
      </c>
      <c r="C1719" s="3" t="s">
        <v>8351</v>
      </c>
      <c r="D1719" s="3" t="s">
        <v>8331</v>
      </c>
      <c r="E1719" s="3" t="s">
        <v>8339</v>
      </c>
      <c r="F1719" s="2" t="s">
        <v>8352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f t="shared" si="1"/>
        <v>1719</v>
      </c>
      <c r="B1720" s="3" t="s">
        <v>8353</v>
      </c>
      <c r="C1720" s="3" t="s">
        <v>8354</v>
      </c>
      <c r="D1720" s="3" t="s">
        <v>8331</v>
      </c>
      <c r="E1720" s="3" t="s">
        <v>7779</v>
      </c>
      <c r="F1720" s="2" t="s">
        <v>8355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f t="shared" si="1"/>
        <v>1720</v>
      </c>
      <c r="B1721" s="3" t="s">
        <v>8356</v>
      </c>
      <c r="C1721" s="3" t="s">
        <v>8357</v>
      </c>
      <c r="D1721" s="3" t="s">
        <v>8331</v>
      </c>
      <c r="E1721" s="3" t="s">
        <v>7779</v>
      </c>
      <c r="F1721" s="2" t="s">
        <v>8358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f t="shared" si="1"/>
        <v>1721</v>
      </c>
      <c r="B1722" s="3" t="s">
        <v>8359</v>
      </c>
      <c r="C1722" s="3" t="s">
        <v>8360</v>
      </c>
      <c r="D1722" s="3" t="s">
        <v>8331</v>
      </c>
      <c r="E1722" s="3" t="s">
        <v>8339</v>
      </c>
      <c r="F1722" s="2" t="s">
        <v>8361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f t="shared" si="1"/>
        <v>1722</v>
      </c>
      <c r="B1723" s="3" t="s">
        <v>8362</v>
      </c>
      <c r="C1723" s="3" t="s">
        <v>8363</v>
      </c>
      <c r="D1723" s="3" t="s">
        <v>8331</v>
      </c>
      <c r="E1723" s="3" t="s">
        <v>7779</v>
      </c>
      <c r="F1723" s="2" t="s">
        <v>8364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f t="shared" si="1"/>
        <v>1723</v>
      </c>
      <c r="B1724" s="3" t="s">
        <v>8365</v>
      </c>
      <c r="C1724" s="3" t="s">
        <v>8366</v>
      </c>
      <c r="D1724" s="3" t="s">
        <v>8331</v>
      </c>
      <c r="E1724" s="3" t="s">
        <v>7779</v>
      </c>
      <c r="F1724" s="2" t="s">
        <v>8367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f t="shared" si="1"/>
        <v>1724</v>
      </c>
      <c r="B1725" s="3" t="s">
        <v>8368</v>
      </c>
      <c r="C1725" s="3" t="s">
        <v>8369</v>
      </c>
      <c r="D1725" s="3" t="s">
        <v>8331</v>
      </c>
      <c r="E1725" s="3" t="s">
        <v>7895</v>
      </c>
      <c r="F1725" s="2" t="s">
        <v>8370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f t="shared" si="1"/>
        <v>1725</v>
      </c>
      <c r="B1726" s="3" t="s">
        <v>8371</v>
      </c>
      <c r="C1726" s="3" t="s">
        <v>8372</v>
      </c>
      <c r="D1726" s="3" t="s">
        <v>8331</v>
      </c>
      <c r="E1726" s="3" t="s">
        <v>8339</v>
      </c>
      <c r="F1726" s="2" t="s">
        <v>8373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f t="shared" si="1"/>
        <v>1726</v>
      </c>
      <c r="B1727" s="3" t="s">
        <v>8374</v>
      </c>
      <c r="C1727" s="3" t="s">
        <v>8375</v>
      </c>
      <c r="D1727" s="3" t="s">
        <v>8331</v>
      </c>
      <c r="E1727" s="3" t="s">
        <v>7779</v>
      </c>
      <c r="F1727" s="2" t="s">
        <v>8376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f t="shared" si="1"/>
        <v>1727</v>
      </c>
      <c r="B1728" s="3" t="s">
        <v>8377</v>
      </c>
      <c r="C1728" s="3" t="s">
        <v>8378</v>
      </c>
      <c r="D1728" s="3" t="s">
        <v>8331</v>
      </c>
      <c r="E1728" s="3" t="s">
        <v>8339</v>
      </c>
      <c r="F1728" s="2" t="s">
        <v>8379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f t="shared" si="1"/>
        <v>1728</v>
      </c>
      <c r="B1729" s="3" t="s">
        <v>8380</v>
      </c>
      <c r="C1729" s="3" t="s">
        <v>8381</v>
      </c>
      <c r="D1729" s="3" t="s">
        <v>8331</v>
      </c>
      <c r="E1729" s="3" t="s">
        <v>7779</v>
      </c>
      <c r="F1729" s="2" t="s">
        <v>8382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f t="shared" si="1"/>
        <v>1729</v>
      </c>
      <c r="B1730" s="3" t="s">
        <v>8383</v>
      </c>
      <c r="C1730" s="3" t="s">
        <v>8384</v>
      </c>
      <c r="D1730" s="3" t="s">
        <v>8331</v>
      </c>
      <c r="E1730" s="3" t="s">
        <v>7779</v>
      </c>
      <c r="F1730" s="2" t="s">
        <v>8385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f t="shared" si="1"/>
        <v>1730</v>
      </c>
      <c r="B1731" s="3" t="s">
        <v>8386</v>
      </c>
      <c r="C1731" s="3" t="s">
        <v>8387</v>
      </c>
      <c r="D1731" s="3" t="s">
        <v>8331</v>
      </c>
      <c r="E1731" s="3" t="s">
        <v>7779</v>
      </c>
      <c r="F1731" s="2" t="s">
        <v>8388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f t="shared" si="1"/>
        <v>1731</v>
      </c>
      <c r="B1732" s="3" t="s">
        <v>8389</v>
      </c>
      <c r="C1732" s="3" t="s">
        <v>8390</v>
      </c>
      <c r="D1732" s="3" t="s">
        <v>8331</v>
      </c>
      <c r="E1732" s="3" t="s">
        <v>8339</v>
      </c>
      <c r="F1732" s="2" t="s">
        <v>8391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>
        <f t="shared" si="1"/>
        <v>1732</v>
      </c>
      <c r="B1733" s="3" t="s">
        <v>8392</v>
      </c>
      <c r="C1733" s="3" t="s">
        <v>8393</v>
      </c>
      <c r="D1733" s="3" t="s">
        <v>8331</v>
      </c>
      <c r="E1733" s="3" t="s">
        <v>8339</v>
      </c>
      <c r="F1733" s="2" t="s">
        <v>8394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>
        <f t="shared" si="1"/>
        <v>1733</v>
      </c>
      <c r="B1734" s="3" t="s">
        <v>8395</v>
      </c>
      <c r="C1734" s="3" t="s">
        <v>8396</v>
      </c>
      <c r="D1734" s="3" t="s">
        <v>8331</v>
      </c>
      <c r="E1734" s="3" t="s">
        <v>7779</v>
      </c>
      <c r="F1734" s="2" t="s">
        <v>8397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>
        <f t="shared" si="1"/>
        <v>1734</v>
      </c>
      <c r="B1735" s="3" t="s">
        <v>8398</v>
      </c>
      <c r="C1735" s="3" t="s">
        <v>8399</v>
      </c>
      <c r="D1735" s="3" t="s">
        <v>8331</v>
      </c>
      <c r="E1735" s="3" t="s">
        <v>7779</v>
      </c>
      <c r="F1735" s="2" t="s">
        <v>8400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>
        <f t="shared" si="1"/>
        <v>1735</v>
      </c>
      <c r="B1736" s="3" t="s">
        <v>8401</v>
      </c>
      <c r="C1736" s="3" t="s">
        <v>8402</v>
      </c>
      <c r="D1736" s="3" t="s">
        <v>8331</v>
      </c>
      <c r="E1736" s="3" t="s">
        <v>8339</v>
      </c>
      <c r="F1736" s="2" t="s">
        <v>8403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>
        <f t="shared" si="1"/>
        <v>1736</v>
      </c>
      <c r="B1737" s="3" t="s">
        <v>8404</v>
      </c>
      <c r="C1737" s="3" t="s">
        <v>8405</v>
      </c>
      <c r="D1737" s="3" t="s">
        <v>8331</v>
      </c>
      <c r="E1737" s="3" t="s">
        <v>8339</v>
      </c>
      <c r="F1737" s="2" t="s">
        <v>8406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>
        <f t="shared" si="1"/>
        <v>1737</v>
      </c>
      <c r="B1738" s="3" t="s">
        <v>8407</v>
      </c>
      <c r="C1738" s="3" t="s">
        <v>8408</v>
      </c>
      <c r="D1738" s="3" t="s">
        <v>8331</v>
      </c>
      <c r="E1738" s="3" t="s">
        <v>7779</v>
      </c>
      <c r="F1738" s="2" t="s">
        <v>8409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>
        <f t="shared" si="1"/>
        <v>1738</v>
      </c>
      <c r="B1739" s="3" t="s">
        <v>8410</v>
      </c>
      <c r="C1739" s="3" t="s">
        <v>8411</v>
      </c>
      <c r="D1739" s="3" t="s">
        <v>8331</v>
      </c>
      <c r="E1739" s="3" t="s">
        <v>7779</v>
      </c>
      <c r="F1739" s="2" t="s">
        <v>8412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>
        <f t="shared" si="1"/>
        <v>1739</v>
      </c>
      <c r="B1740" s="3" t="s">
        <v>8413</v>
      </c>
      <c r="C1740" s="3" t="s">
        <v>8414</v>
      </c>
      <c r="D1740" s="3" t="s">
        <v>8331</v>
      </c>
      <c r="E1740" s="3" t="s">
        <v>8339</v>
      </c>
      <c r="F1740" s="2" t="s">
        <v>8415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>
        <f t="shared" si="1"/>
        <v>1740</v>
      </c>
      <c r="B1741" s="3" t="s">
        <v>8416</v>
      </c>
      <c r="C1741" s="3" t="s">
        <v>8417</v>
      </c>
      <c r="D1741" s="3" t="s">
        <v>8331</v>
      </c>
      <c r="E1741" s="3" t="s">
        <v>7895</v>
      </c>
      <c r="F1741" s="2" t="s">
        <v>8418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>
        <f t="shared" si="1"/>
        <v>1741</v>
      </c>
      <c r="B1742" s="3" t="s">
        <v>8419</v>
      </c>
      <c r="C1742" s="3" t="s">
        <v>8420</v>
      </c>
      <c r="D1742" s="3" t="s">
        <v>8331</v>
      </c>
      <c r="E1742" s="3" t="s">
        <v>7895</v>
      </c>
      <c r="F1742" s="2" t="s">
        <v>8421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>
        <f t="shared" si="1"/>
        <v>1742</v>
      </c>
      <c r="B1743" s="3" t="s">
        <v>8422</v>
      </c>
      <c r="C1743" s="3" t="s">
        <v>8423</v>
      </c>
      <c r="D1743" s="3" t="s">
        <v>8331</v>
      </c>
      <c r="E1743" s="3" t="s">
        <v>7895</v>
      </c>
      <c r="F1743" s="2" t="s">
        <v>8424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>
        <f t="shared" si="1"/>
        <v>1743</v>
      </c>
      <c r="B1744" s="3" t="s">
        <v>8425</v>
      </c>
      <c r="C1744" s="3" t="s">
        <v>8426</v>
      </c>
      <c r="D1744" s="3" t="s">
        <v>8331</v>
      </c>
      <c r="E1744" s="3" t="s">
        <v>7895</v>
      </c>
      <c r="F1744" s="2" t="s">
        <v>8427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>
        <f t="shared" si="1"/>
        <v>1744</v>
      </c>
      <c r="B1745" s="3" t="s">
        <v>8428</v>
      </c>
      <c r="C1745" s="3" t="s">
        <v>8429</v>
      </c>
      <c r="D1745" s="3" t="s">
        <v>8331</v>
      </c>
      <c r="E1745" s="3" t="s">
        <v>7895</v>
      </c>
      <c r="F1745" s="2" t="s">
        <v>8430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>
        <f t="shared" si="1"/>
        <v>1745</v>
      </c>
      <c r="B1746" s="3" t="s">
        <v>8431</v>
      </c>
      <c r="C1746" s="3" t="s">
        <v>8432</v>
      </c>
      <c r="D1746" s="3" t="s">
        <v>8331</v>
      </c>
      <c r="E1746" s="3" t="s">
        <v>7895</v>
      </c>
      <c r="F1746" s="2" t="s">
        <v>8433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>
        <f t="shared" si="1"/>
        <v>1746</v>
      </c>
      <c r="B1747" s="3" t="s">
        <v>8434</v>
      </c>
      <c r="C1747" s="3" t="s">
        <v>8435</v>
      </c>
      <c r="D1747" s="3" t="s">
        <v>8331</v>
      </c>
      <c r="E1747" s="3" t="s">
        <v>7895</v>
      </c>
      <c r="F1747" s="2" t="s">
        <v>8436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>
        <f t="shared" si="1"/>
        <v>1747</v>
      </c>
      <c r="B1748" s="3" t="s">
        <v>8437</v>
      </c>
      <c r="C1748" s="3" t="s">
        <v>8438</v>
      </c>
      <c r="D1748" s="3" t="s">
        <v>8331</v>
      </c>
      <c r="E1748" s="3" t="s">
        <v>7775</v>
      </c>
      <c r="F1748" s="2" t="s">
        <v>8439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>
        <f t="shared" si="1"/>
        <v>1748</v>
      </c>
      <c r="B1749" s="3" t="s">
        <v>8440</v>
      </c>
      <c r="C1749" s="3" t="s">
        <v>8441</v>
      </c>
      <c r="D1749" s="3" t="s">
        <v>8331</v>
      </c>
      <c r="E1749" s="3" t="s">
        <v>7775</v>
      </c>
      <c r="F1749" s="2" t="s">
        <v>8442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>
        <f t="shared" si="1"/>
        <v>1749</v>
      </c>
      <c r="B1750" s="3" t="s">
        <v>8443</v>
      </c>
      <c r="C1750" s="3" t="s">
        <v>8444</v>
      </c>
      <c r="D1750" s="3" t="s">
        <v>8331</v>
      </c>
      <c r="E1750" s="3" t="s">
        <v>7775</v>
      </c>
      <c r="F1750" s="2" t="s">
        <v>8445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>
        <f t="shared" si="1"/>
        <v>1750</v>
      </c>
      <c r="B1751" s="3" t="s">
        <v>8446</v>
      </c>
      <c r="C1751" s="3" t="s">
        <v>8447</v>
      </c>
      <c r="D1751" s="3" t="s">
        <v>8331</v>
      </c>
      <c r="E1751" s="3" t="s">
        <v>7775</v>
      </c>
      <c r="F1751" s="2" t="s">
        <v>8448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>
        <f t="shared" si="1"/>
        <v>1751</v>
      </c>
      <c r="B1752" s="3" t="s">
        <v>8449</v>
      </c>
      <c r="C1752" s="3" t="s">
        <v>8450</v>
      </c>
      <c r="D1752" s="3" t="s">
        <v>8451</v>
      </c>
      <c r="E1752" s="3" t="s">
        <v>6397</v>
      </c>
      <c r="F1752" s="2" t="s">
        <v>8452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>
        <f t="shared" si="1"/>
        <v>1752</v>
      </c>
      <c r="B1753" s="3" t="s">
        <v>8453</v>
      </c>
      <c r="C1753" s="3" t="s">
        <v>8454</v>
      </c>
      <c r="D1753" s="3" t="s">
        <v>8451</v>
      </c>
      <c r="E1753" s="3" t="s">
        <v>7926</v>
      </c>
      <c r="F1753" s="2" t="s">
        <v>8455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>
        <f t="shared" si="1"/>
        <v>1753</v>
      </c>
      <c r="B1754" s="3" t="s">
        <v>8456</v>
      </c>
      <c r="C1754" s="3" t="s">
        <v>8457</v>
      </c>
      <c r="D1754" s="3" t="s">
        <v>8451</v>
      </c>
      <c r="E1754" s="3" t="s">
        <v>7926</v>
      </c>
      <c r="F1754" s="2" t="s">
        <v>8458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>
        <f t="shared" si="1"/>
        <v>1754</v>
      </c>
      <c r="B1755" s="3" t="s">
        <v>8459</v>
      </c>
      <c r="C1755" s="3" t="s">
        <v>8460</v>
      </c>
      <c r="D1755" s="3" t="s">
        <v>8451</v>
      </c>
      <c r="E1755" s="3" t="s">
        <v>7926</v>
      </c>
      <c r="F1755" s="2" t="s">
        <v>8461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>
        <f t="shared" si="1"/>
        <v>1755</v>
      </c>
      <c r="B1756" s="3" t="s">
        <v>832</v>
      </c>
      <c r="C1756" s="3" t="s">
        <v>3111</v>
      </c>
      <c r="D1756" s="3" t="s">
        <v>8451</v>
      </c>
      <c r="E1756" s="3" t="s">
        <v>7926</v>
      </c>
      <c r="F1756" s="2" t="s">
        <v>8462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>
        <f t="shared" si="1"/>
        <v>1756</v>
      </c>
      <c r="B1757" s="3" t="s">
        <v>8463</v>
      </c>
      <c r="C1757" s="3" t="s">
        <v>8464</v>
      </c>
      <c r="D1757" s="3" t="s">
        <v>8451</v>
      </c>
      <c r="E1757" s="3" t="s">
        <v>7930</v>
      </c>
      <c r="F1757" s="2" t="s">
        <v>8465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>
        <f t="shared" si="1"/>
        <v>1757</v>
      </c>
      <c r="B1758" s="3" t="s">
        <v>8466</v>
      </c>
      <c r="C1758" s="3" t="s">
        <v>8467</v>
      </c>
      <c r="D1758" s="3" t="s">
        <v>8451</v>
      </c>
      <c r="E1758" s="3" t="s">
        <v>7926</v>
      </c>
      <c r="F1758" s="2" t="s">
        <v>8468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>
        <f t="shared" si="1"/>
        <v>1758</v>
      </c>
      <c r="B1759" s="3" t="s">
        <v>8469</v>
      </c>
      <c r="C1759" s="3" t="s">
        <v>8470</v>
      </c>
      <c r="D1759" s="3" t="s">
        <v>8451</v>
      </c>
      <c r="E1759" s="3" t="s">
        <v>7926</v>
      </c>
      <c r="F1759" s="2" t="s">
        <v>8471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>
        <f t="shared" si="1"/>
        <v>1759</v>
      </c>
      <c r="B1760" s="3" t="s">
        <v>8472</v>
      </c>
      <c r="C1760" s="3" t="s">
        <v>8473</v>
      </c>
      <c r="D1760" s="3" t="s">
        <v>8451</v>
      </c>
      <c r="E1760" s="3" t="s">
        <v>7725</v>
      </c>
      <c r="F1760" s="2" t="s">
        <v>8474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>
        <f t="shared" si="1"/>
        <v>1760</v>
      </c>
      <c r="B1761" s="3" t="s">
        <v>8475</v>
      </c>
      <c r="C1761" s="3" t="s">
        <v>8476</v>
      </c>
      <c r="D1761" s="3" t="s">
        <v>8451</v>
      </c>
      <c r="E1761" s="3" t="s">
        <v>7926</v>
      </c>
      <c r="F1761" s="2" t="s">
        <v>8477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>
        <f t="shared" si="1"/>
        <v>1761</v>
      </c>
      <c r="B1762" s="3" t="s">
        <v>8478</v>
      </c>
      <c r="C1762" s="3" t="s">
        <v>8479</v>
      </c>
      <c r="D1762" s="3" t="s">
        <v>8451</v>
      </c>
      <c r="E1762" s="3" t="s">
        <v>7926</v>
      </c>
      <c r="F1762" s="2" t="s">
        <v>8480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>
        <f t="shared" si="1"/>
        <v>1762</v>
      </c>
      <c r="B1763" s="3" t="s">
        <v>8481</v>
      </c>
      <c r="C1763" s="3" t="s">
        <v>8482</v>
      </c>
      <c r="D1763" s="3" t="s">
        <v>8451</v>
      </c>
      <c r="E1763" s="3" t="s">
        <v>6397</v>
      </c>
      <c r="F1763" s="2" t="s">
        <v>8483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>
        <f t="shared" si="1"/>
        <v>1763</v>
      </c>
      <c r="B1764" s="3" t="s">
        <v>8484</v>
      </c>
      <c r="C1764" s="3" t="s">
        <v>8485</v>
      </c>
      <c r="D1764" s="3" t="s">
        <v>8451</v>
      </c>
      <c r="E1764" s="3" t="s">
        <v>7725</v>
      </c>
      <c r="F1764" s="2" t="s">
        <v>8486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>
        <f t="shared" si="1"/>
        <v>1764</v>
      </c>
      <c r="B1765" s="3" t="s">
        <v>8487</v>
      </c>
      <c r="C1765" s="3" t="s">
        <v>8488</v>
      </c>
      <c r="D1765" s="3" t="s">
        <v>8451</v>
      </c>
      <c r="E1765" s="3" t="s">
        <v>7725</v>
      </c>
      <c r="F1765" s="2" t="s">
        <v>8489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>
        <f t="shared" si="1"/>
        <v>1765</v>
      </c>
      <c r="B1766" s="3" t="s">
        <v>8490</v>
      </c>
      <c r="C1766" s="3" t="s">
        <v>8491</v>
      </c>
      <c r="D1766" s="3" t="s">
        <v>8451</v>
      </c>
      <c r="E1766" s="3" t="s">
        <v>7725</v>
      </c>
      <c r="F1766" s="2" t="s">
        <v>8492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>
        <f t="shared" si="1"/>
        <v>1766</v>
      </c>
      <c r="B1767" s="3" t="s">
        <v>8493</v>
      </c>
      <c r="C1767" s="3" t="s">
        <v>8494</v>
      </c>
      <c r="D1767" s="3" t="s">
        <v>8451</v>
      </c>
      <c r="E1767" s="3" t="s">
        <v>7725</v>
      </c>
      <c r="F1767" s="2" t="s">
        <v>8495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>
        <f t="shared" si="1"/>
        <v>1767</v>
      </c>
      <c r="B1768" s="3" t="s">
        <v>8496</v>
      </c>
      <c r="C1768" s="3" t="s">
        <v>8497</v>
      </c>
      <c r="D1768" s="3" t="s">
        <v>8451</v>
      </c>
      <c r="E1768" s="3" t="s">
        <v>7725</v>
      </c>
      <c r="F1768" s="2" t="s">
        <v>8498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>
        <f t="shared" si="1"/>
        <v>1768</v>
      </c>
      <c r="B1769" s="3" t="s">
        <v>8499</v>
      </c>
      <c r="C1769" s="3" t="s">
        <v>8500</v>
      </c>
      <c r="D1769" s="3" t="s">
        <v>8451</v>
      </c>
      <c r="E1769" s="3" t="s">
        <v>7725</v>
      </c>
      <c r="F1769" s="2" t="s">
        <v>8501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>
        <f t="shared" si="1"/>
        <v>1769</v>
      </c>
      <c r="B1770" s="3" t="s">
        <v>8502</v>
      </c>
      <c r="C1770" s="3" t="s">
        <v>8503</v>
      </c>
      <c r="D1770" s="3" t="s">
        <v>8451</v>
      </c>
      <c r="E1770" s="3" t="s">
        <v>7930</v>
      </c>
      <c r="F1770" s="2" t="s">
        <v>8504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>
        <f t="shared" si="1"/>
        <v>1770</v>
      </c>
      <c r="B1771" s="3" t="s">
        <v>8505</v>
      </c>
      <c r="C1771" s="3" t="s">
        <v>8506</v>
      </c>
      <c r="D1771" s="3" t="s">
        <v>8451</v>
      </c>
      <c r="E1771" s="3" t="s">
        <v>7725</v>
      </c>
      <c r="F1771" s="2" t="s">
        <v>8507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>
        <f t="shared" si="1"/>
        <v>1771</v>
      </c>
      <c r="B1772" s="3" t="s">
        <v>8508</v>
      </c>
      <c r="C1772" s="3" t="s">
        <v>8509</v>
      </c>
      <c r="D1772" s="3" t="s">
        <v>8451</v>
      </c>
      <c r="E1772" s="3" t="s">
        <v>6397</v>
      </c>
      <c r="F1772" s="2" t="s">
        <v>8510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>
        <f t="shared" si="1"/>
        <v>1772</v>
      </c>
      <c r="B1773" s="3" t="s">
        <v>8511</v>
      </c>
      <c r="C1773" s="3" t="s">
        <v>8512</v>
      </c>
      <c r="D1773" s="3" t="s">
        <v>8451</v>
      </c>
      <c r="E1773" s="3" t="s">
        <v>6397</v>
      </c>
      <c r="F1773" s="2" t="s">
        <v>8513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>
        <f t="shared" si="1"/>
        <v>1773</v>
      </c>
      <c r="B1774" s="3" t="s">
        <v>8514</v>
      </c>
      <c r="C1774" s="3" t="s">
        <v>8515</v>
      </c>
      <c r="D1774" s="3" t="s">
        <v>8451</v>
      </c>
      <c r="E1774" s="3" t="s">
        <v>7725</v>
      </c>
      <c r="F1774" s="2" t="s">
        <v>8516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>
        <f t="shared" si="1"/>
        <v>1774</v>
      </c>
      <c r="B1775" s="3" t="s">
        <v>8517</v>
      </c>
      <c r="C1775" s="3" t="s">
        <v>8518</v>
      </c>
      <c r="D1775" s="3" t="s">
        <v>8451</v>
      </c>
      <c r="E1775" s="3" t="s">
        <v>7930</v>
      </c>
      <c r="F1775" s="2" t="s">
        <v>8519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>
        <f t="shared" si="1"/>
        <v>1775</v>
      </c>
      <c r="B1776" s="3" t="s">
        <v>8520</v>
      </c>
      <c r="C1776" s="3" t="s">
        <v>8521</v>
      </c>
      <c r="D1776" s="3" t="s">
        <v>8451</v>
      </c>
      <c r="E1776" s="3" t="s">
        <v>7725</v>
      </c>
      <c r="F1776" s="2" t="s">
        <v>8522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>
        <f t="shared" si="1"/>
        <v>1776</v>
      </c>
      <c r="B1777" s="3" t="s">
        <v>8523</v>
      </c>
      <c r="C1777" s="3" t="s">
        <v>8524</v>
      </c>
      <c r="D1777" s="3" t="s">
        <v>8451</v>
      </c>
      <c r="E1777" s="3" t="s">
        <v>7725</v>
      </c>
      <c r="F1777" s="2" t="s">
        <v>8525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>
        <f t="shared" si="1"/>
        <v>1777</v>
      </c>
      <c r="B1778" s="3" t="s">
        <v>8526</v>
      </c>
      <c r="C1778" s="3" t="s">
        <v>8527</v>
      </c>
      <c r="D1778" s="3" t="s">
        <v>8451</v>
      </c>
      <c r="E1778" s="3" t="s">
        <v>7725</v>
      </c>
      <c r="F1778" s="2" t="s">
        <v>8528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>
        <f t="shared" si="1"/>
        <v>1778</v>
      </c>
      <c r="B1779" s="3" t="s">
        <v>8529</v>
      </c>
      <c r="C1779" s="3" t="s">
        <v>8530</v>
      </c>
      <c r="D1779" s="3" t="s">
        <v>8451</v>
      </c>
      <c r="E1779" s="3" t="s">
        <v>7725</v>
      </c>
      <c r="F1779" s="2" t="s">
        <v>8531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>
        <f t="shared" si="1"/>
        <v>1779</v>
      </c>
      <c r="B1780" s="3" t="s">
        <v>8532</v>
      </c>
      <c r="C1780" s="3" t="s">
        <v>8533</v>
      </c>
      <c r="D1780" s="3" t="s">
        <v>8451</v>
      </c>
      <c r="E1780" s="3" t="s">
        <v>7725</v>
      </c>
      <c r="F1780" s="2" t="s">
        <v>8534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>
        <f t="shared" si="1"/>
        <v>1780</v>
      </c>
      <c r="B1781" s="3" t="s">
        <v>8535</v>
      </c>
      <c r="C1781" s="3" t="s">
        <v>8536</v>
      </c>
      <c r="D1781" s="3" t="s">
        <v>8451</v>
      </c>
      <c r="E1781" s="3" t="s">
        <v>7930</v>
      </c>
      <c r="F1781" s="2" t="s">
        <v>8537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>
        <f t="shared" si="1"/>
        <v>1781</v>
      </c>
      <c r="B1782" s="3" t="s">
        <v>8538</v>
      </c>
      <c r="C1782" s="3" t="s">
        <v>8539</v>
      </c>
      <c r="D1782" s="3" t="s">
        <v>8451</v>
      </c>
      <c r="E1782" s="3" t="s">
        <v>7930</v>
      </c>
      <c r="F1782" s="2" t="s">
        <v>8540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>
        <f t="shared" si="1"/>
        <v>1782</v>
      </c>
      <c r="B1783" s="3" t="s">
        <v>8541</v>
      </c>
      <c r="C1783" s="3" t="s">
        <v>8542</v>
      </c>
      <c r="D1783" s="3" t="s">
        <v>8451</v>
      </c>
      <c r="E1783" s="3" t="s">
        <v>7725</v>
      </c>
      <c r="F1783" s="2" t="s">
        <v>8543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>
        <f t="shared" si="1"/>
        <v>1783</v>
      </c>
      <c r="B1784" s="3" t="s">
        <v>8544</v>
      </c>
      <c r="C1784" s="3" t="s">
        <v>8545</v>
      </c>
      <c r="D1784" s="3" t="s">
        <v>8451</v>
      </c>
      <c r="E1784" s="3" t="s">
        <v>7725</v>
      </c>
      <c r="F1784" s="2" t="s">
        <v>8546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>
        <f t="shared" si="1"/>
        <v>1784</v>
      </c>
      <c r="B1785" s="3" t="s">
        <v>8547</v>
      </c>
      <c r="C1785" s="3" t="s">
        <v>8548</v>
      </c>
      <c r="D1785" s="3" t="s">
        <v>8451</v>
      </c>
      <c r="E1785" s="3" t="s">
        <v>7725</v>
      </c>
      <c r="F1785" s="2" t="s">
        <v>8549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>
        <f t="shared" si="1"/>
        <v>1785</v>
      </c>
      <c r="B1786" s="3" t="s">
        <v>8550</v>
      </c>
      <c r="C1786" s="3" t="s">
        <v>8551</v>
      </c>
      <c r="D1786" s="3" t="s">
        <v>8451</v>
      </c>
      <c r="E1786" s="3" t="s">
        <v>7725</v>
      </c>
      <c r="F1786" s="2" t="s">
        <v>8552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>
        <f t="shared" si="1"/>
        <v>1786</v>
      </c>
      <c r="B1787" s="3" t="s">
        <v>8553</v>
      </c>
      <c r="C1787" s="3" t="s">
        <v>8554</v>
      </c>
      <c r="D1787" s="3" t="s">
        <v>8451</v>
      </c>
      <c r="E1787" s="3" t="s">
        <v>7725</v>
      </c>
      <c r="F1787" s="2" t="s">
        <v>8555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>
        <f t="shared" si="1"/>
        <v>1787</v>
      </c>
      <c r="B1788" s="3" t="s">
        <v>8556</v>
      </c>
      <c r="C1788" s="3" t="s">
        <v>8557</v>
      </c>
      <c r="D1788" s="3" t="s">
        <v>8451</v>
      </c>
      <c r="E1788" s="3" t="s">
        <v>7725</v>
      </c>
      <c r="F1788" s="2" t="s">
        <v>8558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>
        <f t="shared" si="1"/>
        <v>1788</v>
      </c>
      <c r="B1789" s="3" t="s">
        <v>8559</v>
      </c>
      <c r="C1789" s="3" t="s">
        <v>8560</v>
      </c>
      <c r="D1789" s="3" t="s">
        <v>8561</v>
      </c>
      <c r="E1789" s="3" t="s">
        <v>7506</v>
      </c>
      <c r="F1789" s="2" t="s">
        <v>8562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>
        <f t="shared" si="1"/>
        <v>1789</v>
      </c>
      <c r="B1790" s="3" t="s">
        <v>750</v>
      </c>
      <c r="C1790" s="3" t="s">
        <v>264</v>
      </c>
      <c r="D1790" s="3" t="s">
        <v>8561</v>
      </c>
      <c r="E1790" s="3" t="s">
        <v>8563</v>
      </c>
      <c r="F1790" s="2" t="s">
        <v>8564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>
        <f t="shared" si="1"/>
        <v>1790</v>
      </c>
      <c r="B1791" s="3" t="s">
        <v>8565</v>
      </c>
      <c r="C1791" s="3" t="s">
        <v>8566</v>
      </c>
      <c r="D1791" s="3" t="s">
        <v>8561</v>
      </c>
      <c r="E1791" s="3" t="s">
        <v>8563</v>
      </c>
      <c r="F1791" s="2" t="s">
        <v>8567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>
        <f t="shared" si="1"/>
        <v>1791</v>
      </c>
      <c r="B1792" s="3" t="s">
        <v>3223</v>
      </c>
      <c r="C1792" s="3" t="s">
        <v>285</v>
      </c>
      <c r="D1792" s="3" t="s">
        <v>8561</v>
      </c>
      <c r="E1792" s="3" t="s">
        <v>8563</v>
      </c>
      <c r="F1792" s="2" t="s">
        <v>8568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>
        <f t="shared" si="1"/>
        <v>1792</v>
      </c>
      <c r="B1793" s="3" t="s">
        <v>8569</v>
      </c>
      <c r="C1793" s="3" t="s">
        <v>8570</v>
      </c>
      <c r="D1793" s="3" t="s">
        <v>8561</v>
      </c>
      <c r="E1793" s="3" t="s">
        <v>7506</v>
      </c>
      <c r="F1793" s="2" t="s">
        <v>8571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>
        <f t="shared" si="1"/>
        <v>1793</v>
      </c>
      <c r="B1794" s="3" t="s">
        <v>8572</v>
      </c>
      <c r="C1794" s="3" t="s">
        <v>8573</v>
      </c>
      <c r="D1794" s="3" t="s">
        <v>8561</v>
      </c>
      <c r="E1794" s="3" t="s">
        <v>7506</v>
      </c>
      <c r="F1794" s="2" t="s">
        <v>8574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>
        <f t="shared" si="1"/>
        <v>1794</v>
      </c>
      <c r="B1795" s="3" t="s">
        <v>802</v>
      </c>
      <c r="C1795" s="3" t="s">
        <v>159</v>
      </c>
      <c r="D1795" s="3" t="s">
        <v>8561</v>
      </c>
      <c r="E1795" s="3" t="s">
        <v>8563</v>
      </c>
      <c r="F1795" s="2" t="s">
        <v>8575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>
        <f t="shared" si="1"/>
        <v>1795</v>
      </c>
      <c r="B1796" s="3" t="s">
        <v>8576</v>
      </c>
      <c r="C1796" s="3" t="s">
        <v>8577</v>
      </c>
      <c r="D1796" s="3" t="s">
        <v>8561</v>
      </c>
      <c r="E1796" s="3" t="s">
        <v>8563</v>
      </c>
      <c r="F1796" s="2" t="s">
        <v>8578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>
        <f t="shared" si="1"/>
        <v>1796</v>
      </c>
      <c r="B1797" s="3" t="s">
        <v>8579</v>
      </c>
      <c r="C1797" s="3" t="s">
        <v>8580</v>
      </c>
      <c r="D1797" s="3" t="s">
        <v>8561</v>
      </c>
      <c r="E1797" s="3" t="s">
        <v>8563</v>
      </c>
      <c r="F1797" s="2" t="s">
        <v>8581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>
        <f t="shared" si="1"/>
        <v>1797</v>
      </c>
      <c r="B1798" s="3" t="s">
        <v>8582</v>
      </c>
      <c r="C1798" s="3" t="s">
        <v>8583</v>
      </c>
      <c r="D1798" s="3" t="s">
        <v>8561</v>
      </c>
      <c r="E1798" s="3" t="s">
        <v>8563</v>
      </c>
      <c r="F1798" s="2" t="s">
        <v>8584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>
        <f t="shared" si="1"/>
        <v>1798</v>
      </c>
      <c r="B1799" s="3" t="s">
        <v>8585</v>
      </c>
      <c r="C1799" s="3" t="s">
        <v>8586</v>
      </c>
      <c r="D1799" s="3" t="s">
        <v>8561</v>
      </c>
      <c r="E1799" s="3" t="s">
        <v>8563</v>
      </c>
      <c r="F1799" s="2" t="s">
        <v>8587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>
        <f t="shared" si="1"/>
        <v>1799</v>
      </c>
      <c r="B1800" s="3" t="s">
        <v>757</v>
      </c>
      <c r="C1800" s="3" t="s">
        <v>211</v>
      </c>
      <c r="D1800" s="3" t="s">
        <v>8561</v>
      </c>
      <c r="E1800" s="3" t="s">
        <v>8563</v>
      </c>
      <c r="F1800" s="2" t="s">
        <v>8588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>
        <f t="shared" si="1"/>
        <v>1800</v>
      </c>
      <c r="B1801" s="3" t="s">
        <v>25</v>
      </c>
      <c r="C1801" s="3" t="s">
        <v>26</v>
      </c>
      <c r="D1801" s="3" t="s">
        <v>8561</v>
      </c>
      <c r="E1801" s="3" t="s">
        <v>8563</v>
      </c>
      <c r="F1801" s="2" t="s">
        <v>28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>
        <f t="shared" si="1"/>
        <v>1801</v>
      </c>
      <c r="B1802" s="3" t="s">
        <v>753</v>
      </c>
      <c r="C1802" s="3" t="s">
        <v>196</v>
      </c>
      <c r="D1802" s="3" t="s">
        <v>8561</v>
      </c>
      <c r="E1802" s="3" t="s">
        <v>8563</v>
      </c>
      <c r="F1802" s="2" t="s">
        <v>8589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>
        <f t="shared" si="1"/>
        <v>1802</v>
      </c>
      <c r="B1803" s="3" t="s">
        <v>8590</v>
      </c>
      <c r="C1803" s="3" t="s">
        <v>8591</v>
      </c>
      <c r="D1803" s="3" t="s">
        <v>8561</v>
      </c>
      <c r="E1803" s="3" t="s">
        <v>8563</v>
      </c>
      <c r="F1803" s="2" t="s">
        <v>8592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>
        <f t="shared" si="1"/>
        <v>1803</v>
      </c>
      <c r="B1804" s="3" t="s">
        <v>8593</v>
      </c>
      <c r="C1804" s="3" t="s">
        <v>8594</v>
      </c>
      <c r="D1804" s="3" t="s">
        <v>8561</v>
      </c>
      <c r="E1804" s="3" t="s">
        <v>8595</v>
      </c>
      <c r="F1804" s="2" t="s">
        <v>8596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>
        <f t="shared" si="1"/>
        <v>1804</v>
      </c>
      <c r="B1805" s="3" t="s">
        <v>8597</v>
      </c>
      <c r="C1805" s="3" t="s">
        <v>8598</v>
      </c>
      <c r="D1805" s="3" t="s">
        <v>8561</v>
      </c>
      <c r="E1805" s="3" t="s">
        <v>8595</v>
      </c>
      <c r="F1805" s="2" t="s">
        <v>8599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>
        <f t="shared" si="1"/>
        <v>1805</v>
      </c>
      <c r="B1806" s="3" t="s">
        <v>8600</v>
      </c>
      <c r="C1806" s="3" t="s">
        <v>8601</v>
      </c>
      <c r="D1806" s="3" t="s">
        <v>8561</v>
      </c>
      <c r="E1806" s="3" t="s">
        <v>8563</v>
      </c>
      <c r="F1806" s="2" t="s">
        <v>8602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>
        <f t="shared" si="1"/>
        <v>1806</v>
      </c>
      <c r="B1807" s="3" t="s">
        <v>8603</v>
      </c>
      <c r="C1807" s="3" t="s">
        <v>8604</v>
      </c>
      <c r="D1807" s="3" t="s">
        <v>8561</v>
      </c>
      <c r="E1807" s="3" t="s">
        <v>8563</v>
      </c>
      <c r="F1807" s="2" t="s">
        <v>8605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>
        <f t="shared" si="1"/>
        <v>1807</v>
      </c>
      <c r="B1808" s="3" t="s">
        <v>8606</v>
      </c>
      <c r="C1808" s="3" t="s">
        <v>8607</v>
      </c>
      <c r="D1808" s="3" t="s">
        <v>8561</v>
      </c>
      <c r="E1808" s="3" t="s">
        <v>8563</v>
      </c>
      <c r="F1808" s="2" t="s">
        <v>8608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>
        <f t="shared" si="1"/>
        <v>1808</v>
      </c>
      <c r="B1809" s="3" t="s">
        <v>8609</v>
      </c>
      <c r="C1809" s="3" t="s">
        <v>8610</v>
      </c>
      <c r="D1809" s="3" t="s">
        <v>8561</v>
      </c>
      <c r="E1809" s="3" t="s">
        <v>8563</v>
      </c>
      <c r="F1809" s="2" t="s">
        <v>8611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>
        <f t="shared" si="1"/>
        <v>1809</v>
      </c>
      <c r="B1810" s="3" t="s">
        <v>8612</v>
      </c>
      <c r="C1810" s="3" t="s">
        <v>8613</v>
      </c>
      <c r="D1810" s="3" t="s">
        <v>8561</v>
      </c>
      <c r="E1810" s="3" t="s">
        <v>8563</v>
      </c>
      <c r="F1810" s="2" t="s">
        <v>8614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>
        <f t="shared" si="1"/>
        <v>1810</v>
      </c>
      <c r="B1811" s="3" t="s">
        <v>8615</v>
      </c>
      <c r="C1811" s="3" t="s">
        <v>8616</v>
      </c>
      <c r="D1811" s="3" t="s">
        <v>8561</v>
      </c>
      <c r="E1811" s="3" t="s">
        <v>8563</v>
      </c>
      <c r="F1811" s="2" t="s">
        <v>8617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>
        <f t="shared" si="1"/>
        <v>1811</v>
      </c>
      <c r="B1812" s="3" t="s">
        <v>3220</v>
      </c>
      <c r="C1812" s="3" t="s">
        <v>282</v>
      </c>
      <c r="D1812" s="3" t="s">
        <v>8561</v>
      </c>
      <c r="E1812" s="3" t="s">
        <v>7506</v>
      </c>
      <c r="F1812" s="2" t="s">
        <v>8618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>
        <f t="shared" si="1"/>
        <v>1812</v>
      </c>
      <c r="B1813" s="3" t="s">
        <v>8619</v>
      </c>
      <c r="C1813" s="3" t="s">
        <v>8620</v>
      </c>
      <c r="D1813" s="3" t="s">
        <v>8561</v>
      </c>
      <c r="E1813" s="3" t="s">
        <v>7506</v>
      </c>
      <c r="F1813" s="2" t="s">
        <v>8621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>
        <f t="shared" si="1"/>
        <v>1813</v>
      </c>
      <c r="B1814" s="3" t="s">
        <v>8622</v>
      </c>
      <c r="C1814" s="3" t="s">
        <v>8623</v>
      </c>
      <c r="D1814" s="3" t="s">
        <v>8561</v>
      </c>
      <c r="E1814" s="3" t="s">
        <v>8563</v>
      </c>
      <c r="F1814" s="2" t="s">
        <v>8624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>
        <f t="shared" si="1"/>
        <v>1814</v>
      </c>
      <c r="B1815" s="3" t="s">
        <v>8625</v>
      </c>
      <c r="C1815" s="3" t="s">
        <v>8626</v>
      </c>
      <c r="D1815" s="3" t="s">
        <v>8561</v>
      </c>
      <c r="E1815" s="3" t="s">
        <v>8595</v>
      </c>
      <c r="F1815" s="2" t="s">
        <v>8627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>
        <f t="shared" si="1"/>
        <v>1815</v>
      </c>
      <c r="B1816" s="3" t="s">
        <v>8628</v>
      </c>
      <c r="C1816" s="3" t="s">
        <v>8629</v>
      </c>
      <c r="D1816" s="3" t="s">
        <v>8561</v>
      </c>
      <c r="E1816" s="3" t="s">
        <v>8563</v>
      </c>
      <c r="F1816" s="2" t="s">
        <v>8630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>
        <f t="shared" si="1"/>
        <v>1816</v>
      </c>
      <c r="B1817" s="3" t="s">
        <v>8631</v>
      </c>
      <c r="C1817" s="3" t="s">
        <v>8632</v>
      </c>
      <c r="D1817" s="3" t="s">
        <v>8561</v>
      </c>
      <c r="E1817" s="3" t="s">
        <v>8595</v>
      </c>
      <c r="F1817" s="2" t="s">
        <v>8633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>
        <f t="shared" si="1"/>
        <v>1817</v>
      </c>
      <c r="B1818" s="3" t="s">
        <v>747</v>
      </c>
      <c r="C1818" s="3" t="s">
        <v>246</v>
      </c>
      <c r="D1818" s="3" t="s">
        <v>8561</v>
      </c>
      <c r="E1818" s="3" t="s">
        <v>6279</v>
      </c>
      <c r="F1818" s="2" t="s">
        <v>8634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>
        <f t="shared" si="1"/>
        <v>1818</v>
      </c>
      <c r="B1819" s="3" t="s">
        <v>8635</v>
      </c>
      <c r="C1819" s="3" t="s">
        <v>8636</v>
      </c>
      <c r="D1819" s="3" t="s">
        <v>8561</v>
      </c>
      <c r="E1819" s="3" t="s">
        <v>6279</v>
      </c>
      <c r="F1819" s="2" t="s">
        <v>8637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>
        <f t="shared" si="1"/>
        <v>1819</v>
      </c>
      <c r="B1820" s="3" t="s">
        <v>8638</v>
      </c>
      <c r="C1820" s="3" t="s">
        <v>8639</v>
      </c>
      <c r="D1820" s="3" t="s">
        <v>8561</v>
      </c>
      <c r="E1820" s="3" t="s">
        <v>6279</v>
      </c>
      <c r="F1820" s="2" t="s">
        <v>8640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>
        <f t="shared" si="1"/>
        <v>1820</v>
      </c>
      <c r="B1821" s="3" t="s">
        <v>8641</v>
      </c>
      <c r="C1821" s="3" t="s">
        <v>8642</v>
      </c>
      <c r="D1821" s="3" t="s">
        <v>8561</v>
      </c>
      <c r="E1821" s="3" t="s">
        <v>6279</v>
      </c>
      <c r="F1821" s="2" t="s">
        <v>8643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>
        <f t="shared" si="1"/>
        <v>1821</v>
      </c>
      <c r="B1822" s="3" t="s">
        <v>8644</v>
      </c>
      <c r="C1822" s="3" t="s">
        <v>8645</v>
      </c>
      <c r="D1822" s="3" t="s">
        <v>8561</v>
      </c>
      <c r="E1822" s="3" t="s">
        <v>8595</v>
      </c>
      <c r="F1822" s="2" t="s">
        <v>8646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>
        <f t="shared" si="1"/>
        <v>1822</v>
      </c>
      <c r="B1823" s="3" t="s">
        <v>8647</v>
      </c>
      <c r="C1823" s="3" t="s">
        <v>8648</v>
      </c>
      <c r="D1823" s="3" t="s">
        <v>8561</v>
      </c>
      <c r="E1823" s="3" t="s">
        <v>6279</v>
      </c>
      <c r="F1823" s="2" t="s">
        <v>8649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>
        <f t="shared" si="1"/>
        <v>1823</v>
      </c>
      <c r="B1824" s="3" t="s">
        <v>8650</v>
      </c>
      <c r="C1824" s="3" t="s">
        <v>8651</v>
      </c>
      <c r="D1824" s="3" t="s">
        <v>8561</v>
      </c>
      <c r="E1824" s="3" t="s">
        <v>6279</v>
      </c>
      <c r="F1824" s="2" t="s">
        <v>8652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>
        <f t="shared" si="1"/>
        <v>1824</v>
      </c>
      <c r="B1825" s="3" t="s">
        <v>8653</v>
      </c>
      <c r="C1825" s="3" t="s">
        <v>8654</v>
      </c>
      <c r="D1825" s="3" t="s">
        <v>8561</v>
      </c>
      <c r="E1825" s="3" t="s">
        <v>8563</v>
      </c>
      <c r="F1825" s="2" t="s">
        <v>8655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>
        <f t="shared" si="1"/>
        <v>1825</v>
      </c>
      <c r="B1826" s="3" t="s">
        <v>8656</v>
      </c>
      <c r="C1826" s="3" t="s">
        <v>8657</v>
      </c>
      <c r="D1826" s="3" t="s">
        <v>8658</v>
      </c>
      <c r="E1826" s="3" t="s">
        <v>8659</v>
      </c>
      <c r="F1826" s="2" t="s">
        <v>8660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>
        <f t="shared" si="1"/>
        <v>1826</v>
      </c>
      <c r="B1827" s="3" t="s">
        <v>8661</v>
      </c>
      <c r="C1827" s="3" t="s">
        <v>8662</v>
      </c>
      <c r="D1827" s="3" t="s">
        <v>8658</v>
      </c>
      <c r="E1827" s="3" t="s">
        <v>8659</v>
      </c>
      <c r="F1827" s="2" t="s">
        <v>8663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>
        <f t="shared" si="1"/>
        <v>1827</v>
      </c>
      <c r="B1828" s="3" t="s">
        <v>8664</v>
      </c>
      <c r="C1828" s="3" t="s">
        <v>8665</v>
      </c>
      <c r="D1828" s="3" t="s">
        <v>8658</v>
      </c>
      <c r="E1828" s="3" t="s">
        <v>8659</v>
      </c>
      <c r="F1828" s="2" t="s">
        <v>8666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>
        <f t="shared" si="1"/>
        <v>1828</v>
      </c>
      <c r="B1829" s="3" t="s">
        <v>8667</v>
      </c>
      <c r="C1829" s="3" t="s">
        <v>8668</v>
      </c>
      <c r="D1829" s="3" t="s">
        <v>8658</v>
      </c>
      <c r="E1829" s="3" t="s">
        <v>7729</v>
      </c>
      <c r="F1829" s="2" t="s">
        <v>8669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>
        <f t="shared" si="1"/>
        <v>1829</v>
      </c>
      <c r="B1830" s="3" t="s">
        <v>8670</v>
      </c>
      <c r="C1830" s="3" t="s">
        <v>8671</v>
      </c>
      <c r="D1830" s="3" t="s">
        <v>8658</v>
      </c>
      <c r="E1830" s="3" t="s">
        <v>7729</v>
      </c>
      <c r="F1830" s="2" t="s">
        <v>8672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>
        <f t="shared" si="1"/>
        <v>1830</v>
      </c>
      <c r="B1831" s="3" t="s">
        <v>8673</v>
      </c>
      <c r="C1831" s="3" t="s">
        <v>8674</v>
      </c>
      <c r="D1831" s="3" t="s">
        <v>8658</v>
      </c>
      <c r="E1831" s="3" t="s">
        <v>7729</v>
      </c>
      <c r="F1831" s="2" t="s">
        <v>8675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>
        <f t="shared" si="1"/>
        <v>1831</v>
      </c>
      <c r="B1832" s="3" t="s">
        <v>8676</v>
      </c>
      <c r="C1832" s="3" t="s">
        <v>8677</v>
      </c>
      <c r="D1832" s="3" t="s">
        <v>8658</v>
      </c>
      <c r="E1832" s="3" t="s">
        <v>8659</v>
      </c>
      <c r="F1832" s="2" t="s">
        <v>8678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>
        <f t="shared" si="1"/>
        <v>1832</v>
      </c>
      <c r="B1833" s="3" t="s">
        <v>8679</v>
      </c>
      <c r="C1833" s="3" t="s">
        <v>8680</v>
      </c>
      <c r="D1833" s="3" t="s">
        <v>8658</v>
      </c>
      <c r="E1833" s="3" t="s">
        <v>7729</v>
      </c>
      <c r="F1833" s="2" t="s">
        <v>8681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>
        <f t="shared" si="1"/>
        <v>1833</v>
      </c>
      <c r="B1834" s="3" t="s">
        <v>8682</v>
      </c>
      <c r="C1834" s="3" t="s">
        <v>8683</v>
      </c>
      <c r="D1834" s="3" t="s">
        <v>8658</v>
      </c>
      <c r="E1834" s="3" t="s">
        <v>8659</v>
      </c>
      <c r="F1834" s="2" t="s">
        <v>8684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>
        <f t="shared" si="1"/>
        <v>1834</v>
      </c>
      <c r="B1835" s="3" t="s">
        <v>8685</v>
      </c>
      <c r="C1835" s="3" t="s">
        <v>8686</v>
      </c>
      <c r="D1835" s="3" t="s">
        <v>8658</v>
      </c>
      <c r="E1835" s="3" t="s">
        <v>8659</v>
      </c>
      <c r="F1835" s="2" t="s">
        <v>8687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>
        <f t="shared" si="1"/>
        <v>1835</v>
      </c>
      <c r="B1836" s="3" t="s">
        <v>8688</v>
      </c>
      <c r="C1836" s="3" t="s">
        <v>8689</v>
      </c>
      <c r="D1836" s="3" t="s">
        <v>8658</v>
      </c>
      <c r="E1836" s="3" t="s">
        <v>8659</v>
      </c>
      <c r="F1836" s="2" t="s">
        <v>8690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>
        <f t="shared" si="1"/>
        <v>1836</v>
      </c>
      <c r="B1837" s="3" t="s">
        <v>8691</v>
      </c>
      <c r="C1837" s="3" t="s">
        <v>8692</v>
      </c>
      <c r="D1837" s="3" t="s">
        <v>8658</v>
      </c>
      <c r="E1837" s="3" t="s">
        <v>7729</v>
      </c>
      <c r="F1837" s="2" t="s">
        <v>8693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>
        <f t="shared" si="1"/>
        <v>1837</v>
      </c>
      <c r="B1838" s="3" t="s">
        <v>8694</v>
      </c>
      <c r="C1838" s="3" t="s">
        <v>8695</v>
      </c>
      <c r="D1838" s="3" t="s">
        <v>8658</v>
      </c>
      <c r="E1838" s="3" t="s">
        <v>7729</v>
      </c>
      <c r="F1838" s="2" t="s">
        <v>8696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>
        <f t="shared" si="1"/>
        <v>1838</v>
      </c>
      <c r="B1839" s="3" t="s">
        <v>8697</v>
      </c>
      <c r="C1839" s="3" t="s">
        <v>8698</v>
      </c>
      <c r="D1839" s="3" t="s">
        <v>8658</v>
      </c>
      <c r="E1839" s="3" t="s">
        <v>7729</v>
      </c>
      <c r="F1839" s="2" t="s">
        <v>8699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>
        <f t="shared" si="1"/>
        <v>1839</v>
      </c>
      <c r="B1840" s="3" t="s">
        <v>8700</v>
      </c>
      <c r="C1840" s="3" t="s">
        <v>8701</v>
      </c>
      <c r="D1840" s="3" t="s">
        <v>8658</v>
      </c>
      <c r="E1840" s="3" t="s">
        <v>8659</v>
      </c>
      <c r="F1840" s="2" t="s">
        <v>8702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>
        <f t="shared" si="1"/>
        <v>1840</v>
      </c>
      <c r="B1841" s="3" t="s">
        <v>8703</v>
      </c>
      <c r="C1841" s="3" t="s">
        <v>8704</v>
      </c>
      <c r="D1841" s="3" t="s">
        <v>8658</v>
      </c>
      <c r="E1841" s="3" t="s">
        <v>8659</v>
      </c>
      <c r="F1841" s="2" t="s">
        <v>8705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>
        <f t="shared" si="1"/>
        <v>1841</v>
      </c>
      <c r="B1842" s="3" t="s">
        <v>8706</v>
      </c>
      <c r="C1842" s="3" t="s">
        <v>8707</v>
      </c>
      <c r="D1842" s="3" t="s">
        <v>8658</v>
      </c>
      <c r="E1842" s="3" t="s">
        <v>7729</v>
      </c>
      <c r="F1842" s="2" t="s">
        <v>8708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>
        <f t="shared" si="1"/>
        <v>1842</v>
      </c>
      <c r="B1843" s="3" t="s">
        <v>8709</v>
      </c>
      <c r="C1843" s="3" t="s">
        <v>8710</v>
      </c>
      <c r="D1843" s="3" t="s">
        <v>8658</v>
      </c>
      <c r="E1843" s="3" t="s">
        <v>8659</v>
      </c>
      <c r="F1843" s="2" t="s">
        <v>8711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>
        <f t="shared" si="1"/>
        <v>1843</v>
      </c>
      <c r="B1844" s="3" t="s">
        <v>8712</v>
      </c>
      <c r="C1844" s="3" t="s">
        <v>8713</v>
      </c>
      <c r="D1844" s="3" t="s">
        <v>8658</v>
      </c>
      <c r="E1844" s="3" t="s">
        <v>7729</v>
      </c>
      <c r="F1844" s="2" t="s">
        <v>8714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>
        <f t="shared" si="1"/>
        <v>1844</v>
      </c>
      <c r="B1845" s="3" t="s">
        <v>8715</v>
      </c>
      <c r="C1845" s="3" t="s">
        <v>8716</v>
      </c>
      <c r="D1845" s="3" t="s">
        <v>8658</v>
      </c>
      <c r="E1845" s="3" t="s">
        <v>8659</v>
      </c>
      <c r="F1845" s="2" t="s">
        <v>8717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>
        <f t="shared" si="1"/>
        <v>1845</v>
      </c>
      <c r="B1846" s="3" t="s">
        <v>8718</v>
      </c>
      <c r="C1846" s="3" t="s">
        <v>8719</v>
      </c>
      <c r="D1846" s="3" t="s">
        <v>8658</v>
      </c>
      <c r="E1846" s="3" t="s">
        <v>7729</v>
      </c>
      <c r="F1846" s="2" t="s">
        <v>8720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>
        <f t="shared" si="1"/>
        <v>1846</v>
      </c>
      <c r="B1847" s="3" t="s">
        <v>8721</v>
      </c>
      <c r="C1847" s="3" t="s">
        <v>8722</v>
      </c>
      <c r="D1847" s="3" t="s">
        <v>8658</v>
      </c>
      <c r="E1847" s="3" t="s">
        <v>8659</v>
      </c>
      <c r="F1847" s="2" t="s">
        <v>8723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>
        <f t="shared" si="1"/>
        <v>1847</v>
      </c>
      <c r="B1848" s="3" t="s">
        <v>8724</v>
      </c>
      <c r="C1848" s="3" t="s">
        <v>8725</v>
      </c>
      <c r="D1848" s="3" t="s">
        <v>8658</v>
      </c>
      <c r="E1848" s="3" t="s">
        <v>6636</v>
      </c>
      <c r="F1848" s="2" t="s">
        <v>8726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>
        <f t="shared" si="1"/>
        <v>1848</v>
      </c>
      <c r="B1849" s="3" t="s">
        <v>8727</v>
      </c>
      <c r="C1849" s="3" t="s">
        <v>8728</v>
      </c>
      <c r="D1849" s="3" t="s">
        <v>8658</v>
      </c>
      <c r="E1849" s="3" t="s">
        <v>8729</v>
      </c>
      <c r="F1849" s="2" t="s">
        <v>8730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>
        <f t="shared" si="1"/>
        <v>1849</v>
      </c>
      <c r="B1850" s="3" t="s">
        <v>8731</v>
      </c>
      <c r="C1850" s="3" t="s">
        <v>8732</v>
      </c>
      <c r="D1850" s="3" t="s">
        <v>8658</v>
      </c>
      <c r="E1850" s="3" t="s">
        <v>7729</v>
      </c>
      <c r="F1850" s="2" t="s">
        <v>8733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>
        <f t="shared" si="1"/>
        <v>1850</v>
      </c>
      <c r="B1851" s="3" t="s">
        <v>8734</v>
      </c>
      <c r="C1851" s="3" t="s">
        <v>8735</v>
      </c>
      <c r="D1851" s="3" t="s">
        <v>8658</v>
      </c>
      <c r="E1851" s="3" t="s">
        <v>8729</v>
      </c>
      <c r="F1851" s="2" t="s">
        <v>8736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>
        <f t="shared" si="1"/>
        <v>1851</v>
      </c>
      <c r="B1852" s="3" t="s">
        <v>8737</v>
      </c>
      <c r="C1852" s="3" t="s">
        <v>8738</v>
      </c>
      <c r="D1852" s="3" t="s">
        <v>8658</v>
      </c>
      <c r="E1852" s="3" t="s">
        <v>6636</v>
      </c>
      <c r="F1852" s="2" t="s">
        <v>8739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>
        <f t="shared" si="1"/>
        <v>1852</v>
      </c>
      <c r="B1853" s="3" t="s">
        <v>8740</v>
      </c>
      <c r="C1853" s="3" t="s">
        <v>8741</v>
      </c>
      <c r="D1853" s="3" t="s">
        <v>8658</v>
      </c>
      <c r="E1853" s="3" t="s">
        <v>6636</v>
      </c>
      <c r="F1853" s="2" t="s">
        <v>8742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>
        <f t="shared" si="1"/>
        <v>1853</v>
      </c>
      <c r="B1854" s="3" t="s">
        <v>8743</v>
      </c>
      <c r="C1854" s="3" t="s">
        <v>8744</v>
      </c>
      <c r="D1854" s="3" t="s">
        <v>8658</v>
      </c>
      <c r="E1854" s="3" t="s">
        <v>6636</v>
      </c>
      <c r="F1854" s="2" t="s">
        <v>8745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>
        <f t="shared" si="1"/>
        <v>1854</v>
      </c>
      <c r="B1855" s="3" t="s">
        <v>8746</v>
      </c>
      <c r="C1855" s="3" t="s">
        <v>8747</v>
      </c>
      <c r="D1855" s="3" t="s">
        <v>8658</v>
      </c>
      <c r="E1855" s="3" t="s">
        <v>6636</v>
      </c>
      <c r="F1855" s="2" t="s">
        <v>8748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>
        <f t="shared" si="1"/>
        <v>1855</v>
      </c>
      <c r="B1856" s="3" t="s">
        <v>8749</v>
      </c>
      <c r="C1856" s="3" t="s">
        <v>8750</v>
      </c>
      <c r="D1856" s="3" t="s">
        <v>8658</v>
      </c>
      <c r="E1856" s="3" t="s">
        <v>6636</v>
      </c>
      <c r="F1856" s="2" t="s">
        <v>8751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>
        <f t="shared" si="1"/>
        <v>1856</v>
      </c>
      <c r="B1857" s="3" t="s">
        <v>8752</v>
      </c>
      <c r="C1857" s="3" t="s">
        <v>8753</v>
      </c>
      <c r="D1857" s="3" t="s">
        <v>8658</v>
      </c>
      <c r="E1857" s="3" t="s">
        <v>6636</v>
      </c>
      <c r="F1857" s="2" t="s">
        <v>8754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>
        <f t="shared" si="1"/>
        <v>1857</v>
      </c>
      <c r="B1858" s="3" t="s">
        <v>8755</v>
      </c>
      <c r="C1858" s="3" t="s">
        <v>8756</v>
      </c>
      <c r="D1858" s="3" t="s">
        <v>8658</v>
      </c>
      <c r="E1858" s="3" t="s">
        <v>6636</v>
      </c>
      <c r="F1858" s="2" t="s">
        <v>8757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>
        <f t="shared" si="1"/>
        <v>1858</v>
      </c>
      <c r="B1859" s="3" t="s">
        <v>8758</v>
      </c>
      <c r="C1859" s="3" t="s">
        <v>8759</v>
      </c>
      <c r="D1859" s="3" t="s">
        <v>8658</v>
      </c>
      <c r="E1859" s="3" t="s">
        <v>6636</v>
      </c>
      <c r="F1859" s="2" t="s">
        <v>8760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>
        <f t="shared" si="1"/>
        <v>1859</v>
      </c>
      <c r="B1860" s="3" t="s">
        <v>8761</v>
      </c>
      <c r="C1860" s="3" t="s">
        <v>8762</v>
      </c>
      <c r="D1860" s="3" t="s">
        <v>8658</v>
      </c>
      <c r="E1860" s="3" t="s">
        <v>6636</v>
      </c>
      <c r="F1860" s="2" t="s">
        <v>8763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>
        <f t="shared" si="1"/>
        <v>1860</v>
      </c>
      <c r="B1861" s="3" t="s">
        <v>8764</v>
      </c>
      <c r="C1861" s="3" t="s">
        <v>8765</v>
      </c>
      <c r="D1861" s="3" t="s">
        <v>8658</v>
      </c>
      <c r="E1861" s="3" t="s">
        <v>6636</v>
      </c>
      <c r="F1861" s="2" t="s">
        <v>8766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>
        <f t="shared" si="1"/>
        <v>1861</v>
      </c>
      <c r="B1862" s="3" t="s">
        <v>8767</v>
      </c>
      <c r="C1862" s="3" t="s">
        <v>8768</v>
      </c>
      <c r="D1862" s="3" t="s">
        <v>8658</v>
      </c>
      <c r="E1862" s="3" t="s">
        <v>6636</v>
      </c>
      <c r="F1862" s="2" t="s">
        <v>8769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>
        <f t="shared" si="1"/>
        <v>1862</v>
      </c>
      <c r="B1863" s="3" t="s">
        <v>3200</v>
      </c>
      <c r="C1863" s="3" t="s">
        <v>3201</v>
      </c>
      <c r="D1863" s="3" t="s">
        <v>8658</v>
      </c>
      <c r="E1863" s="3" t="s">
        <v>8729</v>
      </c>
      <c r="F1863" s="2" t="s">
        <v>8770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>
        <f t="shared" si="1"/>
        <v>1863</v>
      </c>
      <c r="B1864" s="3" t="s">
        <v>8771</v>
      </c>
      <c r="C1864" s="3" t="s">
        <v>8772</v>
      </c>
      <c r="D1864" s="3" t="s">
        <v>8773</v>
      </c>
      <c r="E1864" s="3" t="s">
        <v>7895</v>
      </c>
      <c r="F1864" s="2" t="s">
        <v>8774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>
        <f t="shared" si="1"/>
        <v>1864</v>
      </c>
      <c r="B1865" s="3" t="s">
        <v>40</v>
      </c>
      <c r="C1865" s="3" t="s">
        <v>41</v>
      </c>
      <c r="D1865" s="3" t="s">
        <v>8773</v>
      </c>
      <c r="E1865" s="3" t="s">
        <v>7895</v>
      </c>
      <c r="F1865" s="2" t="s">
        <v>43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>
        <f t="shared" si="1"/>
        <v>1865</v>
      </c>
      <c r="B1866" s="3" t="s">
        <v>8775</v>
      </c>
      <c r="C1866" s="3" t="s">
        <v>8776</v>
      </c>
      <c r="D1866" s="3" t="s">
        <v>8773</v>
      </c>
      <c r="E1866" s="3" t="s">
        <v>7895</v>
      </c>
      <c r="F1866" s="2" t="s">
        <v>8777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>
        <f t="shared" si="1"/>
        <v>1866</v>
      </c>
      <c r="B1867" s="3" t="s">
        <v>8778</v>
      </c>
      <c r="C1867" s="3" t="s">
        <v>8779</v>
      </c>
      <c r="D1867" s="3" t="s">
        <v>8773</v>
      </c>
      <c r="E1867" s="3" t="s">
        <v>7775</v>
      </c>
      <c r="F1867" s="2" t="s">
        <v>8780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>
        <f t="shared" si="1"/>
        <v>1867</v>
      </c>
      <c r="B1868" s="3" t="s">
        <v>3174</v>
      </c>
      <c r="C1868" s="3" t="s">
        <v>3175</v>
      </c>
      <c r="D1868" s="3" t="s">
        <v>8773</v>
      </c>
      <c r="E1868" s="3" t="s">
        <v>8595</v>
      </c>
      <c r="F1868" s="2" t="s">
        <v>8781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>
        <f t="shared" si="1"/>
        <v>1868</v>
      </c>
      <c r="B1869" s="3" t="s">
        <v>8782</v>
      </c>
      <c r="C1869" s="3" t="s">
        <v>8783</v>
      </c>
      <c r="D1869" s="3" t="s">
        <v>8773</v>
      </c>
      <c r="E1869" s="3" t="s">
        <v>7895</v>
      </c>
      <c r="F1869" s="2" t="s">
        <v>8784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>
        <f t="shared" si="1"/>
        <v>1869</v>
      </c>
      <c r="B1870" s="3" t="s">
        <v>898</v>
      </c>
      <c r="C1870" s="3" t="s">
        <v>3170</v>
      </c>
      <c r="D1870" s="3" t="s">
        <v>8773</v>
      </c>
      <c r="E1870" s="3" t="s">
        <v>7895</v>
      </c>
      <c r="F1870" s="2" t="s">
        <v>8785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>
        <f t="shared" si="1"/>
        <v>1870</v>
      </c>
      <c r="B1871" s="3" t="s">
        <v>8786</v>
      </c>
      <c r="C1871" s="3" t="s">
        <v>8787</v>
      </c>
      <c r="D1871" s="3" t="s">
        <v>8773</v>
      </c>
      <c r="E1871" s="3" t="s">
        <v>8595</v>
      </c>
      <c r="F1871" s="2" t="s">
        <v>8788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>
        <f t="shared" si="1"/>
        <v>1871</v>
      </c>
      <c r="B1872" s="3" t="s">
        <v>8789</v>
      </c>
      <c r="C1872" s="3" t="s">
        <v>8790</v>
      </c>
      <c r="D1872" s="3" t="s">
        <v>8773</v>
      </c>
      <c r="E1872" s="3" t="s">
        <v>7895</v>
      </c>
      <c r="F1872" s="2" t="s">
        <v>8791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>
        <f t="shared" si="1"/>
        <v>1872</v>
      </c>
      <c r="B1873" s="3" t="s">
        <v>8792</v>
      </c>
      <c r="C1873" s="3" t="s">
        <v>8793</v>
      </c>
      <c r="D1873" s="3" t="s">
        <v>8773</v>
      </c>
      <c r="E1873" s="3" t="s">
        <v>7895</v>
      </c>
      <c r="F1873" s="2" t="s">
        <v>8794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>
        <f t="shared" si="1"/>
        <v>1873</v>
      </c>
      <c r="B1874" s="3" t="s">
        <v>900</v>
      </c>
      <c r="C1874" s="3" t="s">
        <v>3172</v>
      </c>
      <c r="D1874" s="3" t="s">
        <v>8773</v>
      </c>
      <c r="E1874" s="3" t="s">
        <v>7895</v>
      </c>
      <c r="F1874" s="2" t="s">
        <v>8795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>
        <f t="shared" si="1"/>
        <v>1874</v>
      </c>
      <c r="B1875" s="3" t="s">
        <v>8796</v>
      </c>
      <c r="C1875" s="3" t="s">
        <v>8797</v>
      </c>
      <c r="D1875" s="3" t="s">
        <v>8773</v>
      </c>
      <c r="E1875" s="3" t="s">
        <v>7895</v>
      </c>
      <c r="F1875" s="2" t="s">
        <v>8798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>
        <f t="shared" si="1"/>
        <v>1875</v>
      </c>
      <c r="B1876" s="3" t="s">
        <v>8799</v>
      </c>
      <c r="C1876" s="3" t="s">
        <v>8800</v>
      </c>
      <c r="D1876" s="3" t="s">
        <v>8773</v>
      </c>
      <c r="E1876" s="3" t="s">
        <v>7775</v>
      </c>
      <c r="F1876" s="2" t="s">
        <v>8801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>
        <f t="shared" si="1"/>
        <v>1876</v>
      </c>
      <c r="B1877" s="3" t="s">
        <v>8802</v>
      </c>
      <c r="C1877" s="3" t="s">
        <v>8803</v>
      </c>
      <c r="D1877" s="3" t="s">
        <v>8773</v>
      </c>
      <c r="E1877" s="3" t="s">
        <v>7895</v>
      </c>
      <c r="F1877" s="2" t="s">
        <v>8804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>
        <f t="shared" si="1"/>
        <v>1877</v>
      </c>
      <c r="B1878" s="3" t="s">
        <v>8805</v>
      </c>
      <c r="C1878" s="3" t="s">
        <v>8806</v>
      </c>
      <c r="D1878" s="3" t="s">
        <v>8773</v>
      </c>
      <c r="E1878" s="3" t="s">
        <v>7895</v>
      </c>
      <c r="F1878" s="2" t="s">
        <v>8807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>
        <f t="shared" si="1"/>
        <v>1878</v>
      </c>
      <c r="B1879" s="3" t="s">
        <v>8808</v>
      </c>
      <c r="C1879" s="3" t="s">
        <v>8809</v>
      </c>
      <c r="D1879" s="3" t="s">
        <v>8773</v>
      </c>
      <c r="E1879" s="3" t="s">
        <v>7775</v>
      </c>
      <c r="F1879" s="2" t="s">
        <v>8810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>
        <f t="shared" si="1"/>
        <v>1879</v>
      </c>
      <c r="B1880" s="3" t="s">
        <v>8811</v>
      </c>
      <c r="C1880" s="3" t="s">
        <v>8812</v>
      </c>
      <c r="D1880" s="3" t="s">
        <v>8773</v>
      </c>
      <c r="E1880" s="3" t="s">
        <v>7775</v>
      </c>
      <c r="F1880" s="2" t="s">
        <v>8813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>
        <f t="shared" si="1"/>
        <v>1880</v>
      </c>
      <c r="B1881" s="3" t="s">
        <v>8814</v>
      </c>
      <c r="C1881" s="3" t="s">
        <v>8815</v>
      </c>
      <c r="D1881" s="3" t="s">
        <v>8773</v>
      </c>
      <c r="E1881" s="3" t="s">
        <v>7775</v>
      </c>
      <c r="F1881" s="2" t="s">
        <v>8816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>
        <f t="shared" si="1"/>
        <v>1881</v>
      </c>
      <c r="B1882" s="3" t="s">
        <v>8817</v>
      </c>
      <c r="C1882" s="3" t="s">
        <v>8818</v>
      </c>
      <c r="D1882" s="3" t="s">
        <v>8773</v>
      </c>
      <c r="E1882" s="3" t="s">
        <v>7775</v>
      </c>
      <c r="F1882" s="2" t="s">
        <v>8819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>
        <f t="shared" si="1"/>
        <v>1882</v>
      </c>
      <c r="B1883" s="3" t="s">
        <v>8820</v>
      </c>
      <c r="C1883" s="3" t="s">
        <v>8821</v>
      </c>
      <c r="D1883" s="3" t="s">
        <v>8773</v>
      </c>
      <c r="E1883" s="3" t="s">
        <v>8595</v>
      </c>
      <c r="F1883" s="2" t="s">
        <v>8822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>
        <f t="shared" si="1"/>
        <v>1883</v>
      </c>
      <c r="B1884" s="3" t="s">
        <v>8823</v>
      </c>
      <c r="C1884" s="3" t="s">
        <v>8824</v>
      </c>
      <c r="D1884" s="3" t="s">
        <v>8773</v>
      </c>
      <c r="E1884" s="3" t="s">
        <v>8595</v>
      </c>
      <c r="F1884" s="2" t="s">
        <v>8825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>
        <f t="shared" si="1"/>
        <v>1884</v>
      </c>
      <c r="B1885" s="3" t="s">
        <v>8826</v>
      </c>
      <c r="C1885" s="3" t="s">
        <v>8827</v>
      </c>
      <c r="D1885" s="3" t="s">
        <v>8773</v>
      </c>
      <c r="E1885" s="3" t="s">
        <v>7895</v>
      </c>
      <c r="F1885" s="2" t="s">
        <v>8828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>
        <f t="shared" si="1"/>
        <v>1885</v>
      </c>
      <c r="B1886" s="3" t="s">
        <v>8829</v>
      </c>
      <c r="C1886" s="3" t="s">
        <v>8830</v>
      </c>
      <c r="D1886" s="3" t="s">
        <v>8773</v>
      </c>
      <c r="E1886" s="3" t="s">
        <v>7775</v>
      </c>
      <c r="F1886" s="2" t="s">
        <v>8831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>
        <f t="shared" si="1"/>
        <v>1886</v>
      </c>
      <c r="B1887" s="3" t="s">
        <v>896</v>
      </c>
      <c r="C1887" s="3" t="s">
        <v>3169</v>
      </c>
      <c r="D1887" s="3" t="s">
        <v>8773</v>
      </c>
      <c r="E1887" s="3" t="s">
        <v>7895</v>
      </c>
      <c r="F1887" s="2" t="s">
        <v>8832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>
        <f t="shared" si="1"/>
        <v>1887</v>
      </c>
      <c r="B1888" s="3" t="s">
        <v>8833</v>
      </c>
      <c r="C1888" s="3" t="s">
        <v>8834</v>
      </c>
      <c r="D1888" s="3" t="s">
        <v>8773</v>
      </c>
      <c r="E1888" s="3" t="s">
        <v>8595</v>
      </c>
      <c r="F1888" s="2" t="s">
        <v>8835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>
        <f t="shared" si="1"/>
        <v>1888</v>
      </c>
      <c r="B1889" s="3" t="s">
        <v>8836</v>
      </c>
      <c r="C1889" s="3" t="s">
        <v>8837</v>
      </c>
      <c r="D1889" s="3" t="s">
        <v>8773</v>
      </c>
      <c r="E1889" s="3" t="s">
        <v>8595</v>
      </c>
      <c r="F1889" s="2" t="s">
        <v>8838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>
        <f t="shared" si="1"/>
        <v>1889</v>
      </c>
      <c r="B1890" s="3" t="s">
        <v>8839</v>
      </c>
      <c r="C1890" s="3" t="s">
        <v>8840</v>
      </c>
      <c r="D1890" s="3" t="s">
        <v>8773</v>
      </c>
      <c r="E1890" s="3" t="s">
        <v>7895</v>
      </c>
      <c r="F1890" s="2" t="s">
        <v>8841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>
        <f t="shared" si="1"/>
        <v>1890</v>
      </c>
      <c r="B1891" s="3" t="s">
        <v>893</v>
      </c>
      <c r="C1891" s="3" t="s">
        <v>3168</v>
      </c>
      <c r="D1891" s="3" t="s">
        <v>8773</v>
      </c>
      <c r="E1891" s="3" t="s">
        <v>7895</v>
      </c>
      <c r="F1891" s="2" t="s">
        <v>8842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>
        <f t="shared" si="1"/>
        <v>1891</v>
      </c>
      <c r="B1892" s="3" t="s">
        <v>8843</v>
      </c>
      <c r="C1892" s="3" t="s">
        <v>8844</v>
      </c>
      <c r="D1892" s="3" t="s">
        <v>8773</v>
      </c>
      <c r="E1892" s="3" t="s">
        <v>7775</v>
      </c>
      <c r="F1892" s="2" t="s">
        <v>8845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>
        <f t="shared" si="1"/>
        <v>1892</v>
      </c>
      <c r="B1893" s="3" t="s">
        <v>8846</v>
      </c>
      <c r="C1893" s="3" t="s">
        <v>8847</v>
      </c>
      <c r="D1893" s="3" t="s">
        <v>8773</v>
      </c>
      <c r="E1893" s="3" t="s">
        <v>7775</v>
      </c>
      <c r="F1893" s="2" t="s">
        <v>8848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>
        <f t="shared" si="1"/>
        <v>1893</v>
      </c>
      <c r="B1894" s="3" t="s">
        <v>8849</v>
      </c>
      <c r="C1894" s="3" t="s">
        <v>8850</v>
      </c>
      <c r="D1894" s="3" t="s">
        <v>8773</v>
      </c>
      <c r="E1894" s="3" t="s">
        <v>8332</v>
      </c>
      <c r="F1894" s="2" t="s">
        <v>8851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>
        <f t="shared" si="1"/>
        <v>1894</v>
      </c>
      <c r="B1895" s="3" t="s">
        <v>8852</v>
      </c>
      <c r="C1895" s="3" t="s">
        <v>8853</v>
      </c>
      <c r="D1895" s="3" t="s">
        <v>8773</v>
      </c>
      <c r="E1895" s="3" t="s">
        <v>8332</v>
      </c>
      <c r="F1895" s="2" t="s">
        <v>8854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>
        <f t="shared" si="1"/>
        <v>1895</v>
      </c>
      <c r="B1896" s="3" t="s">
        <v>8855</v>
      </c>
      <c r="C1896" s="3" t="s">
        <v>8856</v>
      </c>
      <c r="D1896" s="3" t="s">
        <v>8773</v>
      </c>
      <c r="E1896" s="3" t="s">
        <v>8595</v>
      </c>
      <c r="F1896" s="2" t="s">
        <v>8857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>
        <f t="shared" si="1"/>
        <v>1896</v>
      </c>
      <c r="B1897" s="3" t="s">
        <v>890</v>
      </c>
      <c r="C1897" s="3" t="s">
        <v>3171</v>
      </c>
      <c r="D1897" s="3" t="s">
        <v>8773</v>
      </c>
      <c r="E1897" s="3" t="s">
        <v>8332</v>
      </c>
      <c r="F1897" s="2" t="s">
        <v>8858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>
        <f t="shared" si="1"/>
        <v>1897</v>
      </c>
      <c r="B1898" s="3" t="s">
        <v>8859</v>
      </c>
      <c r="C1898" s="3" t="s">
        <v>8860</v>
      </c>
      <c r="D1898" s="3" t="s">
        <v>8773</v>
      </c>
      <c r="E1898" s="3" t="s">
        <v>8332</v>
      </c>
      <c r="F1898" s="2" t="s">
        <v>8861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>
        <f t="shared" si="1"/>
        <v>1898</v>
      </c>
      <c r="B1899" s="3" t="s">
        <v>8862</v>
      </c>
      <c r="C1899" s="3" t="s">
        <v>8863</v>
      </c>
      <c r="D1899" s="3" t="s">
        <v>8773</v>
      </c>
      <c r="E1899" s="3" t="s">
        <v>8332</v>
      </c>
      <c r="F1899" s="2" t="s">
        <v>8864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>
        <f t="shared" si="1"/>
        <v>1899</v>
      </c>
      <c r="B1900" s="3" t="s">
        <v>8865</v>
      </c>
      <c r="C1900" s="3" t="s">
        <v>8866</v>
      </c>
      <c r="D1900" s="3" t="s">
        <v>8773</v>
      </c>
      <c r="E1900" s="3" t="s">
        <v>7775</v>
      </c>
      <c r="F1900" s="2" t="s">
        <v>8867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>
        <f t="shared" si="1"/>
        <v>1900</v>
      </c>
      <c r="B1901" s="3" t="s">
        <v>8868</v>
      </c>
      <c r="C1901" s="3" t="s">
        <v>8869</v>
      </c>
      <c r="D1901" s="3" t="s">
        <v>8773</v>
      </c>
      <c r="E1901" s="3" t="s">
        <v>8332</v>
      </c>
      <c r="F1901" s="2" t="s">
        <v>8870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>
        <f t="shared" si="1"/>
        <v>1901</v>
      </c>
      <c r="B1902" s="3" t="s">
        <v>8871</v>
      </c>
      <c r="C1902" s="3" t="s">
        <v>8872</v>
      </c>
      <c r="D1902" s="3" t="s">
        <v>8773</v>
      </c>
      <c r="E1902" s="3" t="s">
        <v>7895</v>
      </c>
      <c r="F1902" s="2" t="s">
        <v>8873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>
        <f t="shared" si="1"/>
        <v>1902</v>
      </c>
      <c r="B1903" s="3" t="s">
        <v>8874</v>
      </c>
      <c r="C1903" s="3" t="s">
        <v>8875</v>
      </c>
      <c r="D1903" s="3" t="s">
        <v>8773</v>
      </c>
      <c r="E1903" s="3" t="s">
        <v>8332</v>
      </c>
      <c r="F1903" s="2" t="s">
        <v>8876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>
        <f t="shared" si="1"/>
        <v>1903</v>
      </c>
      <c r="B1904" s="3" t="s">
        <v>8877</v>
      </c>
      <c r="C1904" s="3" t="s">
        <v>8878</v>
      </c>
      <c r="D1904" s="3" t="s">
        <v>8773</v>
      </c>
      <c r="E1904" s="3" t="s">
        <v>8332</v>
      </c>
      <c r="F1904" s="2" t="s">
        <v>8879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>
        <f t="shared" si="1"/>
        <v>1904</v>
      </c>
      <c r="B1905" s="3" t="s">
        <v>8880</v>
      </c>
      <c r="C1905" s="3" t="s">
        <v>8881</v>
      </c>
      <c r="D1905" s="3" t="s">
        <v>8773</v>
      </c>
      <c r="E1905" s="3" t="s">
        <v>8332</v>
      </c>
      <c r="F1905" s="2" t="s">
        <v>8882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>
        <f t="shared" si="1"/>
        <v>1905</v>
      </c>
      <c r="B1906" s="3" t="s">
        <v>8883</v>
      </c>
      <c r="C1906" s="3" t="s">
        <v>8884</v>
      </c>
      <c r="D1906" s="3" t="s">
        <v>8773</v>
      </c>
      <c r="E1906" s="3" t="s">
        <v>8332</v>
      </c>
      <c r="F1906" s="2" t="s">
        <v>8885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>
        <f t="shared" si="1"/>
        <v>1906</v>
      </c>
      <c r="B1907" s="3" t="s">
        <v>8886</v>
      </c>
      <c r="C1907" s="3" t="s">
        <v>8887</v>
      </c>
      <c r="D1907" s="3" t="s">
        <v>8888</v>
      </c>
      <c r="E1907" s="3" t="s">
        <v>7926</v>
      </c>
      <c r="F1907" s="2" t="s">
        <v>8889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>
        <f t="shared" si="1"/>
        <v>1907</v>
      </c>
      <c r="B1908" s="3" t="s">
        <v>8890</v>
      </c>
      <c r="C1908" s="3" t="s">
        <v>8891</v>
      </c>
      <c r="D1908" s="3" t="s">
        <v>8888</v>
      </c>
      <c r="E1908" s="3" t="s">
        <v>7930</v>
      </c>
      <c r="F1908" s="2" t="s">
        <v>8892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>
        <f t="shared" si="1"/>
        <v>1908</v>
      </c>
      <c r="B1909" s="3" t="s">
        <v>8893</v>
      </c>
      <c r="C1909" s="3" t="s">
        <v>8894</v>
      </c>
      <c r="D1909" s="3" t="s">
        <v>8888</v>
      </c>
      <c r="E1909" s="3" t="s">
        <v>7930</v>
      </c>
      <c r="F1909" s="2" t="s">
        <v>8895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>
        <f t="shared" si="1"/>
        <v>1909</v>
      </c>
      <c r="B1910" s="3" t="s">
        <v>8896</v>
      </c>
      <c r="C1910" s="3" t="s">
        <v>8897</v>
      </c>
      <c r="D1910" s="3" t="s">
        <v>8888</v>
      </c>
      <c r="E1910" s="3" t="s">
        <v>7930</v>
      </c>
      <c r="F1910" s="2" t="s">
        <v>8898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>
        <f t="shared" si="1"/>
        <v>1910</v>
      </c>
      <c r="B1911" s="3" t="s">
        <v>8899</v>
      </c>
      <c r="C1911" s="3" t="s">
        <v>8900</v>
      </c>
      <c r="D1911" s="3" t="s">
        <v>8888</v>
      </c>
      <c r="E1911" s="3" t="s">
        <v>7930</v>
      </c>
      <c r="F1911" s="2" t="s">
        <v>8901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>
        <f t="shared" si="1"/>
        <v>1911</v>
      </c>
      <c r="B1912" s="3" t="s">
        <v>8902</v>
      </c>
      <c r="C1912" s="3" t="s">
        <v>8903</v>
      </c>
      <c r="D1912" s="3" t="s">
        <v>8888</v>
      </c>
      <c r="E1912" s="3" t="s">
        <v>8729</v>
      </c>
      <c r="F1912" s="2" t="s">
        <v>8904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>
        <f t="shared" si="1"/>
        <v>1912</v>
      </c>
      <c r="B1913" s="3" t="s">
        <v>8905</v>
      </c>
      <c r="C1913" s="3" t="s">
        <v>8906</v>
      </c>
      <c r="D1913" s="3" t="s">
        <v>8888</v>
      </c>
      <c r="E1913" s="3" t="s">
        <v>7930</v>
      </c>
      <c r="F1913" s="2" t="s">
        <v>8907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>
        <f t="shared" si="1"/>
        <v>1913</v>
      </c>
      <c r="B1914" s="3" t="s">
        <v>8908</v>
      </c>
      <c r="C1914" s="3" t="s">
        <v>8909</v>
      </c>
      <c r="D1914" s="3" t="s">
        <v>8888</v>
      </c>
      <c r="E1914" s="3" t="s">
        <v>8729</v>
      </c>
      <c r="F1914" s="2" t="s">
        <v>8910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>
        <f t="shared" si="1"/>
        <v>1914</v>
      </c>
      <c r="B1915" s="3" t="s">
        <v>8911</v>
      </c>
      <c r="C1915" s="3" t="s">
        <v>8912</v>
      </c>
      <c r="D1915" s="3" t="s">
        <v>8888</v>
      </c>
      <c r="E1915" s="3" t="s">
        <v>7926</v>
      </c>
      <c r="F1915" s="2" t="s">
        <v>8913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>
        <f t="shared" si="1"/>
        <v>1915</v>
      </c>
      <c r="B1916" s="3" t="s">
        <v>8914</v>
      </c>
      <c r="C1916" s="3" t="s">
        <v>8915</v>
      </c>
      <c r="D1916" s="3" t="s">
        <v>8888</v>
      </c>
      <c r="E1916" s="3" t="s">
        <v>7930</v>
      </c>
      <c r="F1916" s="2" t="s">
        <v>8916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>
        <f t="shared" si="1"/>
        <v>1916</v>
      </c>
      <c r="B1917" s="3" t="s">
        <v>8917</v>
      </c>
      <c r="C1917" s="3" t="s">
        <v>8918</v>
      </c>
      <c r="D1917" s="3" t="s">
        <v>8888</v>
      </c>
      <c r="E1917" s="3" t="s">
        <v>7926</v>
      </c>
      <c r="F1917" s="2" t="s">
        <v>8919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>
        <f t="shared" si="1"/>
        <v>1917</v>
      </c>
      <c r="B1918" s="3" t="s">
        <v>8920</v>
      </c>
      <c r="C1918" s="3" t="s">
        <v>8921</v>
      </c>
      <c r="D1918" s="3" t="s">
        <v>8888</v>
      </c>
      <c r="E1918" s="3" t="s">
        <v>7930</v>
      </c>
      <c r="F1918" s="2" t="s">
        <v>8922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>
        <f t="shared" si="1"/>
        <v>1918</v>
      </c>
      <c r="B1919" s="3" t="s">
        <v>8923</v>
      </c>
      <c r="C1919" s="3" t="s">
        <v>8924</v>
      </c>
      <c r="D1919" s="3" t="s">
        <v>8888</v>
      </c>
      <c r="E1919" s="3" t="s">
        <v>7926</v>
      </c>
      <c r="F1919" s="2" t="s">
        <v>8925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>
        <f t="shared" si="1"/>
        <v>1919</v>
      </c>
      <c r="B1920" s="3" t="s">
        <v>8926</v>
      </c>
      <c r="C1920" s="3" t="s">
        <v>8927</v>
      </c>
      <c r="D1920" s="3" t="s">
        <v>8888</v>
      </c>
      <c r="E1920" s="3" t="s">
        <v>7930</v>
      </c>
      <c r="F1920" s="2" t="s">
        <v>8928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>
        <f t="shared" si="1"/>
        <v>1920</v>
      </c>
      <c r="B1921" s="3" t="s">
        <v>8929</v>
      </c>
      <c r="C1921" s="3" t="s">
        <v>8930</v>
      </c>
      <c r="D1921" s="3" t="s">
        <v>8888</v>
      </c>
      <c r="E1921" s="3" t="s">
        <v>7930</v>
      </c>
      <c r="F1921" s="2" t="s">
        <v>8931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>
        <f t="shared" si="1"/>
        <v>1921</v>
      </c>
      <c r="B1922" s="3" t="s">
        <v>8932</v>
      </c>
      <c r="C1922" s="3" t="s">
        <v>8933</v>
      </c>
      <c r="D1922" s="3" t="s">
        <v>8888</v>
      </c>
      <c r="E1922" s="3" t="s">
        <v>7930</v>
      </c>
      <c r="F1922" s="2" t="s">
        <v>8934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>
        <f t="shared" si="1"/>
        <v>1922</v>
      </c>
      <c r="B1923" s="3" t="s">
        <v>8935</v>
      </c>
      <c r="C1923" s="3" t="s">
        <v>8936</v>
      </c>
      <c r="D1923" s="3" t="s">
        <v>8888</v>
      </c>
      <c r="E1923" s="3" t="s">
        <v>8729</v>
      </c>
      <c r="F1923" s="2" t="s">
        <v>8937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>
        <f t="shared" si="1"/>
        <v>1923</v>
      </c>
      <c r="B1924" s="3" t="s">
        <v>8938</v>
      </c>
      <c r="C1924" s="3" t="s">
        <v>8939</v>
      </c>
      <c r="D1924" s="3" t="s">
        <v>8888</v>
      </c>
      <c r="E1924" s="3" t="s">
        <v>7926</v>
      </c>
      <c r="F1924" s="2" t="s">
        <v>8940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>
        <f t="shared" si="1"/>
        <v>1924</v>
      </c>
      <c r="B1925" s="3" t="s">
        <v>8941</v>
      </c>
      <c r="C1925" s="3" t="s">
        <v>8942</v>
      </c>
      <c r="D1925" s="3" t="s">
        <v>8888</v>
      </c>
      <c r="E1925" s="3" t="s">
        <v>7926</v>
      </c>
      <c r="F1925" s="2" t="s">
        <v>8943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>
        <f t="shared" si="1"/>
        <v>1925</v>
      </c>
      <c r="B1926" s="3" t="s">
        <v>8944</v>
      </c>
      <c r="C1926" s="3" t="s">
        <v>8945</v>
      </c>
      <c r="D1926" s="3" t="s">
        <v>8888</v>
      </c>
      <c r="E1926" s="3" t="s">
        <v>7930</v>
      </c>
      <c r="F1926" s="2" t="s">
        <v>8946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>
        <f t="shared" si="1"/>
        <v>1926</v>
      </c>
      <c r="B1927" s="3" t="s">
        <v>8947</v>
      </c>
      <c r="C1927" s="3" t="s">
        <v>8948</v>
      </c>
      <c r="D1927" s="3" t="s">
        <v>8888</v>
      </c>
      <c r="E1927" s="3" t="s">
        <v>7926</v>
      </c>
      <c r="F1927" s="2" t="s">
        <v>8949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>
        <f t="shared" si="1"/>
        <v>1927</v>
      </c>
      <c r="B1928" s="3" t="s">
        <v>59</v>
      </c>
      <c r="C1928" s="3" t="s">
        <v>60</v>
      </c>
      <c r="D1928" s="3" t="s">
        <v>8888</v>
      </c>
      <c r="E1928" s="3" t="s">
        <v>7930</v>
      </c>
      <c r="F1928" s="2" t="s">
        <v>62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>
        <f t="shared" si="1"/>
        <v>1928</v>
      </c>
      <c r="B1929" s="3" t="s">
        <v>8950</v>
      </c>
      <c r="C1929" s="3" t="s">
        <v>8951</v>
      </c>
      <c r="D1929" s="3" t="s">
        <v>8888</v>
      </c>
      <c r="E1929" s="3" t="s">
        <v>7926</v>
      </c>
      <c r="F1929" s="2" t="s">
        <v>8952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>
        <f t="shared" si="1"/>
        <v>1929</v>
      </c>
      <c r="B1930" s="3" t="s">
        <v>8953</v>
      </c>
      <c r="C1930" s="3" t="s">
        <v>8954</v>
      </c>
      <c r="D1930" s="3" t="s">
        <v>8888</v>
      </c>
      <c r="E1930" s="3" t="s">
        <v>7930</v>
      </c>
      <c r="F1930" s="2" t="s">
        <v>8955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>
        <f t="shared" si="1"/>
        <v>1930</v>
      </c>
      <c r="B1931" s="3" t="s">
        <v>8956</v>
      </c>
      <c r="C1931" s="3" t="s">
        <v>8957</v>
      </c>
      <c r="D1931" s="3" t="s">
        <v>8888</v>
      </c>
      <c r="E1931" s="3" t="s">
        <v>7930</v>
      </c>
      <c r="F1931" s="2" t="s">
        <v>8958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>
        <f t="shared" si="1"/>
        <v>1931</v>
      </c>
      <c r="B1932" s="3" t="s">
        <v>8959</v>
      </c>
      <c r="C1932" s="3" t="s">
        <v>8960</v>
      </c>
      <c r="D1932" s="3" t="s">
        <v>8888</v>
      </c>
      <c r="E1932" s="3" t="s">
        <v>7930</v>
      </c>
      <c r="F1932" s="2" t="s">
        <v>8961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>
        <f t="shared" si="1"/>
        <v>1932</v>
      </c>
      <c r="B1933" s="3" t="s">
        <v>8962</v>
      </c>
      <c r="C1933" s="3" t="s">
        <v>8963</v>
      </c>
      <c r="D1933" s="3" t="s">
        <v>8888</v>
      </c>
      <c r="E1933" s="3" t="s">
        <v>7930</v>
      </c>
      <c r="F1933" s="2" t="s">
        <v>8964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>
        <f t="shared" si="1"/>
        <v>1933</v>
      </c>
      <c r="B1934" s="3" t="s">
        <v>8965</v>
      </c>
      <c r="C1934" s="3" t="s">
        <v>8966</v>
      </c>
      <c r="D1934" s="3" t="s">
        <v>8888</v>
      </c>
      <c r="E1934" s="3" t="s">
        <v>7926</v>
      </c>
      <c r="F1934" s="2" t="s">
        <v>8967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>
        <f t="shared" si="1"/>
        <v>1934</v>
      </c>
      <c r="B1935" s="3" t="s">
        <v>8968</v>
      </c>
      <c r="C1935" s="3" t="s">
        <v>8969</v>
      </c>
      <c r="D1935" s="3" t="s">
        <v>8888</v>
      </c>
      <c r="E1935" s="3" t="s">
        <v>7926</v>
      </c>
      <c r="F1935" s="2" t="s">
        <v>8970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>
        <f t="shared" si="1"/>
        <v>1935</v>
      </c>
      <c r="B1936" s="3" t="s">
        <v>8971</v>
      </c>
      <c r="C1936" s="3" t="s">
        <v>8972</v>
      </c>
      <c r="D1936" s="3" t="s">
        <v>8888</v>
      </c>
      <c r="E1936" s="3" t="s">
        <v>8729</v>
      </c>
      <c r="F1936" s="2" t="s">
        <v>8973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>
        <f t="shared" si="1"/>
        <v>1936</v>
      </c>
      <c r="B1937" s="3" t="s">
        <v>8974</v>
      </c>
      <c r="C1937" s="3" t="s">
        <v>8975</v>
      </c>
      <c r="D1937" s="3" t="s">
        <v>8888</v>
      </c>
      <c r="E1937" s="3" t="s">
        <v>6842</v>
      </c>
      <c r="F1937" s="2" t="s">
        <v>8976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>
        <f t="shared" si="1"/>
        <v>1937</v>
      </c>
      <c r="B1938" s="3" t="s">
        <v>8977</v>
      </c>
      <c r="C1938" s="3" t="s">
        <v>8978</v>
      </c>
      <c r="D1938" s="3" t="s">
        <v>8888</v>
      </c>
      <c r="E1938" s="3" t="s">
        <v>6842</v>
      </c>
      <c r="F1938" s="2" t="s">
        <v>8979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>
        <f t="shared" si="1"/>
        <v>1938</v>
      </c>
      <c r="B1939" s="3" t="s">
        <v>8980</v>
      </c>
      <c r="C1939" s="3" t="s">
        <v>8981</v>
      </c>
      <c r="D1939" s="3" t="s">
        <v>8888</v>
      </c>
      <c r="E1939" s="3" t="s">
        <v>6842</v>
      </c>
      <c r="F1939" s="2" t="s">
        <v>8982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>
        <f t="shared" si="1"/>
        <v>1939</v>
      </c>
      <c r="B1940" s="3" t="s">
        <v>8983</v>
      </c>
      <c r="C1940" s="3" t="s">
        <v>8984</v>
      </c>
      <c r="D1940" s="3" t="s">
        <v>8888</v>
      </c>
      <c r="E1940" s="3" t="s">
        <v>7930</v>
      </c>
      <c r="F1940" s="2" t="s">
        <v>8985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>
        <f t="shared" si="1"/>
        <v>1940</v>
      </c>
      <c r="B1941" s="3" t="s">
        <v>8986</v>
      </c>
      <c r="C1941" s="3" t="s">
        <v>8987</v>
      </c>
      <c r="D1941" s="3" t="s">
        <v>8888</v>
      </c>
      <c r="E1941" s="3" t="s">
        <v>6842</v>
      </c>
      <c r="F1941" s="2" t="s">
        <v>8988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>
        <f t="shared" si="1"/>
        <v>1941</v>
      </c>
      <c r="B1942" s="3" t="s">
        <v>8989</v>
      </c>
      <c r="C1942" s="3" t="s">
        <v>8990</v>
      </c>
      <c r="D1942" s="3" t="s">
        <v>8888</v>
      </c>
      <c r="E1942" s="3" t="s">
        <v>6842</v>
      </c>
      <c r="F1942" s="2" t="s">
        <v>8991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>
        <f t="shared" si="1"/>
        <v>1942</v>
      </c>
      <c r="B1943" s="3" t="s">
        <v>8992</v>
      </c>
      <c r="C1943" s="3" t="s">
        <v>8993</v>
      </c>
      <c r="D1943" s="3" t="s">
        <v>8888</v>
      </c>
      <c r="E1943" s="3" t="s">
        <v>8729</v>
      </c>
      <c r="F1943" s="2" t="s">
        <v>8994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>
        <f t="shared" si="1"/>
        <v>1943</v>
      </c>
      <c r="B1944" s="3" t="s">
        <v>8995</v>
      </c>
      <c r="C1944" s="3" t="s">
        <v>8996</v>
      </c>
      <c r="D1944" s="3" t="s">
        <v>8888</v>
      </c>
      <c r="E1944" s="3" t="s">
        <v>7930</v>
      </c>
      <c r="F1944" s="2" t="s">
        <v>8997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>
        <f t="shared" si="1"/>
        <v>1944</v>
      </c>
      <c r="B1945" s="3" t="s">
        <v>8998</v>
      </c>
      <c r="C1945" s="3" t="s">
        <v>8999</v>
      </c>
      <c r="D1945" s="3" t="s">
        <v>8888</v>
      </c>
      <c r="E1945" s="3" t="s">
        <v>8729</v>
      </c>
      <c r="F1945" s="2" t="s">
        <v>9000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>
        <f t="shared" si="1"/>
        <v>1945</v>
      </c>
      <c r="B1946" s="3" t="s">
        <v>9001</v>
      </c>
      <c r="C1946" s="3" t="s">
        <v>9002</v>
      </c>
      <c r="D1946" s="3" t="s">
        <v>8888</v>
      </c>
      <c r="E1946" s="3" t="s">
        <v>8729</v>
      </c>
      <c r="F1946" s="2" t="s">
        <v>9003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>
        <f t="shared" si="1"/>
        <v>1946</v>
      </c>
      <c r="B1947" s="3" t="s">
        <v>9004</v>
      </c>
      <c r="C1947" s="3" t="s">
        <v>9005</v>
      </c>
      <c r="D1947" s="3" t="s">
        <v>8888</v>
      </c>
      <c r="E1947" s="3" t="s">
        <v>8729</v>
      </c>
      <c r="F1947" s="2" t="s">
        <v>9006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>
        <f t="shared" si="1"/>
        <v>1947</v>
      </c>
      <c r="B1948" s="3" t="s">
        <v>9007</v>
      </c>
      <c r="C1948" s="3" t="s">
        <v>9008</v>
      </c>
      <c r="D1948" s="3" t="s">
        <v>9009</v>
      </c>
      <c r="E1948" s="3" t="s">
        <v>9010</v>
      </c>
      <c r="F1948" s="2" t="s">
        <v>9011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>
        <f t="shared" si="1"/>
        <v>1948</v>
      </c>
      <c r="B1949" s="3" t="s">
        <v>9012</v>
      </c>
      <c r="C1949" s="3" t="s">
        <v>9013</v>
      </c>
      <c r="D1949" s="3" t="s">
        <v>9009</v>
      </c>
      <c r="E1949" s="3" t="s">
        <v>9010</v>
      </c>
      <c r="F1949" s="2" t="s">
        <v>9014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>
        <f t="shared" si="1"/>
        <v>1949</v>
      </c>
      <c r="B1950" s="3" t="s">
        <v>9015</v>
      </c>
      <c r="C1950" s="3" t="s">
        <v>9016</v>
      </c>
      <c r="D1950" s="3" t="s">
        <v>9009</v>
      </c>
      <c r="E1950" s="3" t="s">
        <v>9010</v>
      </c>
      <c r="F1950" s="2" t="s">
        <v>9017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>
        <f t="shared" si="1"/>
        <v>1950</v>
      </c>
      <c r="B1951" s="3" t="s">
        <v>9018</v>
      </c>
      <c r="C1951" s="3" t="s">
        <v>9019</v>
      </c>
      <c r="D1951" s="3" t="s">
        <v>9009</v>
      </c>
      <c r="E1951" s="3" t="s">
        <v>9010</v>
      </c>
      <c r="F1951" s="2" t="s">
        <v>9020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>
        <f t="shared" si="1"/>
        <v>1951</v>
      </c>
      <c r="B1952" s="3" t="s">
        <v>765</v>
      </c>
      <c r="C1952" s="3" t="s">
        <v>199</v>
      </c>
      <c r="D1952" s="3" t="s">
        <v>9009</v>
      </c>
      <c r="E1952" s="3" t="s">
        <v>9010</v>
      </c>
      <c r="F1952" s="2" t="s">
        <v>9021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>
        <f t="shared" si="1"/>
        <v>1952</v>
      </c>
      <c r="B1953" s="3" t="s">
        <v>9022</v>
      </c>
      <c r="C1953" s="3" t="s">
        <v>9023</v>
      </c>
      <c r="D1953" s="3" t="s">
        <v>9009</v>
      </c>
      <c r="E1953" s="3" t="s">
        <v>9010</v>
      </c>
      <c r="F1953" s="2" t="s">
        <v>9024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>
        <f t="shared" si="1"/>
        <v>1953</v>
      </c>
      <c r="B1954" s="3" t="s">
        <v>9025</v>
      </c>
      <c r="C1954" s="3" t="s">
        <v>9026</v>
      </c>
      <c r="D1954" s="3" t="s">
        <v>9009</v>
      </c>
      <c r="E1954" s="3" t="s">
        <v>9010</v>
      </c>
      <c r="F1954" s="2" t="s">
        <v>9027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>
        <f t="shared" si="1"/>
        <v>1954</v>
      </c>
      <c r="B1955" s="3" t="s">
        <v>9028</v>
      </c>
      <c r="C1955" s="3" t="s">
        <v>9029</v>
      </c>
      <c r="D1955" s="3" t="s">
        <v>9009</v>
      </c>
      <c r="E1955" s="3" t="s">
        <v>9010</v>
      </c>
      <c r="F1955" s="2" t="s">
        <v>9030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>
        <f t="shared" si="1"/>
        <v>1955</v>
      </c>
      <c r="B1956" s="3" t="s">
        <v>759</v>
      </c>
      <c r="C1956" s="3" t="s">
        <v>166</v>
      </c>
      <c r="D1956" s="3" t="s">
        <v>9009</v>
      </c>
      <c r="E1956" s="3" t="s">
        <v>9010</v>
      </c>
      <c r="F1956" s="2" t="s">
        <v>9031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>
        <f t="shared" si="1"/>
        <v>1956</v>
      </c>
      <c r="B1957" s="3" t="s">
        <v>767</v>
      </c>
      <c r="C1957" s="3" t="s">
        <v>208</v>
      </c>
      <c r="D1957" s="3" t="s">
        <v>9009</v>
      </c>
      <c r="E1957" s="3" t="s">
        <v>9010</v>
      </c>
      <c r="F1957" s="2" t="s">
        <v>9032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>
        <f t="shared" si="1"/>
        <v>1957</v>
      </c>
      <c r="B1958" s="3" t="s">
        <v>9033</v>
      </c>
      <c r="C1958" s="3" t="s">
        <v>9034</v>
      </c>
      <c r="D1958" s="3" t="s">
        <v>9009</v>
      </c>
      <c r="E1958" s="3" t="s">
        <v>9010</v>
      </c>
      <c r="F1958" s="2" t="s">
        <v>9035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>
        <f t="shared" si="1"/>
        <v>1958</v>
      </c>
      <c r="B1959" s="3" t="s">
        <v>9036</v>
      </c>
      <c r="C1959" s="3" t="s">
        <v>9037</v>
      </c>
      <c r="D1959" s="3" t="s">
        <v>9009</v>
      </c>
      <c r="E1959" s="3" t="s">
        <v>9010</v>
      </c>
      <c r="F1959" s="2" t="s">
        <v>9038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>
        <f t="shared" si="1"/>
        <v>1959</v>
      </c>
      <c r="B1960" s="3" t="s">
        <v>9039</v>
      </c>
      <c r="C1960" s="3" t="s">
        <v>9040</v>
      </c>
      <c r="D1960" s="3" t="s">
        <v>9009</v>
      </c>
      <c r="E1960" s="3" t="s">
        <v>9010</v>
      </c>
      <c r="F1960" s="2" t="s">
        <v>9041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>
        <f t="shared" si="1"/>
        <v>1960</v>
      </c>
      <c r="B1961" s="3" t="s">
        <v>9042</v>
      </c>
      <c r="C1961" s="3" t="s">
        <v>9043</v>
      </c>
      <c r="D1961" s="3" t="s">
        <v>9009</v>
      </c>
      <c r="E1961" s="3" t="s">
        <v>9010</v>
      </c>
      <c r="F1961" s="2" t="s">
        <v>9044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>
        <f t="shared" si="1"/>
        <v>1961</v>
      </c>
      <c r="B1962" s="3" t="s">
        <v>9045</v>
      </c>
      <c r="C1962" s="3" t="s">
        <v>9046</v>
      </c>
      <c r="D1962" s="3" t="s">
        <v>9009</v>
      </c>
      <c r="E1962" s="3" t="s">
        <v>9010</v>
      </c>
      <c r="F1962" s="2" t="s">
        <v>9047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>
        <f t="shared" si="1"/>
        <v>1962</v>
      </c>
      <c r="B1963" s="3" t="s">
        <v>774</v>
      </c>
      <c r="C1963" s="3" t="s">
        <v>222</v>
      </c>
      <c r="D1963" s="3" t="s">
        <v>9009</v>
      </c>
      <c r="E1963" s="3" t="s">
        <v>9010</v>
      </c>
      <c r="F1963" s="2" t="s">
        <v>9048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>
        <f t="shared" si="1"/>
        <v>1963</v>
      </c>
      <c r="B1964" s="3" t="s">
        <v>762</v>
      </c>
      <c r="C1964" s="3" t="s">
        <v>184</v>
      </c>
      <c r="D1964" s="3" t="s">
        <v>9009</v>
      </c>
      <c r="E1964" s="3" t="s">
        <v>9010</v>
      </c>
      <c r="F1964" s="2" t="s">
        <v>9049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>
        <f t="shared" si="1"/>
        <v>1964</v>
      </c>
      <c r="B1965" s="3" t="s">
        <v>9050</v>
      </c>
      <c r="C1965" s="3" t="s">
        <v>9051</v>
      </c>
      <c r="D1965" s="3" t="s">
        <v>9009</v>
      </c>
      <c r="E1965" s="3" t="s">
        <v>9010</v>
      </c>
      <c r="F1965" s="2" t="s">
        <v>9052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>
        <f t="shared" si="1"/>
        <v>1965</v>
      </c>
      <c r="B1966" s="3" t="s">
        <v>3159</v>
      </c>
      <c r="C1966" s="3" t="s">
        <v>202</v>
      </c>
      <c r="D1966" s="3" t="s">
        <v>9009</v>
      </c>
      <c r="E1966" s="3" t="s">
        <v>9010</v>
      </c>
      <c r="F1966" s="2" t="s">
        <v>9053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>
        <f t="shared" si="1"/>
        <v>1966</v>
      </c>
      <c r="B1967" s="3" t="s">
        <v>9054</v>
      </c>
      <c r="C1967" s="3" t="s">
        <v>9055</v>
      </c>
      <c r="D1967" s="3" t="s">
        <v>9009</v>
      </c>
      <c r="E1967" s="3" t="s">
        <v>9010</v>
      </c>
      <c r="F1967" s="2" t="s">
        <v>9056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>
        <f t="shared" si="1"/>
        <v>1967</v>
      </c>
      <c r="B1968" s="3" t="s">
        <v>9057</v>
      </c>
      <c r="C1968" s="3" t="s">
        <v>9058</v>
      </c>
      <c r="D1968" s="3" t="s">
        <v>9009</v>
      </c>
      <c r="E1968" s="3" t="s">
        <v>9010</v>
      </c>
      <c r="F1968" s="2" t="s">
        <v>9059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>
        <f t="shared" si="1"/>
        <v>1968</v>
      </c>
      <c r="B1969" s="3" t="s">
        <v>9060</v>
      </c>
      <c r="C1969" s="3" t="s">
        <v>9061</v>
      </c>
      <c r="D1969" s="3" t="s">
        <v>9009</v>
      </c>
      <c r="E1969" s="3" t="s">
        <v>9010</v>
      </c>
      <c r="F1969" s="2" t="s">
        <v>9062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>
        <f t="shared" si="1"/>
        <v>1969</v>
      </c>
      <c r="B1970" s="3" t="s">
        <v>11</v>
      </c>
      <c r="C1970" s="3" t="s">
        <v>12</v>
      </c>
      <c r="D1970" s="3" t="s">
        <v>9009</v>
      </c>
      <c r="E1970" s="3" t="s">
        <v>9010</v>
      </c>
      <c r="F1970" s="2" t="s">
        <v>9063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>
        <f t="shared" si="1"/>
        <v>1970</v>
      </c>
      <c r="B1971" s="3" t="s">
        <v>779</v>
      </c>
      <c r="C1971" s="3" t="s">
        <v>270</v>
      </c>
      <c r="D1971" s="3" t="s">
        <v>9009</v>
      </c>
      <c r="E1971" s="3" t="s">
        <v>9010</v>
      </c>
      <c r="F1971" s="2" t="s">
        <v>9064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>
        <f t="shared" si="1"/>
        <v>1971</v>
      </c>
      <c r="B1972" s="3" t="s">
        <v>9065</v>
      </c>
      <c r="C1972" s="3" t="s">
        <v>9066</v>
      </c>
      <c r="D1972" s="3" t="s">
        <v>9009</v>
      </c>
      <c r="E1972" s="3" t="s">
        <v>9010</v>
      </c>
      <c r="F1972" s="2" t="s">
        <v>9067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>
        <f t="shared" si="1"/>
        <v>1972</v>
      </c>
      <c r="B1973" s="3" t="s">
        <v>9068</v>
      </c>
      <c r="C1973" s="3" t="s">
        <v>9069</v>
      </c>
      <c r="D1973" s="3" t="s">
        <v>9009</v>
      </c>
      <c r="E1973" s="3" t="s">
        <v>9010</v>
      </c>
      <c r="F1973" s="2" t="s">
        <v>9070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>
        <f t="shared" si="1"/>
        <v>1973</v>
      </c>
      <c r="B1974" s="3" t="s">
        <v>9071</v>
      </c>
      <c r="C1974" s="3" t="s">
        <v>9072</v>
      </c>
      <c r="D1974" s="3" t="s">
        <v>9009</v>
      </c>
      <c r="E1974" s="3" t="s">
        <v>9010</v>
      </c>
      <c r="F1974" s="2" t="s">
        <v>9073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>
        <f t="shared" si="1"/>
        <v>1974</v>
      </c>
      <c r="B1975" s="3" t="s">
        <v>9074</v>
      </c>
      <c r="C1975" s="3" t="s">
        <v>9075</v>
      </c>
      <c r="D1975" s="3" t="s">
        <v>9009</v>
      </c>
      <c r="E1975" s="3" t="s">
        <v>9010</v>
      </c>
      <c r="F1975" s="2" t="s">
        <v>9076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>
        <f t="shared" si="1"/>
        <v>1975</v>
      </c>
      <c r="B1976" s="3" t="s">
        <v>772</v>
      </c>
      <c r="C1976" s="3" t="s">
        <v>219</v>
      </c>
      <c r="D1976" s="3" t="s">
        <v>9009</v>
      </c>
      <c r="E1976" s="3" t="s">
        <v>9010</v>
      </c>
      <c r="F1976" s="2" t="s">
        <v>9077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>
        <f t="shared" si="1"/>
        <v>1976</v>
      </c>
      <c r="B1977" s="3" t="s">
        <v>776</v>
      </c>
      <c r="C1977" s="3" t="s">
        <v>267</v>
      </c>
      <c r="D1977" s="3" t="s">
        <v>9009</v>
      </c>
      <c r="E1977" s="3" t="s">
        <v>9010</v>
      </c>
      <c r="F1977" s="2" t="s">
        <v>9078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>
        <f t="shared" si="1"/>
        <v>1977</v>
      </c>
      <c r="B1978" s="3" t="s">
        <v>9079</v>
      </c>
      <c r="C1978" s="3" t="s">
        <v>9080</v>
      </c>
      <c r="D1978" s="3" t="s">
        <v>9009</v>
      </c>
      <c r="E1978" s="3" t="s">
        <v>9010</v>
      </c>
      <c r="F1978" s="2" t="s">
        <v>9081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>
        <f t="shared" si="1"/>
        <v>1978</v>
      </c>
      <c r="B1979" s="3" t="s">
        <v>9082</v>
      </c>
      <c r="C1979" s="3" t="s">
        <v>9083</v>
      </c>
      <c r="D1979" s="3" t="s">
        <v>9009</v>
      </c>
      <c r="E1979" s="3" t="s">
        <v>9010</v>
      </c>
      <c r="F1979" s="2" t="s">
        <v>9084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>
        <f t="shared" si="1"/>
        <v>1979</v>
      </c>
      <c r="B1980" s="3" t="s">
        <v>770</v>
      </c>
      <c r="C1980" s="3" t="s">
        <v>214</v>
      </c>
      <c r="D1980" s="3" t="s">
        <v>9009</v>
      </c>
      <c r="E1980" s="3" t="s">
        <v>9010</v>
      </c>
      <c r="F1980" s="2" t="s">
        <v>9085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>
        <f t="shared" si="1"/>
        <v>1980</v>
      </c>
      <c r="B1981" s="3" t="s">
        <v>9086</v>
      </c>
      <c r="C1981" s="3" t="s">
        <v>9087</v>
      </c>
      <c r="D1981" s="3" t="s">
        <v>9009</v>
      </c>
      <c r="E1981" s="3" t="s">
        <v>9010</v>
      </c>
      <c r="F1981" s="2" t="s">
        <v>9088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>
        <f t="shared" si="1"/>
        <v>1981</v>
      </c>
      <c r="B1982" s="3" t="s">
        <v>9089</v>
      </c>
      <c r="C1982" s="3" t="s">
        <v>9090</v>
      </c>
      <c r="D1982" s="3" t="s">
        <v>9091</v>
      </c>
      <c r="E1982" s="3" t="s">
        <v>9092</v>
      </c>
      <c r="F1982" s="2" t="s">
        <v>9093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>
        <f t="shared" si="1"/>
        <v>1982</v>
      </c>
      <c r="B1983" s="3" t="s">
        <v>909</v>
      </c>
      <c r="C1983" s="3" t="s">
        <v>3180</v>
      </c>
      <c r="D1983" s="3" t="s">
        <v>9091</v>
      </c>
      <c r="E1983" s="3" t="s">
        <v>9092</v>
      </c>
      <c r="F1983" s="2" t="s">
        <v>9094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>
        <f t="shared" si="1"/>
        <v>1983</v>
      </c>
      <c r="B1984" s="3" t="s">
        <v>9095</v>
      </c>
      <c r="C1984" s="3" t="s">
        <v>9096</v>
      </c>
      <c r="D1984" s="3" t="s">
        <v>9091</v>
      </c>
      <c r="E1984" s="3" t="s">
        <v>9092</v>
      </c>
      <c r="F1984" s="2" t="s">
        <v>9097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>
        <f t="shared" si="1"/>
        <v>1984</v>
      </c>
      <c r="B1985" s="3" t="s">
        <v>9098</v>
      </c>
      <c r="C1985" s="3" t="s">
        <v>9099</v>
      </c>
      <c r="D1985" s="3" t="s">
        <v>9091</v>
      </c>
      <c r="E1985" s="3" t="s">
        <v>9092</v>
      </c>
      <c r="F1985" s="2" t="s">
        <v>9100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>
        <f t="shared" si="1"/>
        <v>1985</v>
      </c>
      <c r="B1986" s="3" t="s">
        <v>785</v>
      </c>
      <c r="C1986" s="3" t="s">
        <v>240</v>
      </c>
      <c r="D1986" s="3" t="s">
        <v>9091</v>
      </c>
      <c r="E1986" s="3" t="s">
        <v>9092</v>
      </c>
      <c r="F1986" s="2" t="s">
        <v>9101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>
        <f t="shared" si="1"/>
        <v>1986</v>
      </c>
      <c r="B1987" s="3" t="s">
        <v>17</v>
      </c>
      <c r="C1987" s="3" t="s">
        <v>18</v>
      </c>
      <c r="D1987" s="3" t="s">
        <v>9091</v>
      </c>
      <c r="E1987" s="3" t="s">
        <v>9092</v>
      </c>
      <c r="F1987" s="2" t="s">
        <v>20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>
        <f t="shared" si="1"/>
        <v>1987</v>
      </c>
      <c r="B1988" s="3" t="s">
        <v>3121</v>
      </c>
      <c r="C1988" s="3" t="s">
        <v>3122</v>
      </c>
      <c r="D1988" s="3" t="s">
        <v>9091</v>
      </c>
      <c r="E1988" s="3" t="s">
        <v>9092</v>
      </c>
      <c r="F1988" s="2" t="s">
        <v>9102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>
        <f t="shared" si="1"/>
        <v>1988</v>
      </c>
      <c r="B1989" s="3" t="s">
        <v>9103</v>
      </c>
      <c r="C1989" s="3" t="s">
        <v>9104</v>
      </c>
      <c r="D1989" s="3" t="s">
        <v>9091</v>
      </c>
      <c r="E1989" s="3" t="s">
        <v>9092</v>
      </c>
      <c r="F1989" s="2" t="s">
        <v>9105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>
        <f t="shared" si="1"/>
        <v>1989</v>
      </c>
      <c r="B1990" s="3" t="s">
        <v>9106</v>
      </c>
      <c r="C1990" s="3" t="s">
        <v>9107</v>
      </c>
      <c r="D1990" s="3" t="s">
        <v>9091</v>
      </c>
      <c r="E1990" s="3" t="s">
        <v>9092</v>
      </c>
      <c r="F1990" s="2" t="s">
        <v>9108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>
        <f t="shared" si="1"/>
        <v>1990</v>
      </c>
      <c r="B1991" s="3" t="s">
        <v>907</v>
      </c>
      <c r="C1991" s="3" t="s">
        <v>3179</v>
      </c>
      <c r="D1991" s="3" t="s">
        <v>9091</v>
      </c>
      <c r="E1991" s="3" t="s">
        <v>9092</v>
      </c>
      <c r="F1991" s="2" t="s">
        <v>9109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>
        <f t="shared" si="1"/>
        <v>1991</v>
      </c>
      <c r="B1992" s="3" t="s">
        <v>9110</v>
      </c>
      <c r="C1992" s="3" t="s">
        <v>9111</v>
      </c>
      <c r="D1992" s="3" t="s">
        <v>9091</v>
      </c>
      <c r="E1992" s="3" t="s">
        <v>9092</v>
      </c>
      <c r="F1992" s="2" t="s">
        <v>9112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>
        <f t="shared" si="1"/>
        <v>1992</v>
      </c>
      <c r="B1993" s="3" t="s">
        <v>905</v>
      </c>
      <c r="C1993" s="3" t="s">
        <v>3178</v>
      </c>
      <c r="D1993" s="3" t="s">
        <v>9091</v>
      </c>
      <c r="E1993" s="3" t="s">
        <v>9092</v>
      </c>
      <c r="F1993" s="2" t="s">
        <v>9113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>
        <f t="shared" si="1"/>
        <v>1993</v>
      </c>
      <c r="B1994" s="3" t="s">
        <v>9114</v>
      </c>
      <c r="C1994" s="3" t="s">
        <v>9115</v>
      </c>
      <c r="D1994" s="3" t="s">
        <v>9091</v>
      </c>
      <c r="E1994" s="3" t="s">
        <v>9092</v>
      </c>
      <c r="F1994" s="2" t="s">
        <v>9116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>
        <f t="shared" si="1"/>
        <v>1994</v>
      </c>
      <c r="B1995" s="3" t="s">
        <v>3257</v>
      </c>
      <c r="C1995" s="3" t="s">
        <v>3258</v>
      </c>
      <c r="D1995" s="3" t="s">
        <v>9091</v>
      </c>
      <c r="E1995" s="3" t="s">
        <v>9092</v>
      </c>
      <c r="F1995" s="2" t="s">
        <v>9117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>
        <f t="shared" si="1"/>
        <v>1995</v>
      </c>
      <c r="B1996" s="3" t="s">
        <v>3259</v>
      </c>
      <c r="C1996" s="3" t="s">
        <v>3260</v>
      </c>
      <c r="D1996" s="3" t="s">
        <v>9091</v>
      </c>
      <c r="E1996" s="3" t="s">
        <v>9092</v>
      </c>
      <c r="F1996" s="2" t="s">
        <v>9118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>
        <f t="shared" si="1"/>
        <v>1996</v>
      </c>
      <c r="B1997" s="3" t="s">
        <v>9119</v>
      </c>
      <c r="C1997" s="3" t="s">
        <v>9120</v>
      </c>
      <c r="D1997" s="3" t="s">
        <v>9091</v>
      </c>
      <c r="E1997" s="3" t="s">
        <v>9092</v>
      </c>
      <c r="F1997" s="2" t="s">
        <v>9121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>
        <f t="shared" si="1"/>
        <v>1997</v>
      </c>
      <c r="B1998" s="3" t="s">
        <v>782</v>
      </c>
      <c r="C1998" s="3" t="s">
        <v>237</v>
      </c>
      <c r="D1998" s="3" t="s">
        <v>9091</v>
      </c>
      <c r="E1998" s="3" t="s">
        <v>9092</v>
      </c>
      <c r="F1998" s="2" t="s">
        <v>9122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>
        <f t="shared" si="1"/>
        <v>1998</v>
      </c>
      <c r="B1999" s="3" t="s">
        <v>911</v>
      </c>
      <c r="C1999" s="3" t="s">
        <v>3181</v>
      </c>
      <c r="D1999" s="3" t="s">
        <v>9091</v>
      </c>
      <c r="E1999" s="3" t="s">
        <v>9092</v>
      </c>
      <c r="F1999" s="2" t="s">
        <v>9123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>
        <f t="shared" si="1"/>
        <v>1999</v>
      </c>
      <c r="B2000" s="3" t="s">
        <v>902</v>
      </c>
      <c r="C2000" s="3" t="s">
        <v>3177</v>
      </c>
      <c r="D2000" s="3" t="s">
        <v>9091</v>
      </c>
      <c r="E2000" s="3" t="s">
        <v>9092</v>
      </c>
      <c r="F2000" s="2" t="s">
        <v>9124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>
        <f t="shared" si="1"/>
        <v>2000</v>
      </c>
      <c r="B2001" s="3" t="s">
        <v>53</v>
      </c>
      <c r="C2001" s="3" t="s">
        <v>54</v>
      </c>
      <c r="D2001" s="3" t="s">
        <v>9091</v>
      </c>
      <c r="E2001" s="3" t="s">
        <v>9092</v>
      </c>
      <c r="F2001" s="2" t="s">
        <v>55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>
        <f t="shared" si="1"/>
        <v>2001</v>
      </c>
      <c r="B2002" s="3" t="s">
        <v>9125</v>
      </c>
      <c r="C2002" s="3" t="s">
        <v>9126</v>
      </c>
      <c r="D2002" s="3" t="s">
        <v>9091</v>
      </c>
      <c r="E2002" s="3" t="s">
        <v>9092</v>
      </c>
      <c r="F2002" s="2" t="s">
        <v>9127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>
        <f t="shared" si="1"/>
        <v>2002</v>
      </c>
      <c r="B2003" s="3" t="s">
        <v>9128</v>
      </c>
      <c r="C2003" s="3" t="s">
        <v>9129</v>
      </c>
      <c r="D2003" s="3" t="s">
        <v>9091</v>
      </c>
      <c r="E2003" s="3" t="s">
        <v>9092</v>
      </c>
      <c r="F2003" s="2" t="s">
        <v>9130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>
        <f t="shared" si="1"/>
        <v>2003</v>
      </c>
      <c r="B2004" s="3" t="s">
        <v>9131</v>
      </c>
      <c r="C2004" s="3" t="s">
        <v>9132</v>
      </c>
      <c r="D2004" s="3" t="s">
        <v>9091</v>
      </c>
      <c r="E2004" s="3" t="s">
        <v>9092</v>
      </c>
      <c r="F2004" s="2" t="s">
        <v>9133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>
        <f t="shared" si="1"/>
        <v>2004</v>
      </c>
      <c r="B2005" s="3" t="s">
        <v>9134</v>
      </c>
      <c r="C2005" s="3" t="s">
        <v>9135</v>
      </c>
      <c r="D2005" s="3" t="s">
        <v>9091</v>
      </c>
      <c r="E2005" s="3" t="s">
        <v>9092</v>
      </c>
      <c r="F2005" s="2" t="s">
        <v>9136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>
        <f t="shared" si="1"/>
        <v>2005</v>
      </c>
      <c r="B2006" s="3" t="s">
        <v>9137</v>
      </c>
      <c r="C2006" s="3" t="s">
        <v>9138</v>
      </c>
      <c r="D2006" s="3" t="s">
        <v>9139</v>
      </c>
      <c r="E2006" s="3" t="s">
        <v>9140</v>
      </c>
      <c r="F2006" s="2" t="s">
        <v>9141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>
        <f t="shared" si="1"/>
        <v>2006</v>
      </c>
      <c r="B2007" s="3" t="s">
        <v>9142</v>
      </c>
      <c r="C2007" s="3" t="s">
        <v>9143</v>
      </c>
      <c r="D2007" s="3" t="s">
        <v>9139</v>
      </c>
      <c r="E2007" s="3" t="s">
        <v>9140</v>
      </c>
      <c r="F2007" s="2" t="s">
        <v>9144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>
        <f t="shared" si="1"/>
        <v>2007</v>
      </c>
      <c r="B2008" s="3" t="s">
        <v>9145</v>
      </c>
      <c r="C2008" s="3" t="s">
        <v>9146</v>
      </c>
      <c r="D2008" s="3" t="s">
        <v>9139</v>
      </c>
      <c r="E2008" s="3" t="s">
        <v>9140</v>
      </c>
      <c r="F2008" s="2" t="s">
        <v>9147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>
        <f t="shared" si="1"/>
        <v>2008</v>
      </c>
      <c r="B2009" s="3" t="s">
        <v>9148</v>
      </c>
      <c r="C2009" s="3" t="s">
        <v>9149</v>
      </c>
      <c r="D2009" s="3" t="s">
        <v>9139</v>
      </c>
      <c r="E2009" s="3" t="s">
        <v>9140</v>
      </c>
      <c r="F2009" s="2" t="s">
        <v>9150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>
        <f t="shared" si="1"/>
        <v>2009</v>
      </c>
      <c r="B2010" s="3" t="s">
        <v>9151</v>
      </c>
      <c r="C2010" s="3" t="s">
        <v>9152</v>
      </c>
      <c r="D2010" s="3" t="s">
        <v>9139</v>
      </c>
      <c r="E2010" s="3" t="s">
        <v>9140</v>
      </c>
      <c r="F2010" s="2" t="s">
        <v>9153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>
        <f t="shared" si="1"/>
        <v>2010</v>
      </c>
      <c r="B2011" s="3" t="s">
        <v>9154</v>
      </c>
      <c r="C2011" s="3" t="s">
        <v>9155</v>
      </c>
      <c r="D2011" s="3" t="s">
        <v>9139</v>
      </c>
      <c r="E2011" s="3" t="s">
        <v>9140</v>
      </c>
      <c r="F2011" s="2" t="s">
        <v>9156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>
        <f t="shared" si="1"/>
        <v>2011</v>
      </c>
      <c r="B2012" s="3" t="s">
        <v>9157</v>
      </c>
      <c r="C2012" s="3" t="s">
        <v>9158</v>
      </c>
      <c r="D2012" s="3" t="s">
        <v>9139</v>
      </c>
      <c r="E2012" s="3" t="s">
        <v>9140</v>
      </c>
      <c r="F2012" s="2" t="s">
        <v>9159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>
        <f t="shared" si="1"/>
        <v>2012</v>
      </c>
      <c r="B2013" s="3" t="s">
        <v>9160</v>
      </c>
      <c r="C2013" s="3" t="s">
        <v>9161</v>
      </c>
      <c r="D2013" s="3" t="s">
        <v>9139</v>
      </c>
      <c r="E2013" s="3" t="s">
        <v>9140</v>
      </c>
      <c r="F2013" s="2" t="s">
        <v>9162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>
        <f t="shared" si="1"/>
        <v>2013</v>
      </c>
      <c r="B2014" s="3" t="s">
        <v>9163</v>
      </c>
      <c r="C2014" s="3" t="s">
        <v>9164</v>
      </c>
      <c r="D2014" s="3" t="s">
        <v>9139</v>
      </c>
      <c r="E2014" s="3" t="s">
        <v>9140</v>
      </c>
      <c r="F2014" s="2" t="s">
        <v>9165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>
        <f t="shared" si="1"/>
        <v>2014</v>
      </c>
      <c r="B2015" s="3" t="s">
        <v>9166</v>
      </c>
      <c r="C2015" s="3" t="s">
        <v>9167</v>
      </c>
      <c r="D2015" s="3" t="s">
        <v>9139</v>
      </c>
      <c r="E2015" s="3" t="s">
        <v>9140</v>
      </c>
      <c r="F2015" s="2" t="s">
        <v>9168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>
        <f t="shared" si="1"/>
        <v>2015</v>
      </c>
      <c r="B2016" s="3" t="s">
        <v>9169</v>
      </c>
      <c r="C2016" s="3" t="s">
        <v>9170</v>
      </c>
      <c r="D2016" s="3" t="s">
        <v>9139</v>
      </c>
      <c r="E2016" s="3" t="s">
        <v>9140</v>
      </c>
      <c r="F2016" s="2" t="s">
        <v>9171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>
        <f t="shared" si="1"/>
        <v>2016</v>
      </c>
      <c r="B2017" s="3" t="s">
        <v>9172</v>
      </c>
      <c r="C2017" s="3" t="s">
        <v>9173</v>
      </c>
      <c r="D2017" s="3" t="s">
        <v>9139</v>
      </c>
      <c r="E2017" s="3" t="s">
        <v>9140</v>
      </c>
      <c r="F2017" s="2" t="s">
        <v>9174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>
        <f t="shared" si="1"/>
        <v>2017</v>
      </c>
      <c r="B2018" s="3" t="s">
        <v>9175</v>
      </c>
      <c r="C2018" s="3" t="s">
        <v>9176</v>
      </c>
      <c r="D2018" s="3" t="s">
        <v>9139</v>
      </c>
      <c r="E2018" s="3" t="s">
        <v>9140</v>
      </c>
      <c r="F2018" s="2" t="s">
        <v>9177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>
        <f t="shared" si="1"/>
        <v>2018</v>
      </c>
      <c r="B2019" s="3" t="s">
        <v>9178</v>
      </c>
      <c r="C2019" s="3" t="s">
        <v>9179</v>
      </c>
      <c r="D2019" s="3" t="s">
        <v>9139</v>
      </c>
      <c r="E2019" s="3" t="s">
        <v>9140</v>
      </c>
      <c r="F2019" s="2" t="s">
        <v>9180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>
        <f t="shared" si="1"/>
        <v>2019</v>
      </c>
      <c r="B2020" s="3" t="s">
        <v>9181</v>
      </c>
      <c r="C2020" s="3" t="s">
        <v>9182</v>
      </c>
      <c r="D2020" s="3" t="s">
        <v>9139</v>
      </c>
      <c r="E2020" s="3" t="s">
        <v>9140</v>
      </c>
      <c r="F2020" s="2" t="s">
        <v>9183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>
        <f t="shared" si="1"/>
        <v>2020</v>
      </c>
      <c r="B2021" s="3" t="s">
        <v>9184</v>
      </c>
      <c r="C2021" s="3" t="s">
        <v>9185</v>
      </c>
      <c r="D2021" s="3" t="s">
        <v>9139</v>
      </c>
      <c r="E2021" s="3" t="s">
        <v>9140</v>
      </c>
      <c r="F2021" s="2" t="s">
        <v>9186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>
        <f t="shared" si="1"/>
        <v>2021</v>
      </c>
      <c r="B2022" s="3" t="s">
        <v>9187</v>
      </c>
      <c r="C2022" s="3" t="s">
        <v>9188</v>
      </c>
      <c r="D2022" s="3" t="s">
        <v>9139</v>
      </c>
      <c r="E2022" s="3" t="s">
        <v>9140</v>
      </c>
      <c r="F2022" s="2" t="s">
        <v>9189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>
        <f t="shared" si="1"/>
        <v>2022</v>
      </c>
      <c r="B2023" s="3" t="s">
        <v>9190</v>
      </c>
      <c r="C2023" s="3" t="s">
        <v>9191</v>
      </c>
      <c r="D2023" s="3" t="s">
        <v>9139</v>
      </c>
      <c r="E2023" s="3" t="s">
        <v>9140</v>
      </c>
      <c r="F2023" s="2" t="s">
        <v>9192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>
        <f t="shared" si="1"/>
        <v>2023</v>
      </c>
      <c r="B2024" s="3" t="s">
        <v>9193</v>
      </c>
      <c r="C2024" s="3" t="s">
        <v>9194</v>
      </c>
      <c r="D2024" s="3" t="s">
        <v>9139</v>
      </c>
      <c r="E2024" s="3" t="s">
        <v>9140</v>
      </c>
      <c r="F2024" s="2" t="s">
        <v>9195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>
        <f t="shared" si="1"/>
        <v>2024</v>
      </c>
      <c r="B2025" s="3" t="s">
        <v>9196</v>
      </c>
      <c r="C2025" s="3" t="s">
        <v>9197</v>
      </c>
      <c r="D2025" s="3" t="s">
        <v>9139</v>
      </c>
      <c r="E2025" s="3" t="s">
        <v>9140</v>
      </c>
      <c r="F2025" s="2" t="s">
        <v>9198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>
        <f t="shared" si="1"/>
        <v>2025</v>
      </c>
      <c r="B2026" s="3" t="s">
        <v>9199</v>
      </c>
      <c r="C2026" s="3" t="s">
        <v>9200</v>
      </c>
      <c r="D2026" s="3" t="s">
        <v>9139</v>
      </c>
      <c r="E2026" s="3" t="s">
        <v>9140</v>
      </c>
      <c r="F2026" s="2" t="s">
        <v>9201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>
        <f t="shared" si="1"/>
        <v>2026</v>
      </c>
      <c r="B2027" s="3" t="s">
        <v>788</v>
      </c>
      <c r="C2027" s="3" t="s">
        <v>178</v>
      </c>
      <c r="D2027" s="3" t="s">
        <v>9139</v>
      </c>
      <c r="E2027" s="3" t="s">
        <v>9140</v>
      </c>
      <c r="F2027" s="2" t="s">
        <v>9202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>
        <f t="shared" si="1"/>
        <v>2027</v>
      </c>
      <c r="B2028" s="3" t="s">
        <v>9203</v>
      </c>
      <c r="C2028" s="3" t="s">
        <v>9204</v>
      </c>
      <c r="D2028" s="3" t="s">
        <v>9139</v>
      </c>
      <c r="E2028" s="3" t="s">
        <v>9140</v>
      </c>
      <c r="F2028" s="2" t="s">
        <v>9205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>
        <f t="shared" si="1"/>
        <v>2028</v>
      </c>
      <c r="B2029" s="3" t="s">
        <v>9206</v>
      </c>
      <c r="C2029" s="3" t="s">
        <v>9207</v>
      </c>
      <c r="D2029" s="3" t="s">
        <v>9139</v>
      </c>
      <c r="E2029" s="3" t="s">
        <v>9140</v>
      </c>
      <c r="F2029" s="2" t="s">
        <v>9208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>
        <f t="shared" si="1"/>
        <v>2029</v>
      </c>
      <c r="B2030" s="3" t="s">
        <v>9209</v>
      </c>
      <c r="C2030" s="3" t="s">
        <v>9210</v>
      </c>
      <c r="D2030" s="3" t="s">
        <v>9139</v>
      </c>
      <c r="E2030" s="3" t="s">
        <v>9140</v>
      </c>
      <c r="F2030" s="2" t="s">
        <v>9211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>
        <f t="shared" si="1"/>
        <v>2030</v>
      </c>
      <c r="B2031" s="3" t="s">
        <v>9212</v>
      </c>
      <c r="C2031" s="3" t="s">
        <v>9213</v>
      </c>
      <c r="D2031" s="3" t="s">
        <v>9139</v>
      </c>
      <c r="E2031" s="3" t="s">
        <v>9140</v>
      </c>
      <c r="F2031" s="2" t="s">
        <v>9214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>
        <f t="shared" si="1"/>
        <v>2031</v>
      </c>
      <c r="B2032" s="3" t="s">
        <v>9215</v>
      </c>
      <c r="C2032" s="3" t="s">
        <v>9216</v>
      </c>
      <c r="D2032" s="3" t="s">
        <v>9139</v>
      </c>
      <c r="E2032" s="3" t="s">
        <v>9140</v>
      </c>
      <c r="F2032" s="2" t="s">
        <v>9217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>
        <f t="shared" si="1"/>
        <v>2032</v>
      </c>
      <c r="B2033" s="3" t="s">
        <v>9218</v>
      </c>
      <c r="C2033" s="3" t="s">
        <v>9219</v>
      </c>
      <c r="D2033" s="3" t="s">
        <v>9139</v>
      </c>
      <c r="E2033" s="3" t="s">
        <v>9140</v>
      </c>
      <c r="F2033" s="2" t="s">
        <v>9220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>
        <f t="shared" si="1"/>
        <v>2033</v>
      </c>
      <c r="B2034" s="3" t="s">
        <v>9221</v>
      </c>
      <c r="C2034" s="3" t="s">
        <v>9222</v>
      </c>
      <c r="D2034" s="3" t="s">
        <v>9139</v>
      </c>
      <c r="E2034" s="3" t="s">
        <v>9140</v>
      </c>
      <c r="F2034" s="2" t="s">
        <v>9223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>
        <f t="shared" si="1"/>
        <v>2034</v>
      </c>
      <c r="B2035" s="3" t="s">
        <v>9224</v>
      </c>
      <c r="C2035" s="3" t="s">
        <v>9225</v>
      </c>
      <c r="D2035" s="3" t="s">
        <v>9139</v>
      </c>
      <c r="E2035" s="3" t="s">
        <v>9140</v>
      </c>
      <c r="F2035" s="2" t="s">
        <v>9226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>
        <f t="shared" si="1"/>
        <v>2035</v>
      </c>
      <c r="B2036" s="3" t="s">
        <v>9227</v>
      </c>
      <c r="C2036" s="3" t="s">
        <v>9228</v>
      </c>
      <c r="D2036" s="3" t="s">
        <v>9139</v>
      </c>
      <c r="E2036" s="3" t="s">
        <v>9140</v>
      </c>
      <c r="F2036" s="2" t="s">
        <v>9229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>
        <f t="shared" si="1"/>
        <v>2036</v>
      </c>
      <c r="B2037" s="3" t="s">
        <v>9230</v>
      </c>
      <c r="C2037" s="3" t="s">
        <v>9231</v>
      </c>
      <c r="D2037" s="3" t="s">
        <v>9139</v>
      </c>
      <c r="E2037" s="3" t="s">
        <v>9140</v>
      </c>
      <c r="F2037" s="2" t="s">
        <v>9232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>
        <f t="shared" si="1"/>
        <v>2037</v>
      </c>
      <c r="B2038" s="3" t="s">
        <v>9233</v>
      </c>
      <c r="C2038" s="3" t="s">
        <v>9234</v>
      </c>
      <c r="D2038" s="3" t="s">
        <v>9139</v>
      </c>
      <c r="E2038" s="3" t="s">
        <v>9140</v>
      </c>
      <c r="F2038" s="2" t="s">
        <v>9235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>
        <f t="shared" si="1"/>
        <v>2038</v>
      </c>
      <c r="B2039" s="3" t="s">
        <v>9236</v>
      </c>
      <c r="C2039" s="3" t="s">
        <v>9237</v>
      </c>
      <c r="D2039" s="3" t="s">
        <v>9139</v>
      </c>
      <c r="E2039" s="3" t="s">
        <v>9140</v>
      </c>
      <c r="F2039" s="2" t="s">
        <v>9238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>
        <f t="shared" si="1"/>
        <v>2039</v>
      </c>
      <c r="B2040" s="3" t="s">
        <v>9239</v>
      </c>
      <c r="C2040" s="3" t="s">
        <v>9240</v>
      </c>
      <c r="D2040" s="3" t="s">
        <v>9241</v>
      </c>
      <c r="E2040" s="3" t="s">
        <v>9242</v>
      </c>
      <c r="F2040" s="2" t="s">
        <v>9243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>
        <f t="shared" si="1"/>
        <v>2040</v>
      </c>
      <c r="B2041" s="3" t="s">
        <v>930</v>
      </c>
      <c r="C2041" s="3" t="s">
        <v>3139</v>
      </c>
      <c r="D2041" s="3" t="s">
        <v>9241</v>
      </c>
      <c r="E2041" s="3" t="s">
        <v>9242</v>
      </c>
      <c r="F2041" s="2" t="s">
        <v>9244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>
        <f t="shared" si="1"/>
        <v>2041</v>
      </c>
      <c r="B2042" s="3" t="s">
        <v>799</v>
      </c>
      <c r="C2042" s="3" t="s">
        <v>234</v>
      </c>
      <c r="D2042" s="3" t="s">
        <v>9241</v>
      </c>
      <c r="E2042" s="3" t="s">
        <v>9242</v>
      </c>
      <c r="F2042" s="2" t="s">
        <v>9245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>
        <f t="shared" si="1"/>
        <v>2042</v>
      </c>
      <c r="B2043" s="3" t="s">
        <v>9246</v>
      </c>
      <c r="C2043" s="3" t="s">
        <v>9247</v>
      </c>
      <c r="D2043" s="3" t="s">
        <v>9241</v>
      </c>
      <c r="E2043" s="3" t="s">
        <v>9242</v>
      </c>
      <c r="F2043" s="2" t="s">
        <v>9248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>
        <f t="shared" si="1"/>
        <v>2043</v>
      </c>
      <c r="B2044" s="3" t="s">
        <v>9249</v>
      </c>
      <c r="C2044" s="3" t="s">
        <v>9250</v>
      </c>
      <c r="D2044" s="3" t="s">
        <v>9241</v>
      </c>
      <c r="E2044" s="3" t="s">
        <v>9242</v>
      </c>
      <c r="F2044" s="2" t="s">
        <v>9251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>
        <f t="shared" si="1"/>
        <v>2044</v>
      </c>
      <c r="B2045" s="3" t="s">
        <v>9252</v>
      </c>
      <c r="C2045" s="3" t="s">
        <v>9253</v>
      </c>
      <c r="D2045" s="3" t="s">
        <v>9241</v>
      </c>
      <c r="E2045" s="3" t="s">
        <v>9242</v>
      </c>
      <c r="F2045" s="2" t="s">
        <v>9254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>
        <f t="shared" si="1"/>
        <v>2045</v>
      </c>
      <c r="B2046" s="3" t="s">
        <v>9255</v>
      </c>
      <c r="C2046" s="3" t="s">
        <v>9256</v>
      </c>
      <c r="D2046" s="3" t="s">
        <v>9241</v>
      </c>
      <c r="E2046" s="3" t="s">
        <v>9242</v>
      </c>
      <c r="F2046" s="2" t="s">
        <v>9257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>
        <f t="shared" si="1"/>
        <v>2046</v>
      </c>
      <c r="B2047" s="3" t="s">
        <v>9258</v>
      </c>
      <c r="C2047" s="3" t="s">
        <v>9259</v>
      </c>
      <c r="D2047" s="3" t="s">
        <v>9241</v>
      </c>
      <c r="E2047" s="3" t="s">
        <v>9242</v>
      </c>
      <c r="F2047" s="2" t="s">
        <v>9260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>
        <f t="shared" si="1"/>
        <v>2047</v>
      </c>
      <c r="B2048" s="3" t="s">
        <v>3191</v>
      </c>
      <c r="C2048" s="3" t="s">
        <v>3192</v>
      </c>
      <c r="D2048" s="3" t="s">
        <v>9241</v>
      </c>
      <c r="E2048" s="3" t="s">
        <v>9242</v>
      </c>
      <c r="F2048" s="2" t="s">
        <v>9261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>
        <f t="shared" si="1"/>
        <v>2048</v>
      </c>
      <c r="B2049" s="3" t="s">
        <v>9262</v>
      </c>
      <c r="C2049" s="3" t="s">
        <v>9263</v>
      </c>
      <c r="D2049" s="3" t="s">
        <v>9241</v>
      </c>
      <c r="E2049" s="3" t="s">
        <v>9242</v>
      </c>
      <c r="F2049" s="2" t="s">
        <v>9264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>
        <f t="shared" si="1"/>
        <v>2049</v>
      </c>
      <c r="B2050" s="3" t="s">
        <v>9265</v>
      </c>
      <c r="C2050" s="3" t="s">
        <v>9266</v>
      </c>
      <c r="D2050" s="3" t="s">
        <v>9241</v>
      </c>
      <c r="E2050" s="3" t="s">
        <v>9242</v>
      </c>
      <c r="F2050" s="2" t="s">
        <v>9267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>
        <f t="shared" si="1"/>
        <v>2050</v>
      </c>
      <c r="B2051" s="3" t="s">
        <v>9268</v>
      </c>
      <c r="C2051" s="3" t="s">
        <v>9269</v>
      </c>
      <c r="D2051" s="3" t="s">
        <v>9241</v>
      </c>
      <c r="E2051" s="3" t="s">
        <v>9242</v>
      </c>
      <c r="F2051" s="2" t="s">
        <v>9270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>
        <f t="shared" si="1"/>
        <v>2051</v>
      </c>
      <c r="B2052" s="3" t="s">
        <v>9271</v>
      </c>
      <c r="C2052" s="3" t="s">
        <v>9272</v>
      </c>
      <c r="D2052" s="3" t="s">
        <v>9241</v>
      </c>
      <c r="E2052" s="3" t="s">
        <v>9242</v>
      </c>
      <c r="F2052" s="2" t="s">
        <v>9273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>
        <f t="shared" si="1"/>
        <v>2052</v>
      </c>
      <c r="B2053" s="3" t="s">
        <v>797</v>
      </c>
      <c r="C2053" s="3" t="s">
        <v>205</v>
      </c>
      <c r="D2053" s="3" t="s">
        <v>9241</v>
      </c>
      <c r="E2053" s="3" t="s">
        <v>9242</v>
      </c>
      <c r="F2053" s="2" t="s">
        <v>9274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>
        <f t="shared" si="1"/>
        <v>2053</v>
      </c>
      <c r="B2054" s="3" t="s">
        <v>9275</v>
      </c>
      <c r="C2054" s="3" t="s">
        <v>9276</v>
      </c>
      <c r="D2054" s="3" t="s">
        <v>9241</v>
      </c>
      <c r="E2054" s="3" t="s">
        <v>9242</v>
      </c>
      <c r="F2054" s="2" t="s">
        <v>9277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>
        <f t="shared" si="1"/>
        <v>2054</v>
      </c>
      <c r="B2055" s="3" t="s">
        <v>791</v>
      </c>
      <c r="C2055" s="3" t="s">
        <v>181</v>
      </c>
      <c r="D2055" s="3" t="s">
        <v>9241</v>
      </c>
      <c r="E2055" s="3" t="s">
        <v>9242</v>
      </c>
      <c r="F2055" s="2" t="s">
        <v>9278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>
        <f t="shared" si="1"/>
        <v>2055</v>
      </c>
      <c r="B2056" s="3" t="s">
        <v>9279</v>
      </c>
      <c r="C2056" s="3" t="s">
        <v>9280</v>
      </c>
      <c r="D2056" s="3" t="s">
        <v>9241</v>
      </c>
      <c r="E2056" s="3" t="s">
        <v>9242</v>
      </c>
      <c r="F2056" s="2" t="s">
        <v>9281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>
        <f t="shared" si="1"/>
        <v>2056</v>
      </c>
      <c r="B2057" s="3" t="s">
        <v>9282</v>
      </c>
      <c r="C2057" s="3" t="s">
        <v>9283</v>
      </c>
      <c r="D2057" s="3" t="s">
        <v>9241</v>
      </c>
      <c r="E2057" s="3" t="s">
        <v>9242</v>
      </c>
      <c r="F2057" s="2" t="s">
        <v>9284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>
        <f t="shared" si="1"/>
        <v>2057</v>
      </c>
      <c r="B2058" s="3" t="s">
        <v>9285</v>
      </c>
      <c r="C2058" s="3" t="s">
        <v>9286</v>
      </c>
      <c r="D2058" s="3" t="s">
        <v>9241</v>
      </c>
      <c r="E2058" s="3" t="s">
        <v>9242</v>
      </c>
      <c r="F2058" s="2" t="s">
        <v>9287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>
        <f t="shared" si="1"/>
        <v>2058</v>
      </c>
      <c r="B2059" s="3" t="s">
        <v>47</v>
      </c>
      <c r="C2059" s="3" t="s">
        <v>48</v>
      </c>
      <c r="D2059" s="3" t="s">
        <v>9241</v>
      </c>
      <c r="E2059" s="3" t="s">
        <v>9242</v>
      </c>
      <c r="F2059" s="2" t="s">
        <v>49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>
        <f t="shared" si="1"/>
        <v>2059</v>
      </c>
      <c r="B2060" s="3" t="s">
        <v>9288</v>
      </c>
      <c r="C2060" s="3" t="s">
        <v>9289</v>
      </c>
      <c r="D2060" s="3" t="s">
        <v>9241</v>
      </c>
      <c r="E2060" s="3" t="s">
        <v>9242</v>
      </c>
      <c r="F2060" s="2" t="s">
        <v>9290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>
        <f t="shared" si="1"/>
        <v>2060</v>
      </c>
      <c r="B2061" s="3" t="s">
        <v>794</v>
      </c>
      <c r="C2061" s="3" t="s">
        <v>193</v>
      </c>
      <c r="D2061" s="3" t="s">
        <v>9241</v>
      </c>
      <c r="E2061" s="3" t="s">
        <v>9242</v>
      </c>
      <c r="F2061" s="2" t="s">
        <v>9291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>
        <f t="shared" si="1"/>
        <v>2061</v>
      </c>
      <c r="B2062" s="3" t="s">
        <v>9292</v>
      </c>
      <c r="C2062" s="3" t="s">
        <v>9293</v>
      </c>
      <c r="D2062" s="3" t="s">
        <v>9241</v>
      </c>
      <c r="E2062" s="3" t="s">
        <v>9242</v>
      </c>
      <c r="F2062" s="2" t="s">
        <v>9294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>
        <f t="shared" si="1"/>
        <v>2062</v>
      </c>
      <c r="B2063" s="3" t="s">
        <v>9295</v>
      </c>
      <c r="C2063" s="3" t="s">
        <v>9296</v>
      </c>
      <c r="D2063" s="3" t="s">
        <v>9241</v>
      </c>
      <c r="E2063" s="3" t="s">
        <v>9242</v>
      </c>
      <c r="F2063" s="2" t="s">
        <v>9297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>
        <f t="shared" si="1"/>
        <v>2063</v>
      </c>
      <c r="B2064" s="3" t="s">
        <v>9298</v>
      </c>
      <c r="C2064" s="3" t="s">
        <v>9299</v>
      </c>
      <c r="D2064" s="3" t="s">
        <v>9241</v>
      </c>
      <c r="E2064" s="3" t="s">
        <v>9242</v>
      </c>
      <c r="F2064" s="2" t="s">
        <v>9300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>
        <f t="shared" si="1"/>
        <v>2064</v>
      </c>
      <c r="B2065" s="3" t="s">
        <v>9301</v>
      </c>
      <c r="C2065" s="3" t="s">
        <v>9302</v>
      </c>
      <c r="D2065" s="3" t="s">
        <v>9241</v>
      </c>
      <c r="E2065" s="3" t="s">
        <v>9242</v>
      </c>
      <c r="F2065" s="2" t="s">
        <v>9303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>
        <f t="shared" si="1"/>
        <v>2065</v>
      </c>
      <c r="B2066" s="3" t="s">
        <v>66</v>
      </c>
      <c r="C2066" s="3" t="s">
        <v>67</v>
      </c>
      <c r="D2066" s="3" t="s">
        <v>9241</v>
      </c>
      <c r="E2066" s="3" t="s">
        <v>9242</v>
      </c>
      <c r="F2066" s="2" t="s">
        <v>68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>
        <f t="shared" si="1"/>
        <v>2066</v>
      </c>
      <c r="B2067" s="3" t="s">
        <v>9304</v>
      </c>
      <c r="C2067" s="3" t="s">
        <v>9305</v>
      </c>
      <c r="D2067" s="3" t="s">
        <v>9241</v>
      </c>
      <c r="E2067" s="3" t="s">
        <v>9242</v>
      </c>
      <c r="F2067" s="2" t="s">
        <v>9306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>
        <f t="shared" si="1"/>
        <v>2067</v>
      </c>
      <c r="B2068" s="3" t="s">
        <v>9307</v>
      </c>
      <c r="C2068" s="3" t="s">
        <v>9308</v>
      </c>
      <c r="D2068" s="3" t="s">
        <v>9241</v>
      </c>
      <c r="E2068" s="3" t="s">
        <v>9242</v>
      </c>
      <c r="F2068" s="2" t="s">
        <v>9309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>
        <f t="shared" si="1"/>
        <v>2068</v>
      </c>
      <c r="B2069" s="3" t="s">
        <v>9310</v>
      </c>
      <c r="C2069" s="3" t="s">
        <v>9311</v>
      </c>
      <c r="D2069" s="3" t="s">
        <v>9241</v>
      </c>
      <c r="E2069" s="3" t="s">
        <v>9242</v>
      </c>
      <c r="F2069" s="2" t="s">
        <v>9312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>
        <f t="shared" si="1"/>
        <v>2069</v>
      </c>
      <c r="B2070" s="3" t="s">
        <v>913</v>
      </c>
      <c r="C2070" s="3" t="s">
        <v>3183</v>
      </c>
      <c r="D2070" s="3" t="s">
        <v>9241</v>
      </c>
      <c r="E2070" s="3" t="s">
        <v>9242</v>
      </c>
      <c r="F2070" s="2" t="s">
        <v>9313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>
        <f t="shared" si="1"/>
        <v>2070</v>
      </c>
      <c r="B2071" s="3" t="s">
        <v>33</v>
      </c>
      <c r="C2071" s="3" t="s">
        <v>34</v>
      </c>
      <c r="D2071" s="3" t="s">
        <v>9241</v>
      </c>
      <c r="E2071" s="3" t="s">
        <v>9242</v>
      </c>
      <c r="F2071" s="2" t="s">
        <v>36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>
        <f t="shared" si="1"/>
        <v>2071</v>
      </c>
      <c r="B2072" s="3" t="s">
        <v>9314</v>
      </c>
      <c r="C2072" s="3" t="s">
        <v>9315</v>
      </c>
      <c r="D2072" s="3" t="s">
        <v>9241</v>
      </c>
      <c r="E2072" s="3" t="s">
        <v>9242</v>
      </c>
      <c r="F2072" s="2" t="s">
        <v>9316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>
        <f t="shared" si="1"/>
        <v>2072</v>
      </c>
      <c r="B2073" s="3" t="s">
        <v>72</v>
      </c>
      <c r="C2073" s="3" t="s">
        <v>73</v>
      </c>
      <c r="D2073" s="3" t="s">
        <v>9241</v>
      </c>
      <c r="E2073" s="3" t="s">
        <v>9242</v>
      </c>
      <c r="F2073" s="2" t="s">
        <v>74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>
        <f t="shared" si="1"/>
        <v>2073</v>
      </c>
      <c r="B2074" s="3" t="s">
        <v>9317</v>
      </c>
      <c r="C2074" s="3" t="s">
        <v>9318</v>
      </c>
      <c r="D2074" s="3" t="s">
        <v>9241</v>
      </c>
      <c r="E2074" s="3" t="s">
        <v>9242</v>
      </c>
      <c r="F2074" s="2" t="s">
        <v>9319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>
        <f t="shared" si="1"/>
        <v>2074</v>
      </c>
      <c r="B2075" s="3" t="s">
        <v>9320</v>
      </c>
      <c r="C2075" s="3" t="s">
        <v>9321</v>
      </c>
      <c r="D2075" s="3" t="s">
        <v>9322</v>
      </c>
      <c r="E2075" s="3" t="s">
        <v>7775</v>
      </c>
      <c r="F2075" s="2" t="s">
        <v>9323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>
        <f t="shared" si="1"/>
        <v>2075</v>
      </c>
      <c r="B2076" s="3" t="s">
        <v>9324</v>
      </c>
      <c r="C2076" s="3" t="s">
        <v>9325</v>
      </c>
      <c r="D2076" s="3" t="s">
        <v>9322</v>
      </c>
      <c r="E2076" s="3" t="s">
        <v>8595</v>
      </c>
      <c r="F2076" s="2" t="s">
        <v>9326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>
        <f t="shared" si="1"/>
        <v>2076</v>
      </c>
      <c r="B2077" s="3" t="s">
        <v>9327</v>
      </c>
      <c r="C2077" s="3" t="s">
        <v>9328</v>
      </c>
      <c r="D2077" s="3" t="s">
        <v>9322</v>
      </c>
      <c r="E2077" s="3" t="s">
        <v>8595</v>
      </c>
      <c r="F2077" s="2" t="s">
        <v>9329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>
        <f t="shared" si="1"/>
        <v>2077</v>
      </c>
      <c r="B2078" s="3" t="s">
        <v>9330</v>
      </c>
      <c r="C2078" s="3" t="s">
        <v>9331</v>
      </c>
      <c r="D2078" s="3" t="s">
        <v>9322</v>
      </c>
      <c r="E2078" s="3" t="s">
        <v>7895</v>
      </c>
      <c r="F2078" s="2" t="s">
        <v>9332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>
        <f t="shared" si="1"/>
        <v>2078</v>
      </c>
      <c r="B2079" s="3" t="s">
        <v>9333</v>
      </c>
      <c r="C2079" s="3" t="s">
        <v>9334</v>
      </c>
      <c r="D2079" s="3" t="s">
        <v>9322</v>
      </c>
      <c r="E2079" s="3" t="s">
        <v>7895</v>
      </c>
      <c r="F2079" s="2" t="s">
        <v>9335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>
        <f t="shared" si="1"/>
        <v>2079</v>
      </c>
      <c r="B2080" s="3" t="s">
        <v>9336</v>
      </c>
      <c r="C2080" s="3" t="s">
        <v>9337</v>
      </c>
      <c r="D2080" s="3" t="s">
        <v>9322</v>
      </c>
      <c r="E2080" s="3" t="s">
        <v>7895</v>
      </c>
      <c r="F2080" s="2" t="s">
        <v>9338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>
        <f t="shared" si="1"/>
        <v>2080</v>
      </c>
      <c r="B2081" s="3" t="s">
        <v>9339</v>
      </c>
      <c r="C2081" s="3" t="s">
        <v>9340</v>
      </c>
      <c r="D2081" s="3" t="s">
        <v>9322</v>
      </c>
      <c r="E2081" s="3" t="s">
        <v>7895</v>
      </c>
      <c r="F2081" s="2" t="s">
        <v>9341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>
        <f t="shared" si="1"/>
        <v>2081</v>
      </c>
      <c r="B2082" s="3" t="s">
        <v>9342</v>
      </c>
      <c r="C2082" s="3" t="s">
        <v>9343</v>
      </c>
      <c r="D2082" s="3" t="s">
        <v>9322</v>
      </c>
      <c r="E2082" s="3" t="s">
        <v>7775</v>
      </c>
      <c r="F2082" s="2" t="s">
        <v>9344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>
        <f t="shared" si="1"/>
        <v>2082</v>
      </c>
      <c r="B2083" s="3" t="s">
        <v>9345</v>
      </c>
      <c r="C2083" s="3" t="s">
        <v>9346</v>
      </c>
      <c r="D2083" s="3" t="s">
        <v>9322</v>
      </c>
      <c r="E2083" s="3" t="s">
        <v>7775</v>
      </c>
      <c r="F2083" s="2" t="s">
        <v>9347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>
        <f t="shared" si="1"/>
        <v>2083</v>
      </c>
      <c r="B2084" s="3" t="s">
        <v>915</v>
      </c>
      <c r="C2084" s="3" t="s">
        <v>3184</v>
      </c>
      <c r="D2084" s="3" t="s">
        <v>9322</v>
      </c>
      <c r="E2084" s="3" t="s">
        <v>8595</v>
      </c>
      <c r="F2084" s="2" t="s">
        <v>9348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>
        <f t="shared" si="1"/>
        <v>2084</v>
      </c>
      <c r="B2085" s="3" t="s">
        <v>9349</v>
      </c>
      <c r="C2085" s="3" t="s">
        <v>9350</v>
      </c>
      <c r="D2085" s="3" t="s">
        <v>9322</v>
      </c>
      <c r="E2085" s="3" t="s">
        <v>7775</v>
      </c>
      <c r="F2085" s="2" t="s">
        <v>9351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>
        <f t="shared" si="1"/>
        <v>2085</v>
      </c>
      <c r="B2086" s="3" t="s">
        <v>9352</v>
      </c>
      <c r="C2086" s="3" t="s">
        <v>9353</v>
      </c>
      <c r="D2086" s="3" t="s">
        <v>9322</v>
      </c>
      <c r="E2086" s="3" t="s">
        <v>7775</v>
      </c>
      <c r="F2086" s="2" t="s">
        <v>9354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>
        <f t="shared" si="1"/>
        <v>2086</v>
      </c>
      <c r="B2087" s="3" t="s">
        <v>9355</v>
      </c>
      <c r="C2087" s="3" t="s">
        <v>9356</v>
      </c>
      <c r="D2087" s="3" t="s">
        <v>9322</v>
      </c>
      <c r="E2087" s="3" t="s">
        <v>7775</v>
      </c>
      <c r="F2087" s="2" t="s">
        <v>9357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>
        <f t="shared" si="1"/>
        <v>2087</v>
      </c>
      <c r="B2088" s="3" t="s">
        <v>9358</v>
      </c>
      <c r="C2088" s="3" t="s">
        <v>9359</v>
      </c>
      <c r="D2088" s="3" t="s">
        <v>9322</v>
      </c>
      <c r="E2088" s="3" t="s">
        <v>7895</v>
      </c>
      <c r="F2088" s="2" t="s">
        <v>9360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>
        <f t="shared" si="1"/>
        <v>2088</v>
      </c>
      <c r="B2089" s="3" t="s">
        <v>9361</v>
      </c>
      <c r="C2089" s="3" t="s">
        <v>9362</v>
      </c>
      <c r="D2089" s="3" t="s">
        <v>9322</v>
      </c>
      <c r="E2089" s="3" t="s">
        <v>8595</v>
      </c>
      <c r="F2089" s="2" t="s">
        <v>9363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>
        <f t="shared" si="1"/>
        <v>2089</v>
      </c>
      <c r="B2090" s="3" t="s">
        <v>9364</v>
      </c>
      <c r="C2090" s="3" t="s">
        <v>9365</v>
      </c>
      <c r="D2090" s="3" t="s">
        <v>9322</v>
      </c>
      <c r="E2090" s="3" t="s">
        <v>7775</v>
      </c>
      <c r="F2090" s="2" t="s">
        <v>9366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>
        <f t="shared" si="1"/>
        <v>2090</v>
      </c>
      <c r="B2091" s="3" t="s">
        <v>9367</v>
      </c>
      <c r="C2091" s="3" t="s">
        <v>9368</v>
      </c>
      <c r="D2091" s="3" t="s">
        <v>9322</v>
      </c>
      <c r="E2091" s="3" t="s">
        <v>7775</v>
      </c>
      <c r="F2091" s="2" t="s">
        <v>9369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>
        <f t="shared" si="1"/>
        <v>2091</v>
      </c>
      <c r="B2092" s="3" t="s">
        <v>9370</v>
      </c>
      <c r="C2092" s="3" t="s">
        <v>9371</v>
      </c>
      <c r="D2092" s="3" t="s">
        <v>9322</v>
      </c>
      <c r="E2092" s="3" t="s">
        <v>8595</v>
      </c>
      <c r="F2092" s="2" t="s">
        <v>9372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>
        <f t="shared" si="1"/>
        <v>2092</v>
      </c>
      <c r="B2093" s="3" t="s">
        <v>9373</v>
      </c>
      <c r="C2093" s="3" t="s">
        <v>9374</v>
      </c>
      <c r="D2093" s="3" t="s">
        <v>9322</v>
      </c>
      <c r="E2093" s="3" t="s">
        <v>7775</v>
      </c>
      <c r="F2093" s="2" t="s">
        <v>9375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>
        <f t="shared" si="1"/>
        <v>2093</v>
      </c>
      <c r="B2094" s="3" t="s">
        <v>9376</v>
      </c>
      <c r="C2094" s="3" t="s">
        <v>9377</v>
      </c>
      <c r="D2094" s="3" t="s">
        <v>9322</v>
      </c>
      <c r="E2094" s="3" t="s">
        <v>8595</v>
      </c>
      <c r="F2094" s="2" t="s">
        <v>9378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>
        <f t="shared" si="1"/>
        <v>2094</v>
      </c>
      <c r="B2095" s="3" t="s">
        <v>9379</v>
      </c>
      <c r="C2095" s="3" t="s">
        <v>9380</v>
      </c>
      <c r="D2095" s="3" t="s">
        <v>9322</v>
      </c>
      <c r="E2095" s="3" t="s">
        <v>8595</v>
      </c>
      <c r="F2095" s="2" t="s">
        <v>9381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>
        <f t="shared" si="1"/>
        <v>2095</v>
      </c>
      <c r="B2096" s="3" t="s">
        <v>9382</v>
      </c>
      <c r="C2096" s="3" t="s">
        <v>9383</v>
      </c>
      <c r="D2096" s="3" t="s">
        <v>9322</v>
      </c>
      <c r="E2096" s="3" t="s">
        <v>8595</v>
      </c>
      <c r="F2096" s="2" t="s">
        <v>9384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>
        <f t="shared" si="1"/>
        <v>2096</v>
      </c>
      <c r="B2097" s="3" t="s">
        <v>9385</v>
      </c>
      <c r="C2097" s="3" t="s">
        <v>9386</v>
      </c>
      <c r="D2097" s="3" t="s">
        <v>9322</v>
      </c>
      <c r="E2097" s="3" t="s">
        <v>8595</v>
      </c>
      <c r="F2097" s="2" t="s">
        <v>9387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>
        <f t="shared" si="1"/>
        <v>2097</v>
      </c>
      <c r="B2098" s="3" t="s">
        <v>9388</v>
      </c>
      <c r="C2098" s="3" t="s">
        <v>9389</v>
      </c>
      <c r="D2098" s="3" t="s">
        <v>9322</v>
      </c>
      <c r="E2098" s="3" t="s">
        <v>8332</v>
      </c>
      <c r="F2098" s="2" t="s">
        <v>9390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>
        <f t="shared" si="1"/>
        <v>2098</v>
      </c>
      <c r="B2099" s="3" t="s">
        <v>9391</v>
      </c>
      <c r="C2099" s="3" t="s">
        <v>9392</v>
      </c>
      <c r="D2099" s="3" t="s">
        <v>9322</v>
      </c>
      <c r="E2099" s="3" t="s">
        <v>8332</v>
      </c>
      <c r="F2099" s="2" t="s">
        <v>9393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>
        <f t="shared" si="1"/>
        <v>2099</v>
      </c>
      <c r="B2100" s="3" t="s">
        <v>9394</v>
      </c>
      <c r="C2100" s="3" t="s">
        <v>9395</v>
      </c>
      <c r="D2100" s="3" t="s">
        <v>9322</v>
      </c>
      <c r="E2100" s="3" t="s">
        <v>8332</v>
      </c>
      <c r="F2100" s="2" t="s">
        <v>9396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>
        <f t="shared" si="1"/>
        <v>2100</v>
      </c>
      <c r="B2101" s="3" t="s">
        <v>9397</v>
      </c>
      <c r="C2101" s="3" t="s">
        <v>9398</v>
      </c>
      <c r="D2101" s="3" t="s">
        <v>9322</v>
      </c>
      <c r="E2101" s="3" t="s">
        <v>8595</v>
      </c>
      <c r="F2101" s="2" t="s">
        <v>9399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>
        <f t="shared" si="1"/>
        <v>2101</v>
      </c>
      <c r="B2102" s="3" t="s">
        <v>9400</v>
      </c>
      <c r="C2102" s="3" t="s">
        <v>9401</v>
      </c>
      <c r="D2102" s="3" t="s">
        <v>9322</v>
      </c>
      <c r="E2102" s="3" t="s">
        <v>8595</v>
      </c>
      <c r="F2102" s="2" t="s">
        <v>9402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>
        <f t="shared" si="1"/>
        <v>2102</v>
      </c>
      <c r="B2103" s="3" t="s">
        <v>9403</v>
      </c>
      <c r="C2103" s="3" t="s">
        <v>9404</v>
      </c>
      <c r="D2103" s="3" t="s">
        <v>9322</v>
      </c>
      <c r="E2103" s="3" t="s">
        <v>8595</v>
      </c>
      <c r="F2103" s="2" t="s">
        <v>9405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>
        <f t="shared" si="1"/>
        <v>2103</v>
      </c>
      <c r="B2104" s="3" t="s">
        <v>9406</v>
      </c>
      <c r="C2104" s="3" t="s">
        <v>9407</v>
      </c>
      <c r="D2104" s="3" t="s">
        <v>9322</v>
      </c>
      <c r="E2104" s="3" t="s">
        <v>8332</v>
      </c>
      <c r="F2104" s="2" t="s">
        <v>9408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>
        <f t="shared" si="1"/>
        <v>2104</v>
      </c>
      <c r="B2105" s="3" t="s">
        <v>9409</v>
      </c>
      <c r="C2105" s="3" t="s">
        <v>9410</v>
      </c>
      <c r="D2105" s="3" t="s">
        <v>9322</v>
      </c>
      <c r="E2105" s="3" t="s">
        <v>8332</v>
      </c>
      <c r="F2105" s="2" t="s">
        <v>9411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>
        <f t="shared" si="1"/>
        <v>2105</v>
      </c>
      <c r="B2106" s="3" t="s">
        <v>9412</v>
      </c>
      <c r="C2106" s="3" t="s">
        <v>9413</v>
      </c>
      <c r="D2106" s="3" t="s">
        <v>9322</v>
      </c>
      <c r="E2106" s="3" t="s">
        <v>8332</v>
      </c>
      <c r="F2106" s="2" t="s">
        <v>9414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>
        <f t="shared" si="1"/>
        <v>2106</v>
      </c>
      <c r="B2107" s="3" t="s">
        <v>9415</v>
      </c>
      <c r="C2107" s="3" t="s">
        <v>9416</v>
      </c>
      <c r="D2107" s="3" t="s">
        <v>9322</v>
      </c>
      <c r="E2107" s="3" t="s">
        <v>8595</v>
      </c>
      <c r="F2107" s="2" t="s">
        <v>9417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>
        <f t="shared" si="1"/>
        <v>2107</v>
      </c>
      <c r="B2108" s="3" t="s">
        <v>9418</v>
      </c>
      <c r="C2108" s="3" t="s">
        <v>9419</v>
      </c>
      <c r="D2108" s="3" t="s">
        <v>9322</v>
      </c>
      <c r="E2108" s="3" t="s">
        <v>8332</v>
      </c>
      <c r="F2108" s="2" t="s">
        <v>9420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>
        <f t="shared" si="1"/>
        <v>2108</v>
      </c>
      <c r="B2109" s="3" t="s">
        <v>9421</v>
      </c>
      <c r="C2109" s="3" t="s">
        <v>9422</v>
      </c>
      <c r="D2109" s="3" t="s">
        <v>9322</v>
      </c>
      <c r="E2109" s="3" t="s">
        <v>8595</v>
      </c>
      <c r="F2109" s="2" t="s">
        <v>9423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>
        <f t="shared" si="1"/>
        <v>2109</v>
      </c>
      <c r="B2110" s="3" t="s">
        <v>9424</v>
      </c>
      <c r="C2110" s="3" t="s">
        <v>9425</v>
      </c>
      <c r="D2110" s="3" t="s">
        <v>9322</v>
      </c>
      <c r="E2110" s="3" t="s">
        <v>8595</v>
      </c>
      <c r="F2110" s="2" t="s">
        <v>9426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>
        <f t="shared" si="1"/>
        <v>2110</v>
      </c>
      <c r="B2111" s="3" t="s">
        <v>9427</v>
      </c>
      <c r="C2111" s="3" t="s">
        <v>9428</v>
      </c>
      <c r="D2111" s="3" t="s">
        <v>9322</v>
      </c>
      <c r="E2111" s="3" t="s">
        <v>8595</v>
      </c>
      <c r="F2111" s="2" t="s">
        <v>9429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>
        <f t="shared" si="1"/>
        <v>2111</v>
      </c>
      <c r="B2112" s="3" t="s">
        <v>9430</v>
      </c>
      <c r="C2112" s="3" t="s">
        <v>9431</v>
      </c>
      <c r="D2112" s="3" t="s">
        <v>9322</v>
      </c>
      <c r="E2112" s="3" t="s">
        <v>8332</v>
      </c>
      <c r="F2112" s="2" t="s">
        <v>9432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>
        <f t="shared" si="1"/>
        <v>2112</v>
      </c>
      <c r="B2113" s="3" t="s">
        <v>9433</v>
      </c>
      <c r="C2113" s="3" t="s">
        <v>9434</v>
      </c>
      <c r="D2113" s="3" t="s">
        <v>9322</v>
      </c>
      <c r="E2113" s="3" t="s">
        <v>8332</v>
      </c>
      <c r="F2113" s="2" t="s">
        <v>9435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>
        <f t="shared" si="1"/>
        <v>2113</v>
      </c>
      <c r="B2114" s="3" t="s">
        <v>9436</v>
      </c>
      <c r="C2114" s="3" t="s">
        <v>9437</v>
      </c>
      <c r="D2114" s="3" t="s">
        <v>9322</v>
      </c>
      <c r="E2114" s="3" t="s">
        <v>8595</v>
      </c>
      <c r="F2114" s="2" t="s">
        <v>9438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>
        <f t="shared" si="1"/>
        <v>2114</v>
      </c>
      <c r="B2115" s="3" t="s">
        <v>9439</v>
      </c>
      <c r="C2115" s="3" t="s">
        <v>9440</v>
      </c>
      <c r="D2115" s="3" t="s">
        <v>9322</v>
      </c>
      <c r="E2115" s="3" t="s">
        <v>8332</v>
      </c>
      <c r="F2115" s="2" t="s">
        <v>9441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>
        <f t="shared" si="1"/>
        <v>2115</v>
      </c>
      <c r="B2116" s="3" t="s">
        <v>9442</v>
      </c>
      <c r="C2116" s="3" t="s">
        <v>9443</v>
      </c>
      <c r="D2116" s="3" t="s">
        <v>9322</v>
      </c>
      <c r="E2116" s="3" t="s">
        <v>8332</v>
      </c>
      <c r="F2116" s="2" t="s">
        <v>9444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>
        <f t="shared" si="1"/>
        <v>2116</v>
      </c>
      <c r="B2117" s="3" t="s">
        <v>9445</v>
      </c>
      <c r="C2117" s="3" t="s">
        <v>9446</v>
      </c>
      <c r="D2117" s="3" t="s">
        <v>9322</v>
      </c>
      <c r="E2117" s="3" t="s">
        <v>8332</v>
      </c>
      <c r="F2117" s="2" t="s">
        <v>9447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>
        <f t="shared" si="1"/>
        <v>2117</v>
      </c>
      <c r="B2118" s="3" t="s">
        <v>9448</v>
      </c>
      <c r="C2118" s="3" t="s">
        <v>9449</v>
      </c>
      <c r="D2118" s="3" t="s">
        <v>9322</v>
      </c>
      <c r="E2118" s="3" t="s">
        <v>8332</v>
      </c>
      <c r="F2118" s="2" t="s">
        <v>9450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>
        <f t="shared" si="1"/>
        <v>2118</v>
      </c>
      <c r="B2119" s="3" t="s">
        <v>9451</v>
      </c>
      <c r="C2119" s="3" t="s">
        <v>9452</v>
      </c>
      <c r="D2119" s="3" t="s">
        <v>9322</v>
      </c>
      <c r="E2119" s="3" t="s">
        <v>8332</v>
      </c>
      <c r="F2119" s="2" t="s">
        <v>9453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>
        <f t="shared" si="1"/>
        <v>2119</v>
      </c>
      <c r="B2120" s="3" t="s">
        <v>9454</v>
      </c>
      <c r="C2120" s="3" t="s">
        <v>9455</v>
      </c>
      <c r="D2120" s="3" t="s">
        <v>9322</v>
      </c>
      <c r="E2120" s="3" t="s">
        <v>8332</v>
      </c>
      <c r="F2120" s="2" t="s">
        <v>9456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>
        <f t="shared" si="1"/>
        <v>2120</v>
      </c>
      <c r="B2121" s="3" t="s">
        <v>9457</v>
      </c>
      <c r="C2121" s="3" t="s">
        <v>9458</v>
      </c>
      <c r="D2121" s="3" t="s">
        <v>9322</v>
      </c>
      <c r="E2121" s="3" t="s">
        <v>8332</v>
      </c>
      <c r="F2121" s="2" t="s">
        <v>9459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>
        <f t="shared" si="1"/>
        <v>2121</v>
      </c>
      <c r="B2122" s="3" t="s">
        <v>9460</v>
      </c>
      <c r="C2122" s="3" t="s">
        <v>9461</v>
      </c>
      <c r="D2122" s="3" t="s">
        <v>9462</v>
      </c>
      <c r="E2122" s="3" t="s">
        <v>7930</v>
      </c>
      <c r="F2122" s="2" t="s">
        <v>9463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>
        <f t="shared" si="1"/>
        <v>2122</v>
      </c>
      <c r="B2123" s="3" t="s">
        <v>9464</v>
      </c>
      <c r="C2123" s="3" t="s">
        <v>9465</v>
      </c>
      <c r="D2123" s="3" t="s">
        <v>9462</v>
      </c>
      <c r="E2123" s="3" t="s">
        <v>7725</v>
      </c>
      <c r="F2123" s="2" t="s">
        <v>9466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>
        <f t="shared" si="1"/>
        <v>2123</v>
      </c>
      <c r="B2124" s="3" t="s">
        <v>9467</v>
      </c>
      <c r="C2124" s="3" t="s">
        <v>9468</v>
      </c>
      <c r="D2124" s="3" t="s">
        <v>9462</v>
      </c>
      <c r="E2124" s="3" t="s">
        <v>7903</v>
      </c>
      <c r="F2124" s="2" t="s">
        <v>9469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>
        <f t="shared" si="1"/>
        <v>2124</v>
      </c>
      <c r="B2125" s="3" t="s">
        <v>9470</v>
      </c>
      <c r="C2125" s="3" t="s">
        <v>9471</v>
      </c>
      <c r="D2125" s="3" t="s">
        <v>9462</v>
      </c>
      <c r="E2125" s="3" t="s">
        <v>7930</v>
      </c>
      <c r="F2125" s="2" t="s">
        <v>9472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>
        <f t="shared" si="1"/>
        <v>2125</v>
      </c>
      <c r="B2126" s="3" t="s">
        <v>9473</v>
      </c>
      <c r="C2126" s="3" t="s">
        <v>9474</v>
      </c>
      <c r="D2126" s="3" t="s">
        <v>9462</v>
      </c>
      <c r="E2126" s="3" t="s">
        <v>7903</v>
      </c>
      <c r="F2126" s="2" t="s">
        <v>9475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>
        <f t="shared" si="1"/>
        <v>2126</v>
      </c>
      <c r="B2127" s="3" t="s">
        <v>9476</v>
      </c>
      <c r="C2127" s="3" t="s">
        <v>9477</v>
      </c>
      <c r="D2127" s="3" t="s">
        <v>9462</v>
      </c>
      <c r="E2127" s="3" t="s">
        <v>7930</v>
      </c>
      <c r="F2127" s="2" t="s">
        <v>9478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>
        <f t="shared" si="1"/>
        <v>2127</v>
      </c>
      <c r="B2128" s="3" t="s">
        <v>9479</v>
      </c>
      <c r="C2128" s="3" t="s">
        <v>9480</v>
      </c>
      <c r="D2128" s="3" t="s">
        <v>9462</v>
      </c>
      <c r="E2128" s="3" t="s">
        <v>7930</v>
      </c>
      <c r="F2128" s="2" t="s">
        <v>9481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>
        <f t="shared" si="1"/>
        <v>2128</v>
      </c>
      <c r="B2129" s="3" t="s">
        <v>9482</v>
      </c>
      <c r="C2129" s="3" t="s">
        <v>9483</v>
      </c>
      <c r="D2129" s="3" t="s">
        <v>9462</v>
      </c>
      <c r="E2129" s="3" t="s">
        <v>7725</v>
      </c>
      <c r="F2129" s="2" t="s">
        <v>9484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>
        <f t="shared" si="1"/>
        <v>2129</v>
      </c>
      <c r="B2130" s="3" t="s">
        <v>9485</v>
      </c>
      <c r="C2130" s="3" t="s">
        <v>9486</v>
      </c>
      <c r="D2130" s="3" t="s">
        <v>9462</v>
      </c>
      <c r="E2130" s="3" t="s">
        <v>7903</v>
      </c>
      <c r="F2130" s="2" t="s">
        <v>9487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>
        <f t="shared" si="1"/>
        <v>2130</v>
      </c>
      <c r="B2131" s="3" t="s">
        <v>9488</v>
      </c>
      <c r="C2131" s="3" t="s">
        <v>9489</v>
      </c>
      <c r="D2131" s="3" t="s">
        <v>9462</v>
      </c>
      <c r="E2131" s="3" t="s">
        <v>8729</v>
      </c>
      <c r="F2131" s="2" t="s">
        <v>9490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>
        <f t="shared" si="1"/>
        <v>2131</v>
      </c>
      <c r="B2132" s="3" t="s">
        <v>9491</v>
      </c>
      <c r="C2132" s="3" t="s">
        <v>9492</v>
      </c>
      <c r="D2132" s="3" t="s">
        <v>9462</v>
      </c>
      <c r="E2132" s="3" t="s">
        <v>7903</v>
      </c>
      <c r="F2132" s="2" t="s">
        <v>9493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>
        <f t="shared" si="1"/>
        <v>2132</v>
      </c>
      <c r="B2133" s="3" t="s">
        <v>9494</v>
      </c>
      <c r="C2133" s="3" t="s">
        <v>9495</v>
      </c>
      <c r="D2133" s="3" t="s">
        <v>9462</v>
      </c>
      <c r="E2133" s="3" t="s">
        <v>7930</v>
      </c>
      <c r="F2133" s="2" t="s">
        <v>9496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>
        <f t="shared" si="1"/>
        <v>2133</v>
      </c>
      <c r="B2134" s="3" t="s">
        <v>9497</v>
      </c>
      <c r="C2134" s="3" t="s">
        <v>9498</v>
      </c>
      <c r="D2134" s="3" t="s">
        <v>9462</v>
      </c>
      <c r="E2134" s="3" t="s">
        <v>7903</v>
      </c>
      <c r="F2134" s="2" t="s">
        <v>9499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>
        <f t="shared" si="1"/>
        <v>2134</v>
      </c>
      <c r="B2135" s="3" t="s">
        <v>9500</v>
      </c>
      <c r="C2135" s="3" t="s">
        <v>9501</v>
      </c>
      <c r="D2135" s="3" t="s">
        <v>9462</v>
      </c>
      <c r="E2135" s="3" t="s">
        <v>7903</v>
      </c>
      <c r="F2135" s="2" t="s">
        <v>9502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>
        <f t="shared" si="1"/>
        <v>2135</v>
      </c>
      <c r="B2136" s="3" t="s">
        <v>9503</v>
      </c>
      <c r="C2136" s="3" t="s">
        <v>9504</v>
      </c>
      <c r="D2136" s="3" t="s">
        <v>9462</v>
      </c>
      <c r="E2136" s="3" t="s">
        <v>7930</v>
      </c>
      <c r="F2136" s="2" t="s">
        <v>9505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>
        <f t="shared" si="1"/>
        <v>2136</v>
      </c>
      <c r="B2137" s="3" t="s">
        <v>9506</v>
      </c>
      <c r="C2137" s="3" t="s">
        <v>9507</v>
      </c>
      <c r="D2137" s="3" t="s">
        <v>9462</v>
      </c>
      <c r="E2137" s="3" t="s">
        <v>7930</v>
      </c>
      <c r="F2137" s="2" t="s">
        <v>9508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>
        <f t="shared" si="1"/>
        <v>2137</v>
      </c>
      <c r="B2138" s="3" t="s">
        <v>9509</v>
      </c>
      <c r="C2138" s="3" t="s">
        <v>9510</v>
      </c>
      <c r="D2138" s="3" t="s">
        <v>9462</v>
      </c>
      <c r="E2138" s="3" t="s">
        <v>7903</v>
      </c>
      <c r="F2138" s="2" t="s">
        <v>9511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>
        <f t="shared" si="1"/>
        <v>2138</v>
      </c>
      <c r="B2139" s="3" t="s">
        <v>9512</v>
      </c>
      <c r="C2139" s="3" t="s">
        <v>9513</v>
      </c>
      <c r="D2139" s="3" t="s">
        <v>9462</v>
      </c>
      <c r="E2139" s="3" t="s">
        <v>7930</v>
      </c>
      <c r="F2139" s="2" t="s">
        <v>9514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>
        <f t="shared" si="1"/>
        <v>2139</v>
      </c>
      <c r="B2140" s="3" t="s">
        <v>9515</v>
      </c>
      <c r="C2140" s="3" t="s">
        <v>9516</v>
      </c>
      <c r="D2140" s="3" t="s">
        <v>9462</v>
      </c>
      <c r="E2140" s="3" t="s">
        <v>7930</v>
      </c>
      <c r="F2140" s="2" t="s">
        <v>9517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>
        <f t="shared" si="1"/>
        <v>2140</v>
      </c>
      <c r="B2141" s="3" t="s">
        <v>9518</v>
      </c>
      <c r="C2141" s="3" t="s">
        <v>9519</v>
      </c>
      <c r="D2141" s="3" t="s">
        <v>9462</v>
      </c>
      <c r="E2141" s="3" t="s">
        <v>7930</v>
      </c>
      <c r="F2141" s="2" t="s">
        <v>9520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>
        <f t="shared" si="1"/>
        <v>2141</v>
      </c>
      <c r="B2142" s="3" t="s">
        <v>9521</v>
      </c>
      <c r="C2142" s="3" t="s">
        <v>9522</v>
      </c>
      <c r="D2142" s="3" t="s">
        <v>9462</v>
      </c>
      <c r="E2142" s="3" t="s">
        <v>7725</v>
      </c>
      <c r="F2142" s="2" t="s">
        <v>9523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>
        <f t="shared" si="1"/>
        <v>2142</v>
      </c>
      <c r="B2143" s="3" t="s">
        <v>9524</v>
      </c>
      <c r="C2143" s="3" t="s">
        <v>9525</v>
      </c>
      <c r="D2143" s="3" t="s">
        <v>9462</v>
      </c>
      <c r="E2143" s="3" t="s">
        <v>7903</v>
      </c>
      <c r="F2143" s="2" t="s">
        <v>9526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>
        <f t="shared" si="1"/>
        <v>2143</v>
      </c>
      <c r="B2144" s="3" t="s">
        <v>9527</v>
      </c>
      <c r="C2144" s="3" t="s">
        <v>9528</v>
      </c>
      <c r="D2144" s="3" t="s">
        <v>9462</v>
      </c>
      <c r="E2144" s="3" t="s">
        <v>7903</v>
      </c>
      <c r="F2144" s="2" t="s">
        <v>9529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>
        <f t="shared" si="1"/>
        <v>2144</v>
      </c>
      <c r="B2145" s="3" t="s">
        <v>9530</v>
      </c>
      <c r="C2145" s="3" t="s">
        <v>9531</v>
      </c>
      <c r="D2145" s="3" t="s">
        <v>9462</v>
      </c>
      <c r="E2145" s="3" t="s">
        <v>7930</v>
      </c>
      <c r="F2145" s="2" t="s">
        <v>9532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>
        <f t="shared" si="1"/>
        <v>2145</v>
      </c>
      <c r="B2146" s="3" t="s">
        <v>9533</v>
      </c>
      <c r="C2146" s="3" t="s">
        <v>9534</v>
      </c>
      <c r="D2146" s="3" t="s">
        <v>9462</v>
      </c>
      <c r="E2146" s="3" t="s">
        <v>7903</v>
      </c>
      <c r="F2146" s="2" t="s">
        <v>9535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>
        <f t="shared" si="1"/>
        <v>2146</v>
      </c>
      <c r="B2147" s="3" t="s">
        <v>9536</v>
      </c>
      <c r="C2147" s="3" t="s">
        <v>9537</v>
      </c>
      <c r="D2147" s="3" t="s">
        <v>9462</v>
      </c>
      <c r="E2147" s="3" t="s">
        <v>7930</v>
      </c>
      <c r="F2147" s="2" t="s">
        <v>9538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>
        <f t="shared" si="1"/>
        <v>2147</v>
      </c>
      <c r="B2148" s="3" t="s">
        <v>9539</v>
      </c>
      <c r="C2148" s="3" t="s">
        <v>9540</v>
      </c>
      <c r="D2148" s="3" t="s">
        <v>9462</v>
      </c>
      <c r="E2148" s="3" t="s">
        <v>7903</v>
      </c>
      <c r="F2148" s="2" t="s">
        <v>9541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>
        <f t="shared" si="1"/>
        <v>2148</v>
      </c>
      <c r="B2149" s="3" t="s">
        <v>9542</v>
      </c>
      <c r="C2149" s="3" t="s">
        <v>9543</v>
      </c>
      <c r="D2149" s="3" t="s">
        <v>9462</v>
      </c>
      <c r="E2149" s="3" t="s">
        <v>7903</v>
      </c>
      <c r="F2149" s="2" t="s">
        <v>9544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>
        <f t="shared" si="1"/>
        <v>2149</v>
      </c>
      <c r="B2150" s="3" t="s">
        <v>9545</v>
      </c>
      <c r="C2150" s="3" t="s">
        <v>9546</v>
      </c>
      <c r="D2150" s="3" t="s">
        <v>9462</v>
      </c>
      <c r="E2150" s="3" t="s">
        <v>7930</v>
      </c>
      <c r="F2150" s="2" t="s">
        <v>9547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>
        <f t="shared" si="1"/>
        <v>2150</v>
      </c>
      <c r="B2151" s="3" t="s">
        <v>9548</v>
      </c>
      <c r="C2151" s="3" t="s">
        <v>9549</v>
      </c>
      <c r="D2151" s="3" t="s">
        <v>9462</v>
      </c>
      <c r="E2151" s="3" t="s">
        <v>7903</v>
      </c>
      <c r="F2151" s="2" t="s">
        <v>9550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>
        <f t="shared" si="1"/>
        <v>2151</v>
      </c>
      <c r="B2152" s="3" t="s">
        <v>9551</v>
      </c>
      <c r="C2152" s="3" t="s">
        <v>9552</v>
      </c>
      <c r="D2152" s="3" t="s">
        <v>9462</v>
      </c>
      <c r="E2152" s="3" t="s">
        <v>7903</v>
      </c>
      <c r="F2152" s="2" t="s">
        <v>9553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>
        <f t="shared" si="1"/>
        <v>2152</v>
      </c>
      <c r="B2153" s="3" t="s">
        <v>9554</v>
      </c>
      <c r="C2153" s="3" t="s">
        <v>9555</v>
      </c>
      <c r="D2153" s="3" t="s">
        <v>9462</v>
      </c>
      <c r="E2153" s="3" t="s">
        <v>7930</v>
      </c>
      <c r="F2153" s="2" t="s">
        <v>9556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>
        <f t="shared" si="1"/>
        <v>2153</v>
      </c>
      <c r="B2154" s="3" t="s">
        <v>9557</v>
      </c>
      <c r="C2154" s="3" t="s">
        <v>9558</v>
      </c>
      <c r="D2154" s="3" t="s">
        <v>9462</v>
      </c>
      <c r="E2154" s="3" t="s">
        <v>7930</v>
      </c>
      <c r="F2154" s="2" t="s">
        <v>9559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>
        <f t="shared" si="1"/>
        <v>2154</v>
      </c>
      <c r="B2155" s="3" t="s">
        <v>9560</v>
      </c>
      <c r="C2155" s="3" t="s">
        <v>9561</v>
      </c>
      <c r="D2155" s="3" t="s">
        <v>9462</v>
      </c>
      <c r="E2155" s="3" t="s">
        <v>7930</v>
      </c>
      <c r="F2155" s="2" t="s">
        <v>9562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>
        <f t="shared" si="1"/>
        <v>2155</v>
      </c>
      <c r="B2156" s="3" t="s">
        <v>9563</v>
      </c>
      <c r="C2156" s="3" t="s">
        <v>9564</v>
      </c>
      <c r="D2156" s="3" t="s">
        <v>9462</v>
      </c>
      <c r="E2156" s="3" t="s">
        <v>7903</v>
      </c>
      <c r="F2156" s="2" t="s">
        <v>9565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>
        <f t="shared" si="1"/>
        <v>2156</v>
      </c>
      <c r="B2157" s="3" t="s">
        <v>9566</v>
      </c>
      <c r="C2157" s="3" t="s">
        <v>9567</v>
      </c>
      <c r="D2157" s="3" t="s">
        <v>9462</v>
      </c>
      <c r="E2157" s="3" t="s">
        <v>7930</v>
      </c>
      <c r="F2157" s="2" t="s">
        <v>9568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>
        <f t="shared" si="1"/>
        <v>2157</v>
      </c>
      <c r="B2158" s="3" t="s">
        <v>9569</v>
      </c>
      <c r="C2158" s="3" t="s">
        <v>9570</v>
      </c>
      <c r="D2158" s="3" t="s">
        <v>9462</v>
      </c>
      <c r="E2158" s="3" t="s">
        <v>7930</v>
      </c>
      <c r="F2158" s="2" t="s">
        <v>9571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>
        <f t="shared" si="1"/>
        <v>2158</v>
      </c>
      <c r="B2159" s="3" t="s">
        <v>9572</v>
      </c>
      <c r="C2159" s="3" t="s">
        <v>9573</v>
      </c>
      <c r="D2159" s="3" t="s">
        <v>9462</v>
      </c>
      <c r="E2159" s="3" t="s">
        <v>8729</v>
      </c>
      <c r="F2159" s="2" t="s">
        <v>9574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>
        <f t="shared" si="1"/>
        <v>2159</v>
      </c>
      <c r="B2160" s="3" t="s">
        <v>9575</v>
      </c>
      <c r="C2160" s="3" t="s">
        <v>9576</v>
      </c>
      <c r="D2160" s="3" t="s">
        <v>9462</v>
      </c>
      <c r="E2160" s="3" t="s">
        <v>7903</v>
      </c>
      <c r="F2160" s="2" t="s">
        <v>9577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>
        <f t="shared" si="1"/>
        <v>2160</v>
      </c>
      <c r="B2161" s="3" t="s">
        <v>9578</v>
      </c>
      <c r="C2161" s="3" t="s">
        <v>9579</v>
      </c>
      <c r="D2161" s="3" t="s">
        <v>9462</v>
      </c>
      <c r="E2161" s="3" t="s">
        <v>7725</v>
      </c>
      <c r="F2161" s="2" t="s">
        <v>9580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>
        <f t="shared" si="1"/>
        <v>2161</v>
      </c>
      <c r="B2162" s="3" t="s">
        <v>9581</v>
      </c>
      <c r="C2162" s="3" t="s">
        <v>9582</v>
      </c>
      <c r="D2162" s="3" t="s">
        <v>9462</v>
      </c>
      <c r="E2162" s="3" t="s">
        <v>7903</v>
      </c>
      <c r="F2162" s="2" t="s">
        <v>9583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>
        <f t="shared" si="1"/>
        <v>2162</v>
      </c>
      <c r="B2163" s="3" t="s">
        <v>9584</v>
      </c>
      <c r="C2163" s="3" t="s">
        <v>9585</v>
      </c>
      <c r="D2163" s="3" t="s">
        <v>9462</v>
      </c>
      <c r="E2163" s="3" t="s">
        <v>8729</v>
      </c>
      <c r="F2163" s="2" t="s">
        <v>9586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>
        <f t="shared" si="1"/>
        <v>2163</v>
      </c>
      <c r="B2164" s="3" t="s">
        <v>9587</v>
      </c>
      <c r="C2164" s="3" t="s">
        <v>9588</v>
      </c>
      <c r="D2164" s="3" t="s">
        <v>9589</v>
      </c>
      <c r="E2164" s="3" t="s">
        <v>9590</v>
      </c>
      <c r="F2164" s="2" t="s">
        <v>9591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>
        <f t="shared" si="1"/>
        <v>2164</v>
      </c>
      <c r="B2165" s="3" t="s">
        <v>9592</v>
      </c>
      <c r="C2165" s="3" t="s">
        <v>9593</v>
      </c>
      <c r="D2165" s="3" t="s">
        <v>9589</v>
      </c>
      <c r="E2165" s="3" t="s">
        <v>9590</v>
      </c>
      <c r="F2165" s="2" t="s">
        <v>9594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>
        <f t="shared" si="1"/>
        <v>2165</v>
      </c>
      <c r="B2166" s="3" t="s">
        <v>9595</v>
      </c>
      <c r="C2166" s="3" t="s">
        <v>9596</v>
      </c>
      <c r="D2166" s="3" t="s">
        <v>9589</v>
      </c>
      <c r="E2166" s="3" t="s">
        <v>9590</v>
      </c>
      <c r="F2166" s="2" t="s">
        <v>9597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>
        <f t="shared" si="1"/>
        <v>2166</v>
      </c>
      <c r="B2167" s="3" t="s">
        <v>9598</v>
      </c>
      <c r="C2167" s="3" t="s">
        <v>9599</v>
      </c>
      <c r="D2167" s="3" t="s">
        <v>9589</v>
      </c>
      <c r="E2167" s="3" t="s">
        <v>9590</v>
      </c>
      <c r="F2167" s="2" t="s">
        <v>9600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>
        <f t="shared" si="1"/>
        <v>2167</v>
      </c>
      <c r="B2168" s="3" t="s">
        <v>9601</v>
      </c>
      <c r="C2168" s="3" t="s">
        <v>9602</v>
      </c>
      <c r="D2168" s="3" t="s">
        <v>9589</v>
      </c>
      <c r="E2168" s="3" t="s">
        <v>9590</v>
      </c>
      <c r="F2168" s="2" t="s">
        <v>9603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>
        <f t="shared" si="1"/>
        <v>2168</v>
      </c>
      <c r="B2169" s="3" t="s">
        <v>9604</v>
      </c>
      <c r="C2169" s="3" t="s">
        <v>9605</v>
      </c>
      <c r="D2169" s="3" t="s">
        <v>9589</v>
      </c>
      <c r="E2169" s="3" t="s">
        <v>9590</v>
      </c>
      <c r="F2169" s="2" t="s">
        <v>9606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>
        <f t="shared" si="1"/>
        <v>2169</v>
      </c>
      <c r="B2170" s="3" t="s">
        <v>9607</v>
      </c>
      <c r="C2170" s="3" t="s">
        <v>9608</v>
      </c>
      <c r="D2170" s="3" t="s">
        <v>9589</v>
      </c>
      <c r="E2170" s="3" t="s">
        <v>9590</v>
      </c>
      <c r="F2170" s="2" t="s">
        <v>9609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>
        <f t="shared" si="1"/>
        <v>2170</v>
      </c>
      <c r="B2171" s="3" t="s">
        <v>9610</v>
      </c>
      <c r="C2171" s="3" t="s">
        <v>9611</v>
      </c>
      <c r="D2171" s="3" t="s">
        <v>9589</v>
      </c>
      <c r="E2171" s="3" t="s">
        <v>9590</v>
      </c>
      <c r="F2171" s="2" t="s">
        <v>9612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>
        <f t="shared" si="1"/>
        <v>2171</v>
      </c>
      <c r="B2172" s="3" t="s">
        <v>9613</v>
      </c>
      <c r="C2172" s="3" t="s">
        <v>9614</v>
      </c>
      <c r="D2172" s="3" t="s">
        <v>9589</v>
      </c>
      <c r="E2172" s="3" t="s">
        <v>9590</v>
      </c>
      <c r="F2172" s="2" t="s">
        <v>9615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>
        <f t="shared" si="1"/>
        <v>2172</v>
      </c>
      <c r="B2173" s="3" t="s">
        <v>9616</v>
      </c>
      <c r="C2173" s="3" t="s">
        <v>9617</v>
      </c>
      <c r="D2173" s="3" t="s">
        <v>9589</v>
      </c>
      <c r="E2173" s="3" t="s">
        <v>7926</v>
      </c>
      <c r="F2173" s="2" t="s">
        <v>9618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>
        <f t="shared" si="1"/>
        <v>2173</v>
      </c>
      <c r="B2174" s="3" t="s">
        <v>9619</v>
      </c>
      <c r="C2174" s="3" t="s">
        <v>9620</v>
      </c>
      <c r="D2174" s="3" t="s">
        <v>9589</v>
      </c>
      <c r="E2174" s="3" t="s">
        <v>9590</v>
      </c>
      <c r="F2174" s="2" t="s">
        <v>9621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>
        <f t="shared" si="1"/>
        <v>2174</v>
      </c>
      <c r="B2175" s="3" t="s">
        <v>9622</v>
      </c>
      <c r="C2175" s="3" t="s">
        <v>9623</v>
      </c>
      <c r="D2175" s="3" t="s">
        <v>9589</v>
      </c>
      <c r="E2175" s="3" t="s">
        <v>9590</v>
      </c>
      <c r="F2175" s="2" t="s">
        <v>9624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>
        <f t="shared" si="1"/>
        <v>2175</v>
      </c>
      <c r="B2176" s="3" t="s">
        <v>9625</v>
      </c>
      <c r="C2176" s="3" t="s">
        <v>9626</v>
      </c>
      <c r="D2176" s="3" t="s">
        <v>9589</v>
      </c>
      <c r="E2176" s="3" t="s">
        <v>9590</v>
      </c>
      <c r="F2176" s="2" t="s">
        <v>9627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>
        <f t="shared" si="1"/>
        <v>2176</v>
      </c>
      <c r="B2177" s="3" t="s">
        <v>9628</v>
      </c>
      <c r="C2177" s="3" t="s">
        <v>9629</v>
      </c>
      <c r="D2177" s="3" t="s">
        <v>9630</v>
      </c>
      <c r="E2177" s="3" t="s">
        <v>8563</v>
      </c>
      <c r="F2177" s="2" t="s">
        <v>9631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>
        <f t="shared" si="1"/>
        <v>2177</v>
      </c>
      <c r="B2178" s="3" t="s">
        <v>9632</v>
      </c>
      <c r="C2178" s="3" t="s">
        <v>9633</v>
      </c>
      <c r="D2178" s="3" t="s">
        <v>9630</v>
      </c>
      <c r="E2178" s="3" t="s">
        <v>8563</v>
      </c>
      <c r="F2178" s="2" t="s">
        <v>9634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>
        <f t="shared" si="1"/>
        <v>2178</v>
      </c>
      <c r="B2179" s="3" t="s">
        <v>9635</v>
      </c>
      <c r="C2179" s="3" t="s">
        <v>9636</v>
      </c>
      <c r="D2179" s="3" t="s">
        <v>9630</v>
      </c>
      <c r="E2179" s="3" t="s">
        <v>8595</v>
      </c>
      <c r="F2179" s="2" t="s">
        <v>9637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>
        <f t="shared" si="1"/>
        <v>2179</v>
      </c>
      <c r="B2180" s="3" t="s">
        <v>9638</v>
      </c>
      <c r="C2180" s="3" t="s">
        <v>9639</v>
      </c>
      <c r="D2180" s="3" t="s">
        <v>9630</v>
      </c>
      <c r="E2180" s="3" t="s">
        <v>8563</v>
      </c>
      <c r="F2180" s="2" t="s">
        <v>9640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>
        <f t="shared" si="1"/>
        <v>2180</v>
      </c>
      <c r="B2181" s="3" t="s">
        <v>9641</v>
      </c>
      <c r="C2181" s="3" t="s">
        <v>9642</v>
      </c>
      <c r="D2181" s="3" t="s">
        <v>9630</v>
      </c>
      <c r="E2181" s="3" t="s">
        <v>7506</v>
      </c>
      <c r="F2181" s="2" t="s">
        <v>9643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>
        <f t="shared" si="1"/>
        <v>2181</v>
      </c>
      <c r="B2182" s="3" t="s">
        <v>9644</v>
      </c>
      <c r="C2182" s="3" t="s">
        <v>9645</v>
      </c>
      <c r="D2182" s="3" t="s">
        <v>9630</v>
      </c>
      <c r="E2182" s="3" t="s">
        <v>8563</v>
      </c>
      <c r="F2182" s="2" t="s">
        <v>9646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>
        <f t="shared" si="1"/>
        <v>2182</v>
      </c>
      <c r="B2183" s="3" t="s">
        <v>9647</v>
      </c>
      <c r="C2183" s="3" t="s">
        <v>9648</v>
      </c>
      <c r="D2183" s="3" t="s">
        <v>9630</v>
      </c>
      <c r="E2183" s="3" t="s">
        <v>7506</v>
      </c>
      <c r="F2183" s="2" t="s">
        <v>9649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>
        <f t="shared" si="1"/>
        <v>2183</v>
      </c>
      <c r="B2184" s="3" t="s">
        <v>9650</v>
      </c>
      <c r="C2184" s="3" t="s">
        <v>9651</v>
      </c>
      <c r="D2184" s="3" t="s">
        <v>9630</v>
      </c>
      <c r="E2184" s="3" t="s">
        <v>8563</v>
      </c>
      <c r="F2184" s="2" t="s">
        <v>9652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>
        <f t="shared" si="1"/>
        <v>2184</v>
      </c>
      <c r="B2185" s="3" t="s">
        <v>9653</v>
      </c>
      <c r="C2185" s="3" t="s">
        <v>9654</v>
      </c>
      <c r="D2185" s="3" t="s">
        <v>9630</v>
      </c>
      <c r="E2185" s="3" t="s">
        <v>7506</v>
      </c>
      <c r="F2185" s="2" t="s">
        <v>9655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>
        <f t="shared" si="1"/>
        <v>2185</v>
      </c>
      <c r="B2186" s="3" t="s">
        <v>9656</v>
      </c>
      <c r="C2186" s="3" t="s">
        <v>9657</v>
      </c>
      <c r="D2186" s="3" t="s">
        <v>9630</v>
      </c>
      <c r="E2186" s="3" t="s">
        <v>8563</v>
      </c>
      <c r="F2186" s="2" t="s">
        <v>9658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>
        <f t="shared" si="1"/>
        <v>2186</v>
      </c>
      <c r="B2187" s="3" t="s">
        <v>9659</v>
      </c>
      <c r="C2187" s="3" t="s">
        <v>9660</v>
      </c>
      <c r="D2187" s="3" t="s">
        <v>9630</v>
      </c>
      <c r="E2187" s="3" t="s">
        <v>9661</v>
      </c>
      <c r="F2187" s="2" t="s">
        <v>9662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>
        <f t="shared" si="1"/>
        <v>2187</v>
      </c>
      <c r="B2188" s="3" t="s">
        <v>9663</v>
      </c>
      <c r="C2188" s="3" t="s">
        <v>9664</v>
      </c>
      <c r="D2188" s="3" t="s">
        <v>9630</v>
      </c>
      <c r="E2188" s="3" t="s">
        <v>7506</v>
      </c>
      <c r="F2188" s="2" t="s">
        <v>9665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>
        <f t="shared" si="1"/>
        <v>2188</v>
      </c>
      <c r="B2189" s="3" t="s">
        <v>9666</v>
      </c>
      <c r="C2189" s="3" t="s">
        <v>9667</v>
      </c>
      <c r="D2189" s="3" t="s">
        <v>9630</v>
      </c>
      <c r="E2189" s="3" t="s">
        <v>9661</v>
      </c>
      <c r="F2189" s="2" t="s">
        <v>9668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>
        <f t="shared" si="1"/>
        <v>2189</v>
      </c>
      <c r="B2190" s="3" t="s">
        <v>9669</v>
      </c>
      <c r="C2190" s="3" t="s">
        <v>9670</v>
      </c>
      <c r="D2190" s="3" t="s">
        <v>9630</v>
      </c>
      <c r="E2190" s="3" t="s">
        <v>7506</v>
      </c>
      <c r="F2190" s="2" t="s">
        <v>9671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>
        <f t="shared" si="1"/>
        <v>2190</v>
      </c>
      <c r="B2191" s="3" t="s">
        <v>9672</v>
      </c>
      <c r="C2191" s="3" t="s">
        <v>9673</v>
      </c>
      <c r="D2191" s="3" t="s">
        <v>9630</v>
      </c>
      <c r="E2191" s="3" t="s">
        <v>9661</v>
      </c>
      <c r="F2191" s="2" t="s">
        <v>9674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>
        <f t="shared" si="1"/>
        <v>2191</v>
      </c>
      <c r="B2192" s="3" t="s">
        <v>9675</v>
      </c>
      <c r="C2192" s="3" t="s">
        <v>9676</v>
      </c>
      <c r="D2192" s="3" t="s">
        <v>9630</v>
      </c>
      <c r="E2192" s="3" t="s">
        <v>7506</v>
      </c>
      <c r="F2192" s="2" t="s">
        <v>9677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>
        <f t="shared" si="1"/>
        <v>2192</v>
      </c>
      <c r="B2193" s="3" t="s">
        <v>9678</v>
      </c>
      <c r="C2193" s="3" t="s">
        <v>9679</v>
      </c>
      <c r="D2193" s="3" t="s">
        <v>9630</v>
      </c>
      <c r="E2193" s="3" t="s">
        <v>9661</v>
      </c>
      <c r="F2193" s="2" t="s">
        <v>9680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>
        <f t="shared" si="1"/>
        <v>2193</v>
      </c>
      <c r="B2194" s="3" t="s">
        <v>9681</v>
      </c>
      <c r="C2194" s="3" t="s">
        <v>9682</v>
      </c>
      <c r="D2194" s="3" t="s">
        <v>9630</v>
      </c>
      <c r="E2194" s="3" t="s">
        <v>8563</v>
      </c>
      <c r="F2194" s="2" t="s">
        <v>9683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>
        <f t="shared" si="1"/>
        <v>2194</v>
      </c>
      <c r="B2195" s="3" t="s">
        <v>9684</v>
      </c>
      <c r="C2195" s="3" t="s">
        <v>9685</v>
      </c>
      <c r="D2195" s="3" t="s">
        <v>9630</v>
      </c>
      <c r="E2195" s="3" t="s">
        <v>9661</v>
      </c>
      <c r="F2195" s="2" t="s">
        <v>9686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>
        <f t="shared" si="1"/>
        <v>2195</v>
      </c>
      <c r="B2196" s="3" t="s">
        <v>9687</v>
      </c>
      <c r="C2196" s="3" t="s">
        <v>9688</v>
      </c>
      <c r="D2196" s="3" t="s">
        <v>9630</v>
      </c>
      <c r="E2196" s="3" t="s">
        <v>8595</v>
      </c>
      <c r="F2196" s="2" t="s">
        <v>9689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>
        <f t="shared" si="1"/>
        <v>2196</v>
      </c>
      <c r="B2197" s="3" t="s">
        <v>9690</v>
      </c>
      <c r="C2197" s="3" t="s">
        <v>9691</v>
      </c>
      <c r="D2197" s="3" t="s">
        <v>9630</v>
      </c>
      <c r="E2197" s="3" t="s">
        <v>8595</v>
      </c>
      <c r="F2197" s="2" t="s">
        <v>9692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>
        <f t="shared" si="1"/>
        <v>2197</v>
      </c>
      <c r="B2198" s="3" t="s">
        <v>9693</v>
      </c>
      <c r="C2198" s="3" t="s">
        <v>9694</v>
      </c>
      <c r="D2198" s="3" t="s">
        <v>9630</v>
      </c>
      <c r="E2198" s="3" t="s">
        <v>8563</v>
      </c>
      <c r="F2198" s="2" t="s">
        <v>9695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>
        <f t="shared" si="1"/>
        <v>2198</v>
      </c>
      <c r="B2199" s="3" t="s">
        <v>9696</v>
      </c>
      <c r="C2199" s="3" t="s">
        <v>9697</v>
      </c>
      <c r="D2199" s="3" t="s">
        <v>9630</v>
      </c>
      <c r="E2199" s="3" t="s">
        <v>8563</v>
      </c>
      <c r="F2199" s="2" t="s">
        <v>9698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>
        <f t="shared" si="1"/>
        <v>2199</v>
      </c>
      <c r="B2200" s="3" t="s">
        <v>9699</v>
      </c>
      <c r="C2200" s="3" t="s">
        <v>9700</v>
      </c>
      <c r="D2200" s="3" t="s">
        <v>9630</v>
      </c>
      <c r="E2200" s="3" t="s">
        <v>7506</v>
      </c>
      <c r="F2200" s="2" t="s">
        <v>9701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>
        <f t="shared" si="1"/>
        <v>2200</v>
      </c>
      <c r="B2201" s="3" t="s">
        <v>9702</v>
      </c>
      <c r="C2201" s="3" t="s">
        <v>9703</v>
      </c>
      <c r="D2201" s="3" t="s">
        <v>9630</v>
      </c>
      <c r="E2201" s="3" t="s">
        <v>8563</v>
      </c>
      <c r="F2201" s="2" t="s">
        <v>9704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>
        <f t="shared" si="1"/>
        <v>2201</v>
      </c>
      <c r="B2202" s="3" t="s">
        <v>9705</v>
      </c>
      <c r="C2202" s="3" t="s">
        <v>9706</v>
      </c>
      <c r="D2202" s="3" t="s">
        <v>9630</v>
      </c>
      <c r="E2202" s="3" t="s">
        <v>8563</v>
      </c>
      <c r="F2202" s="2" t="s">
        <v>9707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>
        <f t="shared" si="1"/>
        <v>2202</v>
      </c>
      <c r="B2203" s="3" t="s">
        <v>9708</v>
      </c>
      <c r="C2203" s="3" t="s">
        <v>9709</v>
      </c>
      <c r="D2203" s="3" t="s">
        <v>9630</v>
      </c>
      <c r="E2203" s="3" t="s">
        <v>9661</v>
      </c>
      <c r="F2203" s="2" t="s">
        <v>9710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>
        <f t="shared" si="1"/>
        <v>2203</v>
      </c>
      <c r="B2204" s="3" t="s">
        <v>9711</v>
      </c>
      <c r="C2204" s="3" t="s">
        <v>9712</v>
      </c>
      <c r="D2204" s="3" t="s">
        <v>9630</v>
      </c>
      <c r="E2204" s="3" t="s">
        <v>8563</v>
      </c>
      <c r="F2204" s="2" t="s">
        <v>9713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>
        <f t="shared" si="1"/>
        <v>2204</v>
      </c>
      <c r="B2205" s="3" t="s">
        <v>9714</v>
      </c>
      <c r="C2205" s="3" t="s">
        <v>9715</v>
      </c>
      <c r="D2205" s="3" t="s">
        <v>9630</v>
      </c>
      <c r="E2205" s="3" t="s">
        <v>8563</v>
      </c>
      <c r="F2205" s="2" t="s">
        <v>9716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>
        <f t="shared" si="1"/>
        <v>2205</v>
      </c>
      <c r="B2206" s="3" t="s">
        <v>9717</v>
      </c>
      <c r="C2206" s="3" t="s">
        <v>9718</v>
      </c>
      <c r="D2206" s="3" t="s">
        <v>9630</v>
      </c>
      <c r="E2206" s="3" t="s">
        <v>8563</v>
      </c>
      <c r="F2206" s="2" t="s">
        <v>9719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>
        <f t="shared" si="1"/>
        <v>2206</v>
      </c>
      <c r="B2207" s="3" t="s">
        <v>9720</v>
      </c>
      <c r="C2207" s="3" t="s">
        <v>9721</v>
      </c>
      <c r="D2207" s="3" t="s">
        <v>9630</v>
      </c>
      <c r="E2207" s="3" t="s">
        <v>8563</v>
      </c>
      <c r="F2207" s="2" t="s">
        <v>9722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>
        <f t="shared" si="1"/>
        <v>2207</v>
      </c>
      <c r="B2208" s="3" t="s">
        <v>9723</v>
      </c>
      <c r="C2208" s="3" t="s">
        <v>9724</v>
      </c>
      <c r="D2208" s="3" t="s">
        <v>9630</v>
      </c>
      <c r="E2208" s="3" t="s">
        <v>9661</v>
      </c>
      <c r="F2208" s="2" t="s">
        <v>9725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>
        <f t="shared" si="1"/>
        <v>2208</v>
      </c>
      <c r="B2209" s="3" t="s">
        <v>9726</v>
      </c>
      <c r="C2209" s="3" t="s">
        <v>9727</v>
      </c>
      <c r="D2209" s="3" t="s">
        <v>9630</v>
      </c>
      <c r="E2209" s="3" t="s">
        <v>8595</v>
      </c>
      <c r="F2209" s="2" t="s">
        <v>9728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>
        <f t="shared" si="1"/>
        <v>2209</v>
      </c>
      <c r="B2210" s="3" t="s">
        <v>9729</v>
      </c>
      <c r="C2210" s="3" t="s">
        <v>9730</v>
      </c>
      <c r="D2210" s="3" t="s">
        <v>9630</v>
      </c>
      <c r="E2210" s="3" t="s">
        <v>8595</v>
      </c>
      <c r="F2210" s="2" t="s">
        <v>9731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>
        <f t="shared" si="1"/>
        <v>2210</v>
      </c>
      <c r="B2211" s="3" t="s">
        <v>9732</v>
      </c>
      <c r="C2211" s="3" t="s">
        <v>9733</v>
      </c>
      <c r="D2211" s="3" t="s">
        <v>9630</v>
      </c>
      <c r="E2211" s="3" t="s">
        <v>8563</v>
      </c>
      <c r="F2211" s="2" t="s">
        <v>9734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>
        <f t="shared" si="1"/>
        <v>2211</v>
      </c>
      <c r="B2212" s="3" t="s">
        <v>9735</v>
      </c>
      <c r="C2212" s="3" t="s">
        <v>9736</v>
      </c>
      <c r="D2212" s="3" t="s">
        <v>9630</v>
      </c>
      <c r="E2212" s="3" t="s">
        <v>8563</v>
      </c>
      <c r="F2212" s="2" t="s">
        <v>9737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>
        <f t="shared" si="1"/>
        <v>2212</v>
      </c>
      <c r="B2213" s="3" t="s">
        <v>9738</v>
      </c>
      <c r="C2213" s="3" t="s">
        <v>9739</v>
      </c>
      <c r="D2213" s="3" t="s">
        <v>9740</v>
      </c>
      <c r="E2213" s="3" t="s">
        <v>7729</v>
      </c>
      <c r="F2213" s="2" t="s">
        <v>9741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>
        <f t="shared" si="1"/>
        <v>2213</v>
      </c>
      <c r="B2214" s="3" t="s">
        <v>9742</v>
      </c>
      <c r="C2214" s="3" t="s">
        <v>9743</v>
      </c>
      <c r="D2214" s="3" t="s">
        <v>9740</v>
      </c>
      <c r="E2214" s="3" t="s">
        <v>7725</v>
      </c>
      <c r="F2214" s="2" t="s">
        <v>9744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>
        <f t="shared" si="1"/>
        <v>2214</v>
      </c>
      <c r="B2215" s="3" t="s">
        <v>9745</v>
      </c>
      <c r="C2215" s="3" t="s">
        <v>9746</v>
      </c>
      <c r="D2215" s="3" t="s">
        <v>9740</v>
      </c>
      <c r="E2215" s="3" t="s">
        <v>7729</v>
      </c>
      <c r="F2215" s="2" t="s">
        <v>9747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>
        <f t="shared" si="1"/>
        <v>2215</v>
      </c>
      <c r="B2216" s="3" t="s">
        <v>9748</v>
      </c>
      <c r="C2216" s="3" t="s">
        <v>9749</v>
      </c>
      <c r="D2216" s="3" t="s">
        <v>9740</v>
      </c>
      <c r="E2216" s="3" t="s">
        <v>7729</v>
      </c>
      <c r="F2216" s="2" t="s">
        <v>9750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>
        <f t="shared" si="1"/>
        <v>2216</v>
      </c>
      <c r="B2217" s="3" t="s">
        <v>9751</v>
      </c>
      <c r="C2217" s="3" t="s">
        <v>9752</v>
      </c>
      <c r="D2217" s="3" t="s">
        <v>9740</v>
      </c>
      <c r="E2217" s="3" t="s">
        <v>7725</v>
      </c>
      <c r="F2217" s="2" t="s">
        <v>9753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>
        <f t="shared" si="1"/>
        <v>2217</v>
      </c>
      <c r="B2218" s="3" t="s">
        <v>9754</v>
      </c>
      <c r="C2218" s="3" t="s">
        <v>9755</v>
      </c>
      <c r="D2218" s="3" t="s">
        <v>9740</v>
      </c>
      <c r="E2218" s="3" t="s">
        <v>9590</v>
      </c>
      <c r="F2218" s="2" t="s">
        <v>9756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>
        <f t="shared" si="1"/>
        <v>2218</v>
      </c>
      <c r="B2219" s="3" t="s">
        <v>9757</v>
      </c>
      <c r="C2219" s="3" t="s">
        <v>9758</v>
      </c>
      <c r="D2219" s="3" t="s">
        <v>9740</v>
      </c>
      <c r="E2219" s="3" t="s">
        <v>7729</v>
      </c>
      <c r="F2219" s="2" t="s">
        <v>9759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>
        <f t="shared" si="1"/>
        <v>2219</v>
      </c>
      <c r="B2220" s="3" t="s">
        <v>9760</v>
      </c>
      <c r="C2220" s="3" t="s">
        <v>9761</v>
      </c>
      <c r="D2220" s="3" t="s">
        <v>9740</v>
      </c>
      <c r="E2220" s="3" t="s">
        <v>7725</v>
      </c>
      <c r="F2220" s="2" t="s">
        <v>9762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>
        <f t="shared" si="1"/>
        <v>2220</v>
      </c>
      <c r="B2221" s="3" t="s">
        <v>9763</v>
      </c>
      <c r="C2221" s="3" t="s">
        <v>9764</v>
      </c>
      <c r="D2221" s="3" t="s">
        <v>9740</v>
      </c>
      <c r="E2221" s="3" t="s">
        <v>7725</v>
      </c>
      <c r="F2221" s="2" t="s">
        <v>9765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>
        <f t="shared" si="1"/>
        <v>2221</v>
      </c>
      <c r="B2222" s="3" t="s">
        <v>9766</v>
      </c>
      <c r="C2222" s="3" t="s">
        <v>9767</v>
      </c>
      <c r="D2222" s="3" t="s">
        <v>9740</v>
      </c>
      <c r="E2222" s="3" t="s">
        <v>7725</v>
      </c>
      <c r="F2222" s="2" t="s">
        <v>9768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>
        <f t="shared" si="1"/>
        <v>2222</v>
      </c>
      <c r="B2223" s="3" t="s">
        <v>9769</v>
      </c>
      <c r="C2223" s="3" t="s">
        <v>9770</v>
      </c>
      <c r="D2223" s="3" t="s">
        <v>9740</v>
      </c>
      <c r="E2223" s="3" t="s">
        <v>7729</v>
      </c>
      <c r="F2223" s="2" t="s">
        <v>9771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>
        <f t="shared" si="1"/>
        <v>2223</v>
      </c>
      <c r="B2224" s="3" t="s">
        <v>9772</v>
      </c>
      <c r="C2224" s="3" t="s">
        <v>9773</v>
      </c>
      <c r="D2224" s="3" t="s">
        <v>9740</v>
      </c>
      <c r="E2224" s="3" t="s">
        <v>7729</v>
      </c>
      <c r="F2224" s="2" t="s">
        <v>9774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>
        <f t="shared" si="1"/>
        <v>2224</v>
      </c>
      <c r="B2225" s="3" t="s">
        <v>9775</v>
      </c>
      <c r="C2225" s="3" t="s">
        <v>9776</v>
      </c>
      <c r="D2225" s="3" t="s">
        <v>9740</v>
      </c>
      <c r="E2225" s="3" t="s">
        <v>7725</v>
      </c>
      <c r="F2225" s="2" t="s">
        <v>9777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>
        <f t="shared" si="1"/>
        <v>2225</v>
      </c>
      <c r="B2226" s="3" t="s">
        <v>9778</v>
      </c>
      <c r="C2226" s="3" t="s">
        <v>9779</v>
      </c>
      <c r="D2226" s="3" t="s">
        <v>9740</v>
      </c>
      <c r="E2226" s="3" t="s">
        <v>7725</v>
      </c>
      <c r="F2226" s="2" t="s">
        <v>9780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>
        <f t="shared" si="1"/>
        <v>2226</v>
      </c>
      <c r="B2227" s="3" t="s">
        <v>9781</v>
      </c>
      <c r="C2227" s="3" t="s">
        <v>9782</v>
      </c>
      <c r="D2227" s="3" t="s">
        <v>9740</v>
      </c>
      <c r="E2227" s="3" t="s">
        <v>7729</v>
      </c>
      <c r="F2227" s="2" t="s">
        <v>9783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>
        <f t="shared" si="1"/>
        <v>2227</v>
      </c>
      <c r="B2228" s="3" t="s">
        <v>9784</v>
      </c>
      <c r="C2228" s="3" t="s">
        <v>9785</v>
      </c>
      <c r="D2228" s="3" t="s">
        <v>9740</v>
      </c>
      <c r="E2228" s="3" t="s">
        <v>7729</v>
      </c>
      <c r="F2228" s="2" t="s">
        <v>9786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>
        <f t="shared" si="1"/>
        <v>2228</v>
      </c>
      <c r="B2229" s="3" t="s">
        <v>9787</v>
      </c>
      <c r="C2229" s="3" t="s">
        <v>9788</v>
      </c>
      <c r="D2229" s="3" t="s">
        <v>9740</v>
      </c>
      <c r="E2229" s="3" t="s">
        <v>7725</v>
      </c>
      <c r="F2229" s="2" t="s">
        <v>9789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>
        <f t="shared" si="1"/>
        <v>2229</v>
      </c>
      <c r="B2230" s="3" t="s">
        <v>9790</v>
      </c>
      <c r="C2230" s="3" t="s">
        <v>9791</v>
      </c>
      <c r="D2230" s="3" t="s">
        <v>9740</v>
      </c>
      <c r="E2230" s="3" t="s">
        <v>7725</v>
      </c>
      <c r="F2230" s="2" t="s">
        <v>9792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>
        <f t="shared" si="1"/>
        <v>2230</v>
      </c>
      <c r="B2231" s="3" t="s">
        <v>9793</v>
      </c>
      <c r="C2231" s="3" t="s">
        <v>9794</v>
      </c>
      <c r="D2231" s="3" t="s">
        <v>9740</v>
      </c>
      <c r="E2231" s="3" t="s">
        <v>8659</v>
      </c>
      <c r="F2231" s="2" t="s">
        <v>9795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>
        <f t="shared" si="1"/>
        <v>2231</v>
      </c>
      <c r="B2232" s="3" t="s">
        <v>9796</v>
      </c>
      <c r="C2232" s="3" t="s">
        <v>9797</v>
      </c>
      <c r="D2232" s="3" t="s">
        <v>9740</v>
      </c>
      <c r="E2232" s="3" t="s">
        <v>7725</v>
      </c>
      <c r="F2232" s="2" t="s">
        <v>9798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>
        <f t="shared" si="1"/>
        <v>2232</v>
      </c>
      <c r="B2233" s="3" t="s">
        <v>9799</v>
      </c>
      <c r="C2233" s="3" t="s">
        <v>9800</v>
      </c>
      <c r="D2233" s="3" t="s">
        <v>9740</v>
      </c>
      <c r="E2233" s="3" t="s">
        <v>7729</v>
      </c>
      <c r="F2233" s="2" t="s">
        <v>9801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>
        <f t="shared" si="1"/>
        <v>2233</v>
      </c>
      <c r="B2234" s="3" t="s">
        <v>9802</v>
      </c>
      <c r="C2234" s="3" t="s">
        <v>9803</v>
      </c>
      <c r="D2234" s="3" t="s">
        <v>9740</v>
      </c>
      <c r="E2234" s="3" t="s">
        <v>7729</v>
      </c>
      <c r="F2234" s="2" t="s">
        <v>9804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>
        <f t="shared" si="1"/>
        <v>2234</v>
      </c>
      <c r="B2235" s="3" t="s">
        <v>9805</v>
      </c>
      <c r="C2235" s="3" t="s">
        <v>9806</v>
      </c>
      <c r="D2235" s="3" t="s">
        <v>9740</v>
      </c>
      <c r="E2235" s="3" t="s">
        <v>8729</v>
      </c>
      <c r="F2235" s="2" t="s">
        <v>9807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>
        <f t="shared" si="1"/>
        <v>2235</v>
      </c>
      <c r="B2236" s="3" t="s">
        <v>9808</v>
      </c>
      <c r="C2236" s="3" t="s">
        <v>9809</v>
      </c>
      <c r="D2236" s="3" t="s">
        <v>9740</v>
      </c>
      <c r="E2236" s="3" t="s">
        <v>7725</v>
      </c>
      <c r="F2236" s="2" t="s">
        <v>9810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>
        <f t="shared" si="1"/>
        <v>2236</v>
      </c>
      <c r="B2237" s="3" t="s">
        <v>9811</v>
      </c>
      <c r="C2237" s="3" t="s">
        <v>9812</v>
      </c>
      <c r="D2237" s="3" t="s">
        <v>9740</v>
      </c>
      <c r="E2237" s="3" t="s">
        <v>7729</v>
      </c>
      <c r="F2237" s="2" t="s">
        <v>9813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>
        <f t="shared" si="1"/>
        <v>2237</v>
      </c>
      <c r="B2238" s="3" t="s">
        <v>9814</v>
      </c>
      <c r="C2238" s="3" t="s">
        <v>9815</v>
      </c>
      <c r="D2238" s="3" t="s">
        <v>9740</v>
      </c>
      <c r="E2238" s="3" t="s">
        <v>7725</v>
      </c>
      <c r="F2238" s="2" t="s">
        <v>9816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>
        <f t="shared" si="1"/>
        <v>2238</v>
      </c>
      <c r="B2239" s="3" t="s">
        <v>9817</v>
      </c>
      <c r="C2239" s="3" t="s">
        <v>9818</v>
      </c>
      <c r="D2239" s="3" t="s">
        <v>9740</v>
      </c>
      <c r="E2239" s="3" t="s">
        <v>8659</v>
      </c>
      <c r="F2239" s="2" t="s">
        <v>9819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>
        <f t="shared" si="1"/>
        <v>2239</v>
      </c>
      <c r="B2240" s="3" t="s">
        <v>9820</v>
      </c>
      <c r="C2240" s="3" t="s">
        <v>9821</v>
      </c>
      <c r="D2240" s="3" t="s">
        <v>9740</v>
      </c>
      <c r="E2240" s="3" t="s">
        <v>8659</v>
      </c>
      <c r="F2240" s="2" t="s">
        <v>9822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>
        <f t="shared" si="1"/>
        <v>2240</v>
      </c>
      <c r="B2241" s="3" t="s">
        <v>9823</v>
      </c>
      <c r="C2241" s="3" t="s">
        <v>9824</v>
      </c>
      <c r="D2241" s="3" t="s">
        <v>9740</v>
      </c>
      <c r="E2241" s="3" t="s">
        <v>7725</v>
      </c>
      <c r="F2241" s="2" t="s">
        <v>9825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>
        <f t="shared" si="1"/>
        <v>2241</v>
      </c>
      <c r="B2242" s="3" t="s">
        <v>9826</v>
      </c>
      <c r="C2242" s="3" t="s">
        <v>9827</v>
      </c>
      <c r="D2242" s="3" t="s">
        <v>9740</v>
      </c>
      <c r="E2242" s="3" t="s">
        <v>8659</v>
      </c>
      <c r="F2242" s="2" t="s">
        <v>9828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>
        <f t="shared" si="1"/>
        <v>2242</v>
      </c>
      <c r="B2243" s="3" t="s">
        <v>9829</v>
      </c>
      <c r="C2243" s="3" t="s">
        <v>9830</v>
      </c>
      <c r="D2243" s="3" t="s">
        <v>9740</v>
      </c>
      <c r="E2243" s="3" t="s">
        <v>8659</v>
      </c>
      <c r="F2243" s="2" t="s">
        <v>9831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>
        <f t="shared" si="1"/>
        <v>2243</v>
      </c>
      <c r="B2244" s="3" t="s">
        <v>9832</v>
      </c>
      <c r="C2244" s="3" t="s">
        <v>9833</v>
      </c>
      <c r="D2244" s="3" t="s">
        <v>9740</v>
      </c>
      <c r="E2244" s="3" t="s">
        <v>8659</v>
      </c>
      <c r="F2244" s="2" t="s">
        <v>9834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>
        <f t="shared" si="1"/>
        <v>2244</v>
      </c>
      <c r="B2245" s="3" t="s">
        <v>9835</v>
      </c>
      <c r="C2245" s="3" t="s">
        <v>9836</v>
      </c>
      <c r="D2245" s="3" t="s">
        <v>9740</v>
      </c>
      <c r="E2245" s="3" t="s">
        <v>8659</v>
      </c>
      <c r="F2245" s="2" t="s">
        <v>9837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>
        <f t="shared" si="1"/>
        <v>2245</v>
      </c>
      <c r="B2246" s="3" t="s">
        <v>9838</v>
      </c>
      <c r="C2246" s="3" t="s">
        <v>9839</v>
      </c>
      <c r="D2246" s="3" t="s">
        <v>9740</v>
      </c>
      <c r="E2246" s="3" t="s">
        <v>8659</v>
      </c>
      <c r="F2246" s="2" t="s">
        <v>9840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>
        <f t="shared" si="1"/>
        <v>2246</v>
      </c>
      <c r="B2247" s="3" t="s">
        <v>9841</v>
      </c>
      <c r="C2247" s="3" t="s">
        <v>9842</v>
      </c>
      <c r="D2247" s="3" t="s">
        <v>9740</v>
      </c>
      <c r="E2247" s="3" t="s">
        <v>7729</v>
      </c>
      <c r="F2247" s="2" t="s">
        <v>9843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>
        <f t="shared" si="1"/>
        <v>2247</v>
      </c>
      <c r="B2248" s="3" t="s">
        <v>9844</v>
      </c>
      <c r="C2248" s="3" t="s">
        <v>9845</v>
      </c>
      <c r="D2248" s="3" t="s">
        <v>9740</v>
      </c>
      <c r="E2248" s="3" t="s">
        <v>8659</v>
      </c>
      <c r="F2248" s="2" t="s">
        <v>9846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>
        <f t="shared" si="1"/>
        <v>2248</v>
      </c>
      <c r="B2249" s="3" t="s">
        <v>9847</v>
      </c>
      <c r="C2249" s="3" t="s">
        <v>9848</v>
      </c>
      <c r="D2249" s="3" t="s">
        <v>9740</v>
      </c>
      <c r="E2249" s="3" t="s">
        <v>9590</v>
      </c>
      <c r="F2249" s="2" t="s">
        <v>9849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>
        <f t="shared" si="1"/>
        <v>2249</v>
      </c>
      <c r="B2250" s="3" t="s">
        <v>9850</v>
      </c>
      <c r="C2250" s="3" t="s">
        <v>9851</v>
      </c>
      <c r="D2250" s="3" t="s">
        <v>9740</v>
      </c>
      <c r="E2250" s="3" t="s">
        <v>8659</v>
      </c>
      <c r="F2250" s="2" t="s">
        <v>9852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>
        <f t="shared" si="1"/>
        <v>2250</v>
      </c>
      <c r="B2251" s="3" t="s">
        <v>9853</v>
      </c>
      <c r="C2251" s="3" t="s">
        <v>9854</v>
      </c>
      <c r="D2251" s="3" t="s">
        <v>9740</v>
      </c>
      <c r="E2251" s="3" t="s">
        <v>9590</v>
      </c>
      <c r="F2251" s="2" t="s">
        <v>9855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>
        <f t="shared" si="1"/>
        <v>2251</v>
      </c>
      <c r="B2252" s="3" t="s">
        <v>9856</v>
      </c>
      <c r="C2252" s="3" t="s">
        <v>9857</v>
      </c>
      <c r="D2252" s="3" t="s">
        <v>9740</v>
      </c>
      <c r="E2252" s="3" t="s">
        <v>8659</v>
      </c>
      <c r="F2252" s="2" t="s">
        <v>9858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>
        <f t="shared" si="1"/>
        <v>2252</v>
      </c>
      <c r="B2253" s="3" t="s">
        <v>9859</v>
      </c>
      <c r="C2253" s="3" t="s">
        <v>9860</v>
      </c>
      <c r="D2253" s="3" t="s">
        <v>9861</v>
      </c>
      <c r="E2253" s="3" t="s">
        <v>7506</v>
      </c>
      <c r="F2253" s="2" t="s">
        <v>9862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>
        <f t="shared" si="1"/>
        <v>2253</v>
      </c>
      <c r="B2254" s="3" t="s">
        <v>9863</v>
      </c>
      <c r="C2254" s="3" t="s">
        <v>9864</v>
      </c>
      <c r="D2254" s="3" t="s">
        <v>9861</v>
      </c>
      <c r="E2254" s="3" t="s">
        <v>7506</v>
      </c>
      <c r="F2254" s="2" t="s">
        <v>9865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>
        <f t="shared" si="1"/>
        <v>2254</v>
      </c>
      <c r="B2255" s="3" t="s">
        <v>9866</v>
      </c>
      <c r="C2255" s="3" t="s">
        <v>9867</v>
      </c>
      <c r="D2255" s="3" t="s">
        <v>9861</v>
      </c>
      <c r="E2255" s="3" t="s">
        <v>9661</v>
      </c>
      <c r="F2255" s="2" t="s">
        <v>9868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>
        <f t="shared" si="1"/>
        <v>2255</v>
      </c>
      <c r="B2256" s="3" t="s">
        <v>9869</v>
      </c>
      <c r="C2256" s="3" t="s">
        <v>9870</v>
      </c>
      <c r="D2256" s="3" t="s">
        <v>9861</v>
      </c>
      <c r="E2256" s="3" t="s">
        <v>8595</v>
      </c>
      <c r="F2256" s="2" t="s">
        <v>9871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>
        <f t="shared" si="1"/>
        <v>2256</v>
      </c>
      <c r="B2257" s="3" t="s">
        <v>9872</v>
      </c>
      <c r="C2257" s="3" t="s">
        <v>9873</v>
      </c>
      <c r="D2257" s="3" t="s">
        <v>9861</v>
      </c>
      <c r="E2257" s="3" t="s">
        <v>8339</v>
      </c>
      <c r="F2257" s="2" t="s">
        <v>9874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>
        <f t="shared" si="1"/>
        <v>2257</v>
      </c>
      <c r="B2258" s="3" t="s">
        <v>9875</v>
      </c>
      <c r="C2258" s="3" t="s">
        <v>9876</v>
      </c>
      <c r="D2258" s="3" t="s">
        <v>9861</v>
      </c>
      <c r="E2258" s="3" t="s">
        <v>7506</v>
      </c>
      <c r="F2258" s="2" t="s">
        <v>9877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>
        <f t="shared" si="1"/>
        <v>2258</v>
      </c>
      <c r="B2259" s="3" t="s">
        <v>9878</v>
      </c>
      <c r="C2259" s="3" t="s">
        <v>9879</v>
      </c>
      <c r="D2259" s="3" t="s">
        <v>9861</v>
      </c>
      <c r="E2259" s="3" t="s">
        <v>8339</v>
      </c>
      <c r="F2259" s="2" t="s">
        <v>9880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>
        <f t="shared" si="1"/>
        <v>2259</v>
      </c>
      <c r="B2260" s="3" t="s">
        <v>9881</v>
      </c>
      <c r="C2260" s="3" t="s">
        <v>9882</v>
      </c>
      <c r="D2260" s="3" t="s">
        <v>9861</v>
      </c>
      <c r="E2260" s="3" t="s">
        <v>8595</v>
      </c>
      <c r="F2260" s="2" t="s">
        <v>9883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>
        <f t="shared" si="1"/>
        <v>2260</v>
      </c>
      <c r="B2261" s="3" t="s">
        <v>9884</v>
      </c>
      <c r="C2261" s="3" t="s">
        <v>9885</v>
      </c>
      <c r="D2261" s="3" t="s">
        <v>9861</v>
      </c>
      <c r="E2261" s="3" t="s">
        <v>8339</v>
      </c>
      <c r="F2261" s="2" t="s">
        <v>9886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>
        <f t="shared" si="1"/>
        <v>2261</v>
      </c>
      <c r="B2262" s="3" t="s">
        <v>9887</v>
      </c>
      <c r="C2262" s="3" t="s">
        <v>9888</v>
      </c>
      <c r="D2262" s="3" t="s">
        <v>9861</v>
      </c>
      <c r="E2262" s="3" t="s">
        <v>7506</v>
      </c>
      <c r="F2262" s="2" t="s">
        <v>9889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>
        <f t="shared" si="1"/>
        <v>2262</v>
      </c>
      <c r="B2263" s="3" t="s">
        <v>9890</v>
      </c>
      <c r="C2263" s="3" t="s">
        <v>9891</v>
      </c>
      <c r="D2263" s="3" t="s">
        <v>9861</v>
      </c>
      <c r="E2263" s="3" t="s">
        <v>8339</v>
      </c>
      <c r="F2263" s="2" t="s">
        <v>9892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>
        <f t="shared" si="1"/>
        <v>2263</v>
      </c>
      <c r="B2264" s="3" t="s">
        <v>9893</v>
      </c>
      <c r="C2264" s="3" t="s">
        <v>9894</v>
      </c>
      <c r="D2264" s="3" t="s">
        <v>9861</v>
      </c>
      <c r="E2264" s="3" t="s">
        <v>7506</v>
      </c>
      <c r="F2264" s="2" t="s">
        <v>9895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>
        <f t="shared" si="1"/>
        <v>2264</v>
      </c>
      <c r="B2265" s="3" t="s">
        <v>9896</v>
      </c>
      <c r="C2265" s="3" t="s">
        <v>9897</v>
      </c>
      <c r="D2265" s="3" t="s">
        <v>9861</v>
      </c>
      <c r="E2265" s="3" t="s">
        <v>7506</v>
      </c>
      <c r="F2265" s="2" t="s">
        <v>9898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>
        <f t="shared" si="1"/>
        <v>2265</v>
      </c>
      <c r="B2266" s="3" t="s">
        <v>9899</v>
      </c>
      <c r="C2266" s="3" t="s">
        <v>9900</v>
      </c>
      <c r="D2266" s="3" t="s">
        <v>9861</v>
      </c>
      <c r="E2266" s="3" t="s">
        <v>7506</v>
      </c>
      <c r="F2266" s="2" t="s">
        <v>9901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>
        <f t="shared" si="1"/>
        <v>2266</v>
      </c>
      <c r="B2267" s="3" t="s">
        <v>9902</v>
      </c>
      <c r="C2267" s="3" t="s">
        <v>9903</v>
      </c>
      <c r="D2267" s="3" t="s">
        <v>9861</v>
      </c>
      <c r="E2267" s="3" t="s">
        <v>8339</v>
      </c>
      <c r="F2267" s="2" t="s">
        <v>9904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>
        <f t="shared" si="1"/>
        <v>2267</v>
      </c>
      <c r="B2268" s="3" t="s">
        <v>9905</v>
      </c>
      <c r="C2268" s="3" t="s">
        <v>9906</v>
      </c>
      <c r="D2268" s="3" t="s">
        <v>9861</v>
      </c>
      <c r="E2268" s="3" t="s">
        <v>7506</v>
      </c>
      <c r="F2268" s="2" t="s">
        <v>9907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>
        <f t="shared" si="1"/>
        <v>2268</v>
      </c>
      <c r="B2269" s="3" t="s">
        <v>9908</v>
      </c>
      <c r="C2269" s="3" t="s">
        <v>9909</v>
      </c>
      <c r="D2269" s="3" t="s">
        <v>9861</v>
      </c>
      <c r="E2269" s="3" t="s">
        <v>7506</v>
      </c>
      <c r="F2269" s="2" t="s">
        <v>9910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>
        <f t="shared" si="1"/>
        <v>2269</v>
      </c>
      <c r="B2270" s="3" t="s">
        <v>9911</v>
      </c>
      <c r="C2270" s="3" t="s">
        <v>9912</v>
      </c>
      <c r="D2270" s="3" t="s">
        <v>9861</v>
      </c>
      <c r="E2270" s="3" t="s">
        <v>7506</v>
      </c>
      <c r="F2270" s="2" t="s">
        <v>9913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>
        <f t="shared" si="1"/>
        <v>2270</v>
      </c>
      <c r="B2271" s="3" t="s">
        <v>9914</v>
      </c>
      <c r="C2271" s="3" t="s">
        <v>9915</v>
      </c>
      <c r="D2271" s="3" t="s">
        <v>9861</v>
      </c>
      <c r="E2271" s="3" t="s">
        <v>8339</v>
      </c>
      <c r="F2271" s="2" t="s">
        <v>9916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>
        <f t="shared" si="1"/>
        <v>2271</v>
      </c>
      <c r="B2272" s="3" t="s">
        <v>9917</v>
      </c>
      <c r="C2272" s="3" t="s">
        <v>9918</v>
      </c>
      <c r="D2272" s="3" t="s">
        <v>9861</v>
      </c>
      <c r="E2272" s="3" t="s">
        <v>8595</v>
      </c>
      <c r="F2272" s="2" t="s">
        <v>9919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>
        <f t="shared" si="1"/>
        <v>2272</v>
      </c>
      <c r="B2273" s="3" t="s">
        <v>9920</v>
      </c>
      <c r="C2273" s="3" t="s">
        <v>9921</v>
      </c>
      <c r="D2273" s="3" t="s">
        <v>9861</v>
      </c>
      <c r="E2273" s="3" t="s">
        <v>7895</v>
      </c>
      <c r="F2273" s="2" t="s">
        <v>9922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>
        <f t="shared" si="1"/>
        <v>2273</v>
      </c>
      <c r="B2274" s="3" t="s">
        <v>9923</v>
      </c>
      <c r="C2274" s="3" t="s">
        <v>9924</v>
      </c>
      <c r="D2274" s="3" t="s">
        <v>9861</v>
      </c>
      <c r="E2274" s="3" t="s">
        <v>7506</v>
      </c>
      <c r="F2274" s="2" t="s">
        <v>9925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>
        <f t="shared" si="1"/>
        <v>2274</v>
      </c>
      <c r="B2275" s="3" t="s">
        <v>9926</v>
      </c>
      <c r="C2275" s="3" t="s">
        <v>9927</v>
      </c>
      <c r="D2275" s="3" t="s">
        <v>9861</v>
      </c>
      <c r="E2275" s="3" t="s">
        <v>8339</v>
      </c>
      <c r="F2275" s="2" t="s">
        <v>9928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>
        <f t="shared" si="1"/>
        <v>2275</v>
      </c>
      <c r="B2276" s="3" t="s">
        <v>9929</v>
      </c>
      <c r="C2276" s="3" t="s">
        <v>9930</v>
      </c>
      <c r="D2276" s="3" t="s">
        <v>9861</v>
      </c>
      <c r="E2276" s="3" t="s">
        <v>8595</v>
      </c>
      <c r="F2276" s="2" t="s">
        <v>9931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>
        <f t="shared" si="1"/>
        <v>2276</v>
      </c>
      <c r="B2277" s="3" t="s">
        <v>9932</v>
      </c>
      <c r="C2277" s="3" t="s">
        <v>9933</v>
      </c>
      <c r="D2277" s="3" t="s">
        <v>9861</v>
      </c>
      <c r="E2277" s="3" t="s">
        <v>8595</v>
      </c>
      <c r="F2277" s="2" t="s">
        <v>9934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>
        <f t="shared" si="1"/>
        <v>2277</v>
      </c>
      <c r="B2278" s="3" t="s">
        <v>9935</v>
      </c>
      <c r="C2278" s="3" t="s">
        <v>9936</v>
      </c>
      <c r="D2278" s="3" t="s">
        <v>9861</v>
      </c>
      <c r="E2278" s="3" t="s">
        <v>8595</v>
      </c>
      <c r="F2278" s="2" t="s">
        <v>9937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>
        <f t="shared" si="1"/>
        <v>2278</v>
      </c>
      <c r="B2279" s="3" t="s">
        <v>9938</v>
      </c>
      <c r="C2279" s="3" t="s">
        <v>9939</v>
      </c>
      <c r="D2279" s="3" t="s">
        <v>9861</v>
      </c>
      <c r="E2279" s="3" t="s">
        <v>8339</v>
      </c>
      <c r="F2279" s="2" t="s">
        <v>9940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>
        <f t="shared" si="1"/>
        <v>2279</v>
      </c>
      <c r="B2280" s="3" t="s">
        <v>9941</v>
      </c>
      <c r="C2280" s="3" t="s">
        <v>9942</v>
      </c>
      <c r="D2280" s="3" t="s">
        <v>9861</v>
      </c>
      <c r="E2280" s="3" t="s">
        <v>8339</v>
      </c>
      <c r="F2280" s="2" t="s">
        <v>9943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>
        <f t="shared" si="1"/>
        <v>2280</v>
      </c>
      <c r="B2281" s="3" t="s">
        <v>9944</v>
      </c>
      <c r="C2281" s="3" t="s">
        <v>9945</v>
      </c>
      <c r="D2281" s="3" t="s">
        <v>9861</v>
      </c>
      <c r="E2281" s="3" t="s">
        <v>8339</v>
      </c>
      <c r="F2281" s="2" t="s">
        <v>9946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>
        <f t="shared" si="1"/>
        <v>2281</v>
      </c>
      <c r="B2282" s="3" t="s">
        <v>9947</v>
      </c>
      <c r="C2282" s="3" t="s">
        <v>9948</v>
      </c>
      <c r="D2282" s="3" t="s">
        <v>9861</v>
      </c>
      <c r="E2282" s="3" t="s">
        <v>8339</v>
      </c>
      <c r="F2282" s="2" t="s">
        <v>9949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>
        <f t="shared" si="1"/>
        <v>2282</v>
      </c>
      <c r="B2283" s="3" t="s">
        <v>9950</v>
      </c>
      <c r="C2283" s="3" t="s">
        <v>9951</v>
      </c>
      <c r="D2283" s="3" t="s">
        <v>9861</v>
      </c>
      <c r="E2283" s="3" t="s">
        <v>9661</v>
      </c>
      <c r="F2283" s="2" t="s">
        <v>9952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>
        <f t="shared" si="1"/>
        <v>2283</v>
      </c>
      <c r="B2284" s="3" t="s">
        <v>9953</v>
      </c>
      <c r="C2284" s="3" t="s">
        <v>9954</v>
      </c>
      <c r="D2284" s="3" t="s">
        <v>9861</v>
      </c>
      <c r="E2284" s="3" t="s">
        <v>8339</v>
      </c>
      <c r="F2284" s="2" t="s">
        <v>9955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>
        <f t="shared" si="1"/>
        <v>2284</v>
      </c>
      <c r="B2285" s="3" t="s">
        <v>9956</v>
      </c>
      <c r="C2285" s="3" t="s">
        <v>9957</v>
      </c>
      <c r="D2285" s="3" t="s">
        <v>9861</v>
      </c>
      <c r="E2285" s="3" t="s">
        <v>7895</v>
      </c>
      <c r="F2285" s="2" t="s">
        <v>9958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>
        <f t="shared" si="1"/>
        <v>2285</v>
      </c>
      <c r="B2286" s="3" t="s">
        <v>9959</v>
      </c>
      <c r="C2286" s="3" t="s">
        <v>9960</v>
      </c>
      <c r="D2286" s="3" t="s">
        <v>9861</v>
      </c>
      <c r="E2286" s="3" t="s">
        <v>8339</v>
      </c>
      <c r="F2286" s="2" t="s">
        <v>9961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>
        <f t="shared" si="1"/>
        <v>2286</v>
      </c>
      <c r="B2287" s="3" t="s">
        <v>9962</v>
      </c>
      <c r="C2287" s="3" t="s">
        <v>9963</v>
      </c>
      <c r="D2287" s="3" t="s">
        <v>9861</v>
      </c>
      <c r="E2287" s="3" t="s">
        <v>9661</v>
      </c>
      <c r="F2287" s="2" t="s">
        <v>9964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>
        <f t="shared" si="1"/>
        <v>2287</v>
      </c>
      <c r="B2288" s="3" t="s">
        <v>9965</v>
      </c>
      <c r="C2288" s="3" t="s">
        <v>9966</v>
      </c>
      <c r="D2288" s="3" t="s">
        <v>9861</v>
      </c>
      <c r="E2288" s="3" t="s">
        <v>9661</v>
      </c>
      <c r="F2288" s="2" t="s">
        <v>9967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>
        <f t="shared" si="1"/>
        <v>2288</v>
      </c>
      <c r="B2289" s="3" t="s">
        <v>9968</v>
      </c>
      <c r="C2289" s="3" t="s">
        <v>9969</v>
      </c>
      <c r="D2289" s="3" t="s">
        <v>9861</v>
      </c>
      <c r="E2289" s="3" t="s">
        <v>8339</v>
      </c>
      <c r="F2289" s="2" t="s">
        <v>9970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>
        <f t="shared" si="1"/>
        <v>2289</v>
      </c>
      <c r="B2290" s="3" t="s">
        <v>9971</v>
      </c>
      <c r="C2290" s="3" t="s">
        <v>9972</v>
      </c>
      <c r="D2290" s="3" t="s">
        <v>9861</v>
      </c>
      <c r="E2290" s="3" t="s">
        <v>9661</v>
      </c>
      <c r="F2290" s="2" t="s">
        <v>9973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>
        <f t="shared" si="1"/>
        <v>2290</v>
      </c>
      <c r="B2291" s="3" t="s">
        <v>9974</v>
      </c>
      <c r="C2291" s="3" t="s">
        <v>9975</v>
      </c>
      <c r="D2291" s="3" t="s">
        <v>9861</v>
      </c>
      <c r="E2291" s="3" t="s">
        <v>8595</v>
      </c>
      <c r="F2291" s="2" t="s">
        <v>9976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>
        <f t="shared" si="1"/>
        <v>2291</v>
      </c>
      <c r="B2292" s="3" t="s">
        <v>9977</v>
      </c>
      <c r="C2292" s="3" t="s">
        <v>9978</v>
      </c>
      <c r="D2292" s="3" t="s">
        <v>9861</v>
      </c>
      <c r="E2292" s="3" t="s">
        <v>8595</v>
      </c>
      <c r="F2292" s="2" t="s">
        <v>9979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>
        <f t="shared" si="1"/>
        <v>2292</v>
      </c>
      <c r="B2293" s="3" t="s">
        <v>9980</v>
      </c>
      <c r="C2293" s="3" t="s">
        <v>9981</v>
      </c>
      <c r="D2293" s="3" t="s">
        <v>9861</v>
      </c>
      <c r="E2293" s="3" t="s">
        <v>9661</v>
      </c>
      <c r="F2293" s="2" t="s">
        <v>9982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>
        <f t="shared" si="1"/>
        <v>2293</v>
      </c>
      <c r="B2294" s="3" t="s">
        <v>9983</v>
      </c>
      <c r="C2294" s="3" t="s">
        <v>9984</v>
      </c>
      <c r="D2294" s="3" t="s">
        <v>9985</v>
      </c>
      <c r="E2294" s="3" t="s">
        <v>8729</v>
      </c>
      <c r="F2294" s="2" t="s">
        <v>9986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>
        <f t="shared" si="1"/>
        <v>2294</v>
      </c>
      <c r="B2295" s="3" t="s">
        <v>9987</v>
      </c>
      <c r="C2295" s="3" t="s">
        <v>9988</v>
      </c>
      <c r="D2295" s="3" t="s">
        <v>9985</v>
      </c>
      <c r="E2295" s="3" t="s">
        <v>7926</v>
      </c>
      <c r="F2295" s="2" t="s">
        <v>9989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>
        <f t="shared" si="1"/>
        <v>2295</v>
      </c>
      <c r="B2296" s="3" t="s">
        <v>9990</v>
      </c>
      <c r="C2296" s="3" t="s">
        <v>9991</v>
      </c>
      <c r="D2296" s="3" t="s">
        <v>9985</v>
      </c>
      <c r="E2296" s="3" t="s">
        <v>8729</v>
      </c>
      <c r="F2296" s="2" t="s">
        <v>9992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>
        <f t="shared" si="1"/>
        <v>2296</v>
      </c>
      <c r="B2297" s="3" t="s">
        <v>9993</v>
      </c>
      <c r="C2297" s="3" t="s">
        <v>9994</v>
      </c>
      <c r="D2297" s="3" t="s">
        <v>9985</v>
      </c>
      <c r="E2297" s="3" t="s">
        <v>8729</v>
      </c>
      <c r="F2297" s="2" t="s">
        <v>9995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>
        <f t="shared" si="1"/>
        <v>2297</v>
      </c>
      <c r="B2298" s="3" t="s">
        <v>9996</v>
      </c>
      <c r="C2298" s="3" t="s">
        <v>9997</v>
      </c>
      <c r="D2298" s="3" t="s">
        <v>9985</v>
      </c>
      <c r="E2298" s="3" t="s">
        <v>9590</v>
      </c>
      <c r="F2298" s="2" t="s">
        <v>9998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>
        <f t="shared" si="1"/>
        <v>2298</v>
      </c>
      <c r="B2299" s="3" t="s">
        <v>9999</v>
      </c>
      <c r="C2299" s="3" t="s">
        <v>10000</v>
      </c>
      <c r="D2299" s="3" t="s">
        <v>9985</v>
      </c>
      <c r="E2299" s="3" t="s">
        <v>7926</v>
      </c>
      <c r="F2299" s="2" t="s">
        <v>10001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>
        <f t="shared" si="1"/>
        <v>2299</v>
      </c>
      <c r="B2300" s="3" t="s">
        <v>10002</v>
      </c>
      <c r="C2300" s="3" t="s">
        <v>10003</v>
      </c>
      <c r="D2300" s="3" t="s">
        <v>9985</v>
      </c>
      <c r="E2300" s="3" t="s">
        <v>8729</v>
      </c>
      <c r="F2300" s="2" t="s">
        <v>10004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>
        <f t="shared" si="1"/>
        <v>2300</v>
      </c>
      <c r="B2301" s="3" t="s">
        <v>10005</v>
      </c>
      <c r="C2301" s="3" t="s">
        <v>10006</v>
      </c>
      <c r="D2301" s="3" t="s">
        <v>9985</v>
      </c>
      <c r="E2301" s="3" t="s">
        <v>8729</v>
      </c>
      <c r="F2301" s="2" t="s">
        <v>10007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>
        <f t="shared" si="1"/>
        <v>2301</v>
      </c>
      <c r="B2302" s="3" t="s">
        <v>10008</v>
      </c>
      <c r="C2302" s="3" t="s">
        <v>10009</v>
      </c>
      <c r="D2302" s="3" t="s">
        <v>9985</v>
      </c>
      <c r="E2302" s="3" t="s">
        <v>8729</v>
      </c>
      <c r="F2302" s="2" t="s">
        <v>10010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>
        <f t="shared" si="1"/>
        <v>2302</v>
      </c>
      <c r="B2303" s="3" t="s">
        <v>10011</v>
      </c>
      <c r="C2303" s="3" t="s">
        <v>10012</v>
      </c>
      <c r="D2303" s="3" t="s">
        <v>9985</v>
      </c>
      <c r="E2303" s="3" t="s">
        <v>8729</v>
      </c>
      <c r="F2303" s="2" t="s">
        <v>10013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>
        <f t="shared" si="1"/>
        <v>2303</v>
      </c>
      <c r="B2304" s="3" t="s">
        <v>10014</v>
      </c>
      <c r="C2304" s="3" t="s">
        <v>10015</v>
      </c>
      <c r="D2304" s="3" t="s">
        <v>9985</v>
      </c>
      <c r="E2304" s="3" t="s">
        <v>8729</v>
      </c>
      <c r="F2304" s="2" t="s">
        <v>10016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>
        <f t="shared" si="1"/>
        <v>2304</v>
      </c>
      <c r="B2305" s="3" t="s">
        <v>10017</v>
      </c>
      <c r="C2305" s="3" t="s">
        <v>10018</v>
      </c>
      <c r="D2305" s="3" t="s">
        <v>9985</v>
      </c>
      <c r="E2305" s="3" t="s">
        <v>8729</v>
      </c>
      <c r="F2305" s="2" t="s">
        <v>10019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>
        <f t="shared" si="1"/>
        <v>2305</v>
      </c>
      <c r="B2306" s="3" t="s">
        <v>10020</v>
      </c>
      <c r="C2306" s="3" t="s">
        <v>10021</v>
      </c>
      <c r="D2306" s="3" t="s">
        <v>9985</v>
      </c>
      <c r="E2306" s="3" t="s">
        <v>7926</v>
      </c>
      <c r="F2306" s="2" t="s">
        <v>10022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>
        <f t="shared" si="1"/>
        <v>2306</v>
      </c>
      <c r="B2307" s="3" t="s">
        <v>10023</v>
      </c>
      <c r="C2307" s="3" t="s">
        <v>10024</v>
      </c>
      <c r="D2307" s="3" t="s">
        <v>9985</v>
      </c>
      <c r="E2307" s="3" t="s">
        <v>9590</v>
      </c>
      <c r="F2307" s="2" t="s">
        <v>10025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>
        <f t="shared" si="1"/>
        <v>2307</v>
      </c>
      <c r="B2308" s="3" t="s">
        <v>10026</v>
      </c>
      <c r="C2308" s="3" t="s">
        <v>10027</v>
      </c>
      <c r="D2308" s="3" t="s">
        <v>9985</v>
      </c>
      <c r="E2308" s="3" t="s">
        <v>8729</v>
      </c>
      <c r="F2308" s="2" t="s">
        <v>10028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>
        <f t="shared" si="1"/>
        <v>2308</v>
      </c>
      <c r="B2309" s="3" t="s">
        <v>10029</v>
      </c>
      <c r="C2309" s="3" t="s">
        <v>10030</v>
      </c>
      <c r="D2309" s="3" t="s">
        <v>9985</v>
      </c>
      <c r="E2309" s="3" t="s">
        <v>8729</v>
      </c>
      <c r="F2309" s="2" t="s">
        <v>10031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>
        <f t="shared" si="1"/>
        <v>2309</v>
      </c>
      <c r="B2310" s="3" t="s">
        <v>10032</v>
      </c>
      <c r="C2310" s="3" t="s">
        <v>10033</v>
      </c>
      <c r="D2310" s="3" t="s">
        <v>9985</v>
      </c>
      <c r="E2310" s="3" t="s">
        <v>8729</v>
      </c>
      <c r="F2310" s="2" t="s">
        <v>10034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>
        <f t="shared" si="1"/>
        <v>2310</v>
      </c>
      <c r="B2311" s="3" t="s">
        <v>10035</v>
      </c>
      <c r="C2311" s="3" t="s">
        <v>10036</v>
      </c>
      <c r="D2311" s="3" t="s">
        <v>9985</v>
      </c>
      <c r="E2311" s="3" t="s">
        <v>7926</v>
      </c>
      <c r="F2311" s="2" t="s">
        <v>10037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>
        <f t="shared" si="1"/>
        <v>2311</v>
      </c>
      <c r="B2312" s="3" t="s">
        <v>10038</v>
      </c>
      <c r="C2312" s="3" t="s">
        <v>10039</v>
      </c>
      <c r="D2312" s="3" t="s">
        <v>9985</v>
      </c>
      <c r="E2312" s="3" t="s">
        <v>8729</v>
      </c>
      <c r="F2312" s="2" t="s">
        <v>10040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>
        <f t="shared" si="1"/>
        <v>2312</v>
      </c>
      <c r="B2313" s="3" t="s">
        <v>10041</v>
      </c>
      <c r="C2313" s="3" t="s">
        <v>10042</v>
      </c>
      <c r="D2313" s="3" t="s">
        <v>9985</v>
      </c>
      <c r="E2313" s="3" t="s">
        <v>7903</v>
      </c>
      <c r="F2313" s="2" t="s">
        <v>10043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>
        <f t="shared" si="1"/>
        <v>2313</v>
      </c>
      <c r="B2314" s="3" t="s">
        <v>10044</v>
      </c>
      <c r="C2314" s="3" t="s">
        <v>10045</v>
      </c>
      <c r="D2314" s="3" t="s">
        <v>9985</v>
      </c>
      <c r="E2314" s="3" t="s">
        <v>7903</v>
      </c>
      <c r="F2314" s="2" t="s">
        <v>10046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>
        <f t="shared" si="1"/>
        <v>2314</v>
      </c>
      <c r="B2315" s="3" t="s">
        <v>10047</v>
      </c>
      <c r="C2315" s="3" t="s">
        <v>10048</v>
      </c>
      <c r="D2315" s="3" t="s">
        <v>9985</v>
      </c>
      <c r="E2315" s="3" t="s">
        <v>9590</v>
      </c>
      <c r="F2315" s="2" t="s">
        <v>10049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>
        <f t="shared" si="1"/>
        <v>2315</v>
      </c>
      <c r="B2316" s="3" t="s">
        <v>10050</v>
      </c>
      <c r="C2316" s="3" t="s">
        <v>10051</v>
      </c>
      <c r="D2316" s="3" t="s">
        <v>9985</v>
      </c>
      <c r="E2316" s="3" t="s">
        <v>8729</v>
      </c>
      <c r="F2316" s="2" t="s">
        <v>10052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>
        <f t="shared" si="1"/>
        <v>2316</v>
      </c>
      <c r="B2317" s="3" t="s">
        <v>10053</v>
      </c>
      <c r="C2317" s="3" t="s">
        <v>10054</v>
      </c>
      <c r="D2317" s="3" t="s">
        <v>9985</v>
      </c>
      <c r="E2317" s="3" t="s">
        <v>6838</v>
      </c>
      <c r="F2317" s="2" t="s">
        <v>10055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>
        <f t="shared" si="1"/>
        <v>2317</v>
      </c>
      <c r="B2318" s="3" t="s">
        <v>10056</v>
      </c>
      <c r="C2318" s="3" t="s">
        <v>10057</v>
      </c>
      <c r="D2318" s="3" t="s">
        <v>9985</v>
      </c>
      <c r="E2318" s="3" t="s">
        <v>8729</v>
      </c>
      <c r="F2318" s="2" t="s">
        <v>10058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>
        <f t="shared" si="1"/>
        <v>2318</v>
      </c>
      <c r="B2319" s="3" t="s">
        <v>10059</v>
      </c>
      <c r="C2319" s="3" t="s">
        <v>10060</v>
      </c>
      <c r="D2319" s="3" t="s">
        <v>9985</v>
      </c>
      <c r="E2319" s="3" t="s">
        <v>8729</v>
      </c>
      <c r="F2319" s="2" t="s">
        <v>10061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>
        <f t="shared" si="1"/>
        <v>2319</v>
      </c>
      <c r="B2320" s="3" t="s">
        <v>10062</v>
      </c>
      <c r="C2320" s="3" t="s">
        <v>10063</v>
      </c>
      <c r="D2320" s="3" t="s">
        <v>9985</v>
      </c>
      <c r="E2320" s="3" t="s">
        <v>9590</v>
      </c>
      <c r="F2320" s="2" t="s">
        <v>10064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>
        <f t="shared" si="1"/>
        <v>2320</v>
      </c>
      <c r="B2321" s="3" t="s">
        <v>10065</v>
      </c>
      <c r="C2321" s="3" t="s">
        <v>10066</v>
      </c>
      <c r="D2321" s="3" t="s">
        <v>9985</v>
      </c>
      <c r="E2321" s="3" t="s">
        <v>8729</v>
      </c>
      <c r="F2321" s="2" t="s">
        <v>10067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>
        <f t="shared" si="1"/>
        <v>2321</v>
      </c>
      <c r="B2322" s="3" t="s">
        <v>10068</v>
      </c>
      <c r="C2322" s="3" t="s">
        <v>10069</v>
      </c>
      <c r="D2322" s="3" t="s">
        <v>9985</v>
      </c>
      <c r="E2322" s="3" t="s">
        <v>7903</v>
      </c>
      <c r="F2322" s="2" t="s">
        <v>10070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>
        <f t="shared" si="1"/>
        <v>2322</v>
      </c>
      <c r="B2323" s="3" t="s">
        <v>10071</v>
      </c>
      <c r="C2323" s="3" t="s">
        <v>10072</v>
      </c>
      <c r="D2323" s="3" t="s">
        <v>9985</v>
      </c>
      <c r="E2323" s="3" t="s">
        <v>8729</v>
      </c>
      <c r="F2323" s="2" t="s">
        <v>10073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>
        <f t="shared" si="1"/>
        <v>2323</v>
      </c>
      <c r="B2324" s="3" t="s">
        <v>10074</v>
      </c>
      <c r="C2324" s="3" t="s">
        <v>10075</v>
      </c>
      <c r="D2324" s="3" t="s">
        <v>9985</v>
      </c>
      <c r="E2324" s="3" t="s">
        <v>6838</v>
      </c>
      <c r="F2324" s="2" t="s">
        <v>10076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>
        <f t="shared" si="1"/>
        <v>2324</v>
      </c>
      <c r="B2325" s="3" t="s">
        <v>10077</v>
      </c>
      <c r="C2325" s="3" t="s">
        <v>10078</v>
      </c>
      <c r="D2325" s="3" t="s">
        <v>9985</v>
      </c>
      <c r="E2325" s="3" t="s">
        <v>9590</v>
      </c>
      <c r="F2325" s="2" t="s">
        <v>10079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>
        <f t="shared" si="1"/>
        <v>2325</v>
      </c>
      <c r="B2326" s="3" t="s">
        <v>10080</v>
      </c>
      <c r="C2326" s="3" t="s">
        <v>10081</v>
      </c>
      <c r="D2326" s="3" t="s">
        <v>9985</v>
      </c>
      <c r="E2326" s="3" t="s">
        <v>7903</v>
      </c>
      <c r="F2326" s="2" t="s">
        <v>10082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>
        <f t="shared" si="1"/>
        <v>2326</v>
      </c>
      <c r="B2327" s="3" t="s">
        <v>10083</v>
      </c>
      <c r="C2327" s="3" t="s">
        <v>10084</v>
      </c>
      <c r="D2327" s="3" t="s">
        <v>9985</v>
      </c>
      <c r="E2327" s="3" t="s">
        <v>7926</v>
      </c>
      <c r="F2327" s="2" t="s">
        <v>10085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>
        <f t="shared" si="1"/>
        <v>2327</v>
      </c>
      <c r="B2328" s="3" t="s">
        <v>10086</v>
      </c>
      <c r="C2328" s="3" t="s">
        <v>10087</v>
      </c>
      <c r="D2328" s="3" t="s">
        <v>9985</v>
      </c>
      <c r="E2328" s="3" t="s">
        <v>9590</v>
      </c>
      <c r="F2328" s="2" t="s">
        <v>10088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>
        <f t="shared" si="1"/>
        <v>2328</v>
      </c>
      <c r="B2329" s="3" t="s">
        <v>10089</v>
      </c>
      <c r="C2329" s="3" t="s">
        <v>10090</v>
      </c>
      <c r="D2329" s="3" t="s">
        <v>9985</v>
      </c>
      <c r="E2329" s="3" t="s">
        <v>7903</v>
      </c>
      <c r="F2329" s="2" t="s">
        <v>10091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>
        <f t="shared" si="1"/>
        <v>2329</v>
      </c>
      <c r="B2330" s="3" t="s">
        <v>10092</v>
      </c>
      <c r="C2330" s="3" t="s">
        <v>10093</v>
      </c>
      <c r="D2330" s="3" t="s">
        <v>9985</v>
      </c>
      <c r="E2330" s="3" t="s">
        <v>9590</v>
      </c>
      <c r="F2330" s="2" t="s">
        <v>10094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>
        <f t="shared" si="1"/>
        <v>2330</v>
      </c>
      <c r="B2331" s="3" t="s">
        <v>10095</v>
      </c>
      <c r="C2331" s="3" t="s">
        <v>10096</v>
      </c>
      <c r="D2331" s="3" t="s">
        <v>9985</v>
      </c>
      <c r="E2331" s="3" t="s">
        <v>9590</v>
      </c>
      <c r="F2331" s="2" t="s">
        <v>10097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>
        <f t="shared" si="1"/>
        <v>2331</v>
      </c>
      <c r="B2332" s="3" t="s">
        <v>10098</v>
      </c>
      <c r="C2332" s="3" t="s">
        <v>10099</v>
      </c>
      <c r="D2332" s="3" t="s">
        <v>9985</v>
      </c>
      <c r="E2332" s="3" t="s">
        <v>9590</v>
      </c>
      <c r="F2332" s="2" t="s">
        <v>10100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>
        <f t="shared" si="1"/>
        <v>2332</v>
      </c>
      <c r="B2333" s="3" t="s">
        <v>10101</v>
      </c>
      <c r="C2333" s="3" t="s">
        <v>10102</v>
      </c>
      <c r="D2333" s="3" t="s">
        <v>9985</v>
      </c>
      <c r="E2333" s="3" t="s">
        <v>9590</v>
      </c>
      <c r="F2333" s="2" t="s">
        <v>10103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>
        <f t="shared" si="1"/>
        <v>2333</v>
      </c>
      <c r="B2334" s="3" t="s">
        <v>10104</v>
      </c>
      <c r="C2334" s="3" t="s">
        <v>10105</v>
      </c>
      <c r="D2334" s="3" t="s">
        <v>9985</v>
      </c>
      <c r="E2334" s="3" t="s">
        <v>7926</v>
      </c>
      <c r="F2334" s="2" t="s">
        <v>10106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>
        <f t="shared" si="1"/>
        <v>2334</v>
      </c>
      <c r="B2335" s="3" t="s">
        <v>10107</v>
      </c>
      <c r="C2335" s="3" t="s">
        <v>10108</v>
      </c>
      <c r="D2335" s="3" t="s">
        <v>9985</v>
      </c>
      <c r="E2335" s="3" t="s">
        <v>8729</v>
      </c>
      <c r="F2335" s="2" t="s">
        <v>10109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>
        <f t="shared" si="1"/>
        <v>2335</v>
      </c>
      <c r="B2336" s="3" t="s">
        <v>10110</v>
      </c>
      <c r="C2336" s="3" t="s">
        <v>10111</v>
      </c>
      <c r="D2336" s="3" t="s">
        <v>9985</v>
      </c>
      <c r="E2336" s="3" t="s">
        <v>9590</v>
      </c>
      <c r="F2336" s="2" t="s">
        <v>10112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>
        <f t="shared" si="1"/>
        <v>2336</v>
      </c>
      <c r="B2337" s="3" t="s">
        <v>10113</v>
      </c>
      <c r="C2337" s="3" t="s">
        <v>10114</v>
      </c>
      <c r="D2337" s="3" t="s">
        <v>9985</v>
      </c>
      <c r="E2337" s="3" t="s">
        <v>7903</v>
      </c>
      <c r="F2337" s="2" t="s">
        <v>10115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>
        <f t="shared" si="1"/>
        <v>2337</v>
      </c>
      <c r="B2338" s="3" t="s">
        <v>10116</v>
      </c>
      <c r="C2338" s="3" t="s">
        <v>10117</v>
      </c>
      <c r="D2338" s="3" t="s">
        <v>9985</v>
      </c>
      <c r="E2338" s="3" t="s">
        <v>9590</v>
      </c>
      <c r="F2338" s="2" t="s">
        <v>10118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>
        <f t="shared" si="1"/>
        <v>2338</v>
      </c>
      <c r="B2339" s="3" t="s">
        <v>10119</v>
      </c>
      <c r="C2339" s="3" t="s">
        <v>10120</v>
      </c>
      <c r="D2339" s="3" t="s">
        <v>9985</v>
      </c>
      <c r="E2339" s="3" t="s">
        <v>7903</v>
      </c>
      <c r="F2339" s="2" t="s">
        <v>10121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>
        <f t="shared" si="1"/>
        <v>2339</v>
      </c>
      <c r="B2340" s="3" t="s">
        <v>10122</v>
      </c>
      <c r="C2340" s="3" t="s">
        <v>10123</v>
      </c>
      <c r="D2340" s="3" t="s">
        <v>10124</v>
      </c>
      <c r="E2340" s="3" t="s">
        <v>10125</v>
      </c>
      <c r="F2340" s="2" t="s">
        <v>10126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>
        <f t="shared" si="1"/>
        <v>2340</v>
      </c>
      <c r="B2341" s="3" t="s">
        <v>10127</v>
      </c>
      <c r="C2341" s="3" t="s">
        <v>10128</v>
      </c>
      <c r="D2341" s="3" t="s">
        <v>10124</v>
      </c>
      <c r="E2341" s="3" t="s">
        <v>10125</v>
      </c>
      <c r="F2341" s="2" t="s">
        <v>10129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>
        <f t="shared" si="1"/>
        <v>2341</v>
      </c>
      <c r="B2342" s="3" t="s">
        <v>10130</v>
      </c>
      <c r="C2342" s="3" t="s">
        <v>10131</v>
      </c>
      <c r="D2342" s="3" t="s">
        <v>10124</v>
      </c>
      <c r="E2342" s="3" t="s">
        <v>10125</v>
      </c>
      <c r="F2342" s="2" t="s">
        <v>10132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>
        <f t="shared" si="1"/>
        <v>2342</v>
      </c>
      <c r="B2343" s="3" t="s">
        <v>10133</v>
      </c>
      <c r="C2343" s="3" t="s">
        <v>10134</v>
      </c>
      <c r="D2343" s="3" t="s">
        <v>10124</v>
      </c>
      <c r="E2343" s="3" t="s">
        <v>10125</v>
      </c>
      <c r="F2343" s="2" t="s">
        <v>10135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>
        <f t="shared" si="1"/>
        <v>2343</v>
      </c>
      <c r="B2344" s="3" t="s">
        <v>10136</v>
      </c>
      <c r="C2344" s="3" t="s">
        <v>10137</v>
      </c>
      <c r="D2344" s="3" t="s">
        <v>10124</v>
      </c>
      <c r="E2344" s="3" t="s">
        <v>10125</v>
      </c>
      <c r="F2344" s="2" t="s">
        <v>10138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>
        <f t="shared" si="1"/>
        <v>2344</v>
      </c>
      <c r="B2345" s="3" t="s">
        <v>10139</v>
      </c>
      <c r="C2345" s="3" t="s">
        <v>10140</v>
      </c>
      <c r="D2345" s="3" t="s">
        <v>10124</v>
      </c>
      <c r="E2345" s="3" t="s">
        <v>10125</v>
      </c>
      <c r="F2345" s="2" t="s">
        <v>10141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>
        <f t="shared" si="1"/>
        <v>2345</v>
      </c>
      <c r="B2346" s="3" t="s">
        <v>10142</v>
      </c>
      <c r="C2346" s="3" t="s">
        <v>10143</v>
      </c>
      <c r="D2346" s="3" t="s">
        <v>10124</v>
      </c>
      <c r="E2346" s="3" t="s">
        <v>10125</v>
      </c>
      <c r="F2346" s="2" t="s">
        <v>10144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>
        <f t="shared" si="1"/>
        <v>2346</v>
      </c>
      <c r="B2347" s="3" t="s">
        <v>10145</v>
      </c>
      <c r="C2347" s="3" t="s">
        <v>10146</v>
      </c>
      <c r="D2347" s="3" t="s">
        <v>10124</v>
      </c>
      <c r="E2347" s="3" t="s">
        <v>10125</v>
      </c>
      <c r="F2347" s="2" t="s">
        <v>10147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>
        <f t="shared" si="1"/>
        <v>2347</v>
      </c>
      <c r="B2348" s="3" t="s">
        <v>10148</v>
      </c>
      <c r="C2348" s="3" t="s">
        <v>10149</v>
      </c>
      <c r="D2348" s="3" t="s">
        <v>10124</v>
      </c>
      <c r="E2348" s="3" t="s">
        <v>10125</v>
      </c>
      <c r="F2348" s="2" t="s">
        <v>10150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>
        <f t="shared" si="1"/>
        <v>2348</v>
      </c>
      <c r="B2349" s="3" t="s">
        <v>10151</v>
      </c>
      <c r="C2349" s="3" t="s">
        <v>10152</v>
      </c>
      <c r="D2349" s="3" t="s">
        <v>10124</v>
      </c>
      <c r="E2349" s="3" t="s">
        <v>10125</v>
      </c>
      <c r="F2349" s="2" t="s">
        <v>10153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>
        <f t="shared" si="1"/>
        <v>2349</v>
      </c>
      <c r="B2350" s="3" t="s">
        <v>10154</v>
      </c>
      <c r="C2350" s="3" t="s">
        <v>10155</v>
      </c>
      <c r="D2350" s="3" t="s">
        <v>10124</v>
      </c>
      <c r="E2350" s="3" t="s">
        <v>10125</v>
      </c>
      <c r="F2350" s="2" t="s">
        <v>10156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>
        <f t="shared" si="1"/>
        <v>2350</v>
      </c>
      <c r="B2351" s="3" t="s">
        <v>10157</v>
      </c>
      <c r="C2351" s="3" t="s">
        <v>10158</v>
      </c>
      <c r="D2351" s="3" t="s">
        <v>10124</v>
      </c>
      <c r="E2351" s="3" t="s">
        <v>10125</v>
      </c>
      <c r="F2351" s="2" t="s">
        <v>10159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>
        <f t="shared" si="1"/>
        <v>2351</v>
      </c>
      <c r="B2352" s="3" t="s">
        <v>10160</v>
      </c>
      <c r="C2352" s="3" t="s">
        <v>10161</v>
      </c>
      <c r="D2352" s="3" t="s">
        <v>10124</v>
      </c>
      <c r="E2352" s="3" t="s">
        <v>10125</v>
      </c>
      <c r="F2352" s="2" t="s">
        <v>10162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>
        <f t="shared" si="1"/>
        <v>2352</v>
      </c>
      <c r="B2353" s="3" t="s">
        <v>10163</v>
      </c>
      <c r="C2353" s="3" t="s">
        <v>10164</v>
      </c>
      <c r="D2353" s="3" t="s">
        <v>10124</v>
      </c>
      <c r="E2353" s="3" t="s">
        <v>10125</v>
      </c>
      <c r="F2353" s="2" t="s">
        <v>10165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>
        <f t="shared" si="1"/>
        <v>2353</v>
      </c>
      <c r="B2354" s="3" t="s">
        <v>10166</v>
      </c>
      <c r="C2354" s="3" t="s">
        <v>10167</v>
      </c>
      <c r="D2354" s="3" t="s">
        <v>10124</v>
      </c>
      <c r="E2354" s="3" t="s">
        <v>10125</v>
      </c>
      <c r="F2354" s="2" t="s">
        <v>10168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>
        <f t="shared" si="1"/>
        <v>2354</v>
      </c>
      <c r="B2355" s="3" t="s">
        <v>10169</v>
      </c>
      <c r="C2355" s="3" t="s">
        <v>10170</v>
      </c>
      <c r="D2355" s="3" t="s">
        <v>10124</v>
      </c>
      <c r="E2355" s="3" t="s">
        <v>10125</v>
      </c>
      <c r="F2355" s="2" t="s">
        <v>10171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>
        <f t="shared" si="1"/>
        <v>2355</v>
      </c>
      <c r="B2356" s="3" t="s">
        <v>10172</v>
      </c>
      <c r="C2356" s="3" t="s">
        <v>10173</v>
      </c>
      <c r="D2356" s="3" t="s">
        <v>10124</v>
      </c>
      <c r="E2356" s="3" t="s">
        <v>10125</v>
      </c>
      <c r="F2356" s="2" t="s">
        <v>10174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>
        <f t="shared" si="1"/>
        <v>2356</v>
      </c>
      <c r="B2357" s="3" t="s">
        <v>10175</v>
      </c>
      <c r="C2357" s="3" t="s">
        <v>10176</v>
      </c>
      <c r="D2357" s="3" t="s">
        <v>10124</v>
      </c>
      <c r="E2357" s="3" t="s">
        <v>10125</v>
      </c>
      <c r="F2357" s="2" t="s">
        <v>10177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>
        <f t="shared" si="1"/>
        <v>2357</v>
      </c>
      <c r="B2358" s="3" t="s">
        <v>10178</v>
      </c>
      <c r="C2358" s="3" t="s">
        <v>10179</v>
      </c>
      <c r="D2358" s="3" t="s">
        <v>10124</v>
      </c>
      <c r="E2358" s="3" t="s">
        <v>10125</v>
      </c>
      <c r="F2358" s="2" t="s">
        <v>10180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>
        <f t="shared" si="1"/>
        <v>2358</v>
      </c>
      <c r="B2359" s="3" t="s">
        <v>10181</v>
      </c>
      <c r="C2359" s="3" t="s">
        <v>10182</v>
      </c>
      <c r="D2359" s="3" t="s">
        <v>10124</v>
      </c>
      <c r="E2359" s="3" t="s">
        <v>10125</v>
      </c>
      <c r="F2359" s="2" t="s">
        <v>10183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>
        <f t="shared" si="1"/>
        <v>2359</v>
      </c>
      <c r="B2360" s="3" t="s">
        <v>10184</v>
      </c>
      <c r="C2360" s="3" t="s">
        <v>10185</v>
      </c>
      <c r="D2360" s="3" t="s">
        <v>10124</v>
      </c>
      <c r="E2360" s="3" t="s">
        <v>10125</v>
      </c>
      <c r="F2360" s="2" t="s">
        <v>10186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>
        <f t="shared" si="1"/>
        <v>2360</v>
      </c>
      <c r="B2361" s="3" t="s">
        <v>10187</v>
      </c>
      <c r="C2361" s="3" t="s">
        <v>10188</v>
      </c>
      <c r="D2361" s="3" t="s">
        <v>10124</v>
      </c>
      <c r="E2361" s="3" t="s">
        <v>10125</v>
      </c>
      <c r="F2361" s="2" t="s">
        <v>10189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>
        <f t="shared" si="1"/>
        <v>2361</v>
      </c>
      <c r="B2362" s="3" t="s">
        <v>10190</v>
      </c>
      <c r="C2362" s="3" t="s">
        <v>10191</v>
      </c>
      <c r="D2362" s="3" t="s">
        <v>10124</v>
      </c>
      <c r="E2362" s="3" t="s">
        <v>10125</v>
      </c>
      <c r="F2362" s="2" t="s">
        <v>10192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>
        <f t="shared" si="1"/>
        <v>2362</v>
      </c>
      <c r="B2363" s="3" t="s">
        <v>10193</v>
      </c>
      <c r="C2363" s="3" t="s">
        <v>10194</v>
      </c>
      <c r="D2363" s="3" t="s">
        <v>10124</v>
      </c>
      <c r="E2363" s="3" t="s">
        <v>10125</v>
      </c>
      <c r="F2363" s="2" t="s">
        <v>10195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>
        <f t="shared" si="1"/>
        <v>2363</v>
      </c>
      <c r="B2364" s="3" t="s">
        <v>10196</v>
      </c>
      <c r="C2364" s="3" t="s">
        <v>10197</v>
      </c>
      <c r="D2364" s="3" t="s">
        <v>10124</v>
      </c>
      <c r="E2364" s="3" t="s">
        <v>10125</v>
      </c>
      <c r="F2364" s="2" t="s">
        <v>10198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>
        <f t="shared" si="1"/>
        <v>2364</v>
      </c>
      <c r="B2365" s="3" t="s">
        <v>10199</v>
      </c>
      <c r="C2365" s="3" t="s">
        <v>10200</v>
      </c>
      <c r="D2365" s="3" t="s">
        <v>10124</v>
      </c>
      <c r="E2365" s="3" t="s">
        <v>10125</v>
      </c>
      <c r="F2365" s="2" t="s">
        <v>10201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>
        <f t="shared" si="1"/>
        <v>2365</v>
      </c>
      <c r="B2366" s="3" t="s">
        <v>10202</v>
      </c>
      <c r="C2366" s="3" t="s">
        <v>10203</v>
      </c>
      <c r="D2366" s="3" t="s">
        <v>10124</v>
      </c>
      <c r="E2366" s="3" t="s">
        <v>10125</v>
      </c>
      <c r="F2366" s="2" t="s">
        <v>10204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>
        <f t="shared" si="1"/>
        <v>2366</v>
      </c>
      <c r="B2367" s="3" t="s">
        <v>10205</v>
      </c>
      <c r="C2367" s="3" t="s">
        <v>10206</v>
      </c>
      <c r="D2367" s="3" t="s">
        <v>10124</v>
      </c>
      <c r="E2367" s="3" t="s">
        <v>10125</v>
      </c>
      <c r="F2367" s="2" t="s">
        <v>10207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>
        <f t="shared" si="1"/>
        <v>2367</v>
      </c>
      <c r="B2368" s="3" t="s">
        <v>10208</v>
      </c>
      <c r="C2368" s="3" t="s">
        <v>10209</v>
      </c>
      <c r="D2368" s="3" t="s">
        <v>10124</v>
      </c>
      <c r="E2368" s="3" t="s">
        <v>10125</v>
      </c>
      <c r="F2368" s="2" t="s">
        <v>10210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>
        <f t="shared" si="1"/>
        <v>2368</v>
      </c>
      <c r="B2369" s="3" t="s">
        <v>10211</v>
      </c>
      <c r="C2369" s="3" t="s">
        <v>10212</v>
      </c>
      <c r="D2369" s="3" t="s">
        <v>10124</v>
      </c>
      <c r="E2369" s="3" t="s">
        <v>10125</v>
      </c>
      <c r="F2369" s="2" t="s">
        <v>10213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>
        <f t="shared" si="1"/>
        <v>2369</v>
      </c>
      <c r="B2370" s="3" t="s">
        <v>10214</v>
      </c>
      <c r="C2370" s="3" t="s">
        <v>10215</v>
      </c>
      <c r="D2370" s="3" t="s">
        <v>10124</v>
      </c>
      <c r="E2370" s="3" t="s">
        <v>10125</v>
      </c>
      <c r="F2370" s="2" t="s">
        <v>10216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>
        <f t="shared" si="1"/>
        <v>2370</v>
      </c>
      <c r="B2371" s="3" t="s">
        <v>10217</v>
      </c>
      <c r="C2371" s="3" t="s">
        <v>10218</v>
      </c>
      <c r="D2371" s="3" t="s">
        <v>10124</v>
      </c>
      <c r="E2371" s="3" t="s">
        <v>10125</v>
      </c>
      <c r="F2371" s="2" t="s">
        <v>10219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>
        <f t="shared" si="1"/>
        <v>2371</v>
      </c>
      <c r="B2372" s="3" t="s">
        <v>10220</v>
      </c>
      <c r="C2372" s="3" t="s">
        <v>10221</v>
      </c>
      <c r="D2372" s="3" t="s">
        <v>10124</v>
      </c>
      <c r="E2372" s="3" t="s">
        <v>10125</v>
      </c>
      <c r="F2372" s="2" t="s">
        <v>10222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>
        <f t="shared" si="1"/>
        <v>2372</v>
      </c>
      <c r="B2373" s="3" t="s">
        <v>10223</v>
      </c>
      <c r="C2373" s="3" t="s">
        <v>10224</v>
      </c>
      <c r="D2373" s="3" t="s">
        <v>10124</v>
      </c>
      <c r="E2373" s="3" t="s">
        <v>10125</v>
      </c>
      <c r="F2373" s="2" t="s">
        <v>10225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>
        <f t="shared" si="1"/>
        <v>2373</v>
      </c>
      <c r="B2374" s="3" t="s">
        <v>10226</v>
      </c>
      <c r="C2374" s="3" t="s">
        <v>10227</v>
      </c>
      <c r="D2374" s="3" t="s">
        <v>10124</v>
      </c>
      <c r="E2374" s="3" t="s">
        <v>10125</v>
      </c>
      <c r="F2374" s="2" t="s">
        <v>10228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>
        <f t="shared" si="1"/>
        <v>2374</v>
      </c>
      <c r="B2375" s="3" t="s">
        <v>10229</v>
      </c>
      <c r="C2375" s="3" t="s">
        <v>10230</v>
      </c>
      <c r="D2375" s="3" t="s">
        <v>10124</v>
      </c>
      <c r="E2375" s="3" t="s">
        <v>10125</v>
      </c>
      <c r="F2375" s="2" t="s">
        <v>10231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>
        <f t="shared" si="1"/>
        <v>2375</v>
      </c>
      <c r="B2376" s="3" t="s">
        <v>10232</v>
      </c>
      <c r="C2376" s="3" t="s">
        <v>10233</v>
      </c>
      <c r="D2376" s="3" t="s">
        <v>10234</v>
      </c>
      <c r="E2376" s="3" t="s">
        <v>10235</v>
      </c>
      <c r="F2376" s="2" t="s">
        <v>10236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>
        <f t="shared" si="1"/>
        <v>2376</v>
      </c>
      <c r="B2377" s="3" t="s">
        <v>10237</v>
      </c>
      <c r="C2377" s="3" t="s">
        <v>10238</v>
      </c>
      <c r="D2377" s="3" t="s">
        <v>10234</v>
      </c>
      <c r="E2377" s="3" t="s">
        <v>10235</v>
      </c>
      <c r="F2377" s="2" t="s">
        <v>10239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>
        <f t="shared" si="1"/>
        <v>2377</v>
      </c>
      <c r="B2378" s="3" t="s">
        <v>10240</v>
      </c>
      <c r="C2378" s="3" t="s">
        <v>10241</v>
      </c>
      <c r="D2378" s="3" t="s">
        <v>10234</v>
      </c>
      <c r="E2378" s="3" t="s">
        <v>10235</v>
      </c>
      <c r="F2378" s="2" t="s">
        <v>10242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>
        <f t="shared" si="1"/>
        <v>2378</v>
      </c>
      <c r="B2379" s="3" t="s">
        <v>10243</v>
      </c>
      <c r="C2379" s="3" t="s">
        <v>10244</v>
      </c>
      <c r="D2379" s="3" t="s">
        <v>10234</v>
      </c>
      <c r="E2379" s="3" t="s">
        <v>10235</v>
      </c>
      <c r="F2379" s="2" t="s">
        <v>10245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>
        <f t="shared" si="1"/>
        <v>2379</v>
      </c>
      <c r="B2380" s="3" t="s">
        <v>10246</v>
      </c>
      <c r="C2380" s="3" t="s">
        <v>10247</v>
      </c>
      <c r="D2380" s="3" t="s">
        <v>10234</v>
      </c>
      <c r="E2380" s="3" t="s">
        <v>10235</v>
      </c>
      <c r="F2380" s="2" t="s">
        <v>10248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>
        <f t="shared" si="1"/>
        <v>2380</v>
      </c>
      <c r="B2381" s="3" t="s">
        <v>10249</v>
      </c>
      <c r="C2381" s="3" t="s">
        <v>10250</v>
      </c>
      <c r="D2381" s="3" t="s">
        <v>10234</v>
      </c>
      <c r="E2381" s="3" t="s">
        <v>10235</v>
      </c>
      <c r="F2381" s="2" t="s">
        <v>10251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>
        <f t="shared" si="1"/>
        <v>2381</v>
      </c>
      <c r="B2382" s="3" t="s">
        <v>10252</v>
      </c>
      <c r="C2382" s="3" t="s">
        <v>10253</v>
      </c>
      <c r="D2382" s="3" t="s">
        <v>10234</v>
      </c>
      <c r="E2382" s="3" t="s">
        <v>10235</v>
      </c>
      <c r="F2382" s="2" t="s">
        <v>10254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>
        <f t="shared" si="1"/>
        <v>2382</v>
      </c>
      <c r="B2383" s="3" t="s">
        <v>10255</v>
      </c>
      <c r="C2383" s="3" t="s">
        <v>10256</v>
      </c>
      <c r="D2383" s="3" t="s">
        <v>10234</v>
      </c>
      <c r="E2383" s="3" t="s">
        <v>10235</v>
      </c>
      <c r="F2383" s="2" t="s">
        <v>10257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>
        <f t="shared" si="1"/>
        <v>2383</v>
      </c>
      <c r="B2384" s="3" t="s">
        <v>10258</v>
      </c>
      <c r="C2384" s="3" t="s">
        <v>10259</v>
      </c>
      <c r="D2384" s="3" t="s">
        <v>10234</v>
      </c>
      <c r="E2384" s="3" t="s">
        <v>10235</v>
      </c>
      <c r="F2384" s="2" t="s">
        <v>10260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>
        <f t="shared" si="1"/>
        <v>2384</v>
      </c>
      <c r="B2385" s="3" t="s">
        <v>10261</v>
      </c>
      <c r="C2385" s="3" t="s">
        <v>10262</v>
      </c>
      <c r="D2385" s="3" t="s">
        <v>10234</v>
      </c>
      <c r="E2385" s="3" t="s">
        <v>10235</v>
      </c>
      <c r="F2385" s="2" t="s">
        <v>10263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>
        <f t="shared" si="1"/>
        <v>2385</v>
      </c>
      <c r="B2386" s="3" t="s">
        <v>10264</v>
      </c>
      <c r="C2386" s="3" t="s">
        <v>10265</v>
      </c>
      <c r="D2386" s="3" t="s">
        <v>10234</v>
      </c>
      <c r="E2386" s="3" t="s">
        <v>10235</v>
      </c>
      <c r="F2386" s="2" t="s">
        <v>10266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>
        <f t="shared" si="1"/>
        <v>2386</v>
      </c>
      <c r="B2387" s="3" t="s">
        <v>10267</v>
      </c>
      <c r="C2387" s="3" t="s">
        <v>10268</v>
      </c>
      <c r="D2387" s="3" t="s">
        <v>10234</v>
      </c>
      <c r="E2387" s="3" t="s">
        <v>10235</v>
      </c>
      <c r="F2387" s="2" t="s">
        <v>10269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>
        <f t="shared" si="1"/>
        <v>2387</v>
      </c>
      <c r="B2388" s="3" t="s">
        <v>10270</v>
      </c>
      <c r="C2388" s="3" t="s">
        <v>10271</v>
      </c>
      <c r="D2388" s="3" t="s">
        <v>10234</v>
      </c>
      <c r="E2388" s="3" t="s">
        <v>10235</v>
      </c>
      <c r="F2388" s="2" t="s">
        <v>10272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>
        <f t="shared" si="1"/>
        <v>2388</v>
      </c>
      <c r="B2389" s="3" t="s">
        <v>10273</v>
      </c>
      <c r="C2389" s="3" t="s">
        <v>10274</v>
      </c>
      <c r="D2389" s="3" t="s">
        <v>10234</v>
      </c>
      <c r="E2389" s="3" t="s">
        <v>10235</v>
      </c>
      <c r="F2389" s="2" t="s">
        <v>10275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>
        <f t="shared" si="1"/>
        <v>2389</v>
      </c>
      <c r="B2390" s="3" t="s">
        <v>10276</v>
      </c>
      <c r="C2390" s="3" t="s">
        <v>10277</v>
      </c>
      <c r="D2390" s="3" t="s">
        <v>10234</v>
      </c>
      <c r="E2390" s="3" t="s">
        <v>10235</v>
      </c>
      <c r="F2390" s="2" t="s">
        <v>10278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>
        <f t="shared" si="1"/>
        <v>2390</v>
      </c>
      <c r="B2391" s="3" t="s">
        <v>10279</v>
      </c>
      <c r="C2391" s="3" t="s">
        <v>10280</v>
      </c>
      <c r="D2391" s="3" t="s">
        <v>10234</v>
      </c>
      <c r="E2391" s="3" t="s">
        <v>10235</v>
      </c>
      <c r="F2391" s="2" t="s">
        <v>10281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>
        <f t="shared" si="1"/>
        <v>2391</v>
      </c>
      <c r="B2392" s="3" t="s">
        <v>10282</v>
      </c>
      <c r="C2392" s="3" t="s">
        <v>10283</v>
      </c>
      <c r="D2392" s="3" t="s">
        <v>10234</v>
      </c>
      <c r="E2392" s="3" t="s">
        <v>10235</v>
      </c>
      <c r="F2392" s="2" t="s">
        <v>10284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>
        <f t="shared" si="1"/>
        <v>2392</v>
      </c>
      <c r="B2393" s="3" t="s">
        <v>10285</v>
      </c>
      <c r="C2393" s="3" t="s">
        <v>10286</v>
      </c>
      <c r="D2393" s="3" t="s">
        <v>10234</v>
      </c>
      <c r="E2393" s="3" t="s">
        <v>10235</v>
      </c>
      <c r="F2393" s="2" t="s">
        <v>10287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>
        <f t="shared" si="1"/>
        <v>2393</v>
      </c>
      <c r="B2394" s="3" t="s">
        <v>10288</v>
      </c>
      <c r="C2394" s="3" t="s">
        <v>10289</v>
      </c>
      <c r="D2394" s="3" t="s">
        <v>10234</v>
      </c>
      <c r="E2394" s="3" t="s">
        <v>10235</v>
      </c>
      <c r="F2394" s="2" t="s">
        <v>10290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>
        <f t="shared" si="1"/>
        <v>2394</v>
      </c>
      <c r="B2395" s="3" t="s">
        <v>10291</v>
      </c>
      <c r="C2395" s="3" t="s">
        <v>10292</v>
      </c>
      <c r="D2395" s="3" t="s">
        <v>10234</v>
      </c>
      <c r="E2395" s="3" t="s">
        <v>10235</v>
      </c>
      <c r="F2395" s="2" t="s">
        <v>10293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>
        <f t="shared" si="1"/>
        <v>2395</v>
      </c>
      <c r="B2396" s="3" t="s">
        <v>10294</v>
      </c>
      <c r="C2396" s="3" t="s">
        <v>10295</v>
      </c>
      <c r="D2396" s="3" t="s">
        <v>10234</v>
      </c>
      <c r="E2396" s="3" t="s">
        <v>10235</v>
      </c>
      <c r="F2396" s="2" t="s">
        <v>10296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>
        <f t="shared" si="1"/>
        <v>2396</v>
      </c>
      <c r="B2397" s="3" t="s">
        <v>10297</v>
      </c>
      <c r="C2397" s="3" t="s">
        <v>10298</v>
      </c>
      <c r="D2397" s="3" t="s">
        <v>10234</v>
      </c>
      <c r="E2397" s="3" t="s">
        <v>10235</v>
      </c>
      <c r="F2397" s="2" t="s">
        <v>10299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>
        <f t="shared" si="1"/>
        <v>2397</v>
      </c>
      <c r="B2398" s="3" t="s">
        <v>10300</v>
      </c>
      <c r="C2398" s="3" t="s">
        <v>10301</v>
      </c>
      <c r="D2398" s="3" t="s">
        <v>10234</v>
      </c>
      <c r="E2398" s="3" t="s">
        <v>10235</v>
      </c>
      <c r="F2398" s="2" t="s">
        <v>10302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>
        <f t="shared" si="1"/>
        <v>2398</v>
      </c>
      <c r="B2399" s="3" t="s">
        <v>10303</v>
      </c>
      <c r="C2399" s="3" t="s">
        <v>10304</v>
      </c>
      <c r="D2399" s="3" t="s">
        <v>10234</v>
      </c>
      <c r="E2399" s="3" t="s">
        <v>10235</v>
      </c>
      <c r="F2399" s="2" t="s">
        <v>10305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>
        <f t="shared" si="1"/>
        <v>2399</v>
      </c>
      <c r="B2400" s="3" t="s">
        <v>10306</v>
      </c>
      <c r="C2400" s="3" t="s">
        <v>10307</v>
      </c>
      <c r="D2400" s="3" t="s">
        <v>10234</v>
      </c>
      <c r="E2400" s="3" t="s">
        <v>10235</v>
      </c>
      <c r="F2400" s="2" t="s">
        <v>10308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>
        <f t="shared" si="1"/>
        <v>2400</v>
      </c>
      <c r="B2401" s="3" t="s">
        <v>10309</v>
      </c>
      <c r="C2401" s="3" t="s">
        <v>10310</v>
      </c>
      <c r="D2401" s="3" t="s">
        <v>10234</v>
      </c>
      <c r="E2401" s="3" t="s">
        <v>10235</v>
      </c>
      <c r="F2401" s="2" t="s">
        <v>10311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>
        <f t="shared" si="1"/>
        <v>2401</v>
      </c>
      <c r="B2402" s="3" t="s">
        <v>10312</v>
      </c>
      <c r="C2402" s="3" t="s">
        <v>10313</v>
      </c>
      <c r="D2402" s="3" t="s">
        <v>10234</v>
      </c>
      <c r="E2402" s="3" t="s">
        <v>10235</v>
      </c>
      <c r="F2402" s="2" t="s">
        <v>10314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>
        <f t="shared" si="1"/>
        <v>2402</v>
      </c>
      <c r="B2403" s="3" t="s">
        <v>10315</v>
      </c>
      <c r="C2403" s="3" t="s">
        <v>10316</v>
      </c>
      <c r="D2403" s="3" t="s">
        <v>10317</v>
      </c>
      <c r="E2403" s="3" t="s">
        <v>8595</v>
      </c>
      <c r="F2403" s="2" t="s">
        <v>10318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>
        <f t="shared" si="1"/>
        <v>2403</v>
      </c>
      <c r="B2404" s="3" t="s">
        <v>10319</v>
      </c>
      <c r="C2404" s="3" t="s">
        <v>10320</v>
      </c>
      <c r="D2404" s="3" t="s">
        <v>10317</v>
      </c>
      <c r="E2404" s="3" t="s">
        <v>8339</v>
      </c>
      <c r="F2404" s="2" t="s">
        <v>10321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>
        <f t="shared" si="1"/>
        <v>2404</v>
      </c>
      <c r="B2405" s="3" t="s">
        <v>10322</v>
      </c>
      <c r="C2405" s="3" t="s">
        <v>10323</v>
      </c>
      <c r="D2405" s="3" t="s">
        <v>10317</v>
      </c>
      <c r="E2405" s="3" t="s">
        <v>8595</v>
      </c>
      <c r="F2405" s="2" t="s">
        <v>10324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>
        <f t="shared" si="1"/>
        <v>2405</v>
      </c>
      <c r="B2406" s="3" t="s">
        <v>10325</v>
      </c>
      <c r="C2406" s="3" t="s">
        <v>10326</v>
      </c>
      <c r="D2406" s="3" t="s">
        <v>10317</v>
      </c>
      <c r="E2406" s="3" t="s">
        <v>8339</v>
      </c>
      <c r="F2406" s="2" t="s">
        <v>10327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>
        <f t="shared" si="1"/>
        <v>2406</v>
      </c>
      <c r="B2407" s="3" t="s">
        <v>10328</v>
      </c>
      <c r="C2407" s="3" t="s">
        <v>10329</v>
      </c>
      <c r="D2407" s="3" t="s">
        <v>10317</v>
      </c>
      <c r="E2407" s="3" t="s">
        <v>7895</v>
      </c>
      <c r="F2407" s="2" t="s">
        <v>10330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>
        <f t="shared" si="1"/>
        <v>2407</v>
      </c>
      <c r="B2408" s="3" t="s">
        <v>10331</v>
      </c>
      <c r="C2408" s="3" t="s">
        <v>10332</v>
      </c>
      <c r="D2408" s="3" t="s">
        <v>10317</v>
      </c>
      <c r="E2408" s="3" t="s">
        <v>8339</v>
      </c>
      <c r="F2408" s="2" t="s">
        <v>10333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>
        <f t="shared" si="1"/>
        <v>2408</v>
      </c>
      <c r="B2409" s="3" t="s">
        <v>10334</v>
      </c>
      <c r="C2409" s="3" t="s">
        <v>10335</v>
      </c>
      <c r="D2409" s="3" t="s">
        <v>10317</v>
      </c>
      <c r="E2409" s="3" t="s">
        <v>8339</v>
      </c>
      <c r="F2409" s="2" t="s">
        <v>10336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>
        <f t="shared" si="1"/>
        <v>2409</v>
      </c>
      <c r="B2410" s="3" t="s">
        <v>10337</v>
      </c>
      <c r="C2410" s="3" t="s">
        <v>10338</v>
      </c>
      <c r="D2410" s="3" t="s">
        <v>10317</v>
      </c>
      <c r="E2410" s="3" t="s">
        <v>8339</v>
      </c>
      <c r="F2410" s="2" t="s">
        <v>10339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>
        <f t="shared" si="1"/>
        <v>2410</v>
      </c>
      <c r="B2411" s="3" t="s">
        <v>10340</v>
      </c>
      <c r="C2411" s="3" t="s">
        <v>10341</v>
      </c>
      <c r="D2411" s="3" t="s">
        <v>10317</v>
      </c>
      <c r="E2411" s="3" t="s">
        <v>8595</v>
      </c>
      <c r="F2411" s="2" t="s">
        <v>10342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>
        <f t="shared" si="1"/>
        <v>2411</v>
      </c>
      <c r="B2412" s="3" t="s">
        <v>10343</v>
      </c>
      <c r="C2412" s="3" t="s">
        <v>10344</v>
      </c>
      <c r="D2412" s="3" t="s">
        <v>10317</v>
      </c>
      <c r="E2412" s="3" t="s">
        <v>8339</v>
      </c>
      <c r="F2412" s="2" t="s">
        <v>10345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>
        <f t="shared" si="1"/>
        <v>2412</v>
      </c>
      <c r="B2413" s="3" t="s">
        <v>10346</v>
      </c>
      <c r="C2413" s="3" t="s">
        <v>10347</v>
      </c>
      <c r="D2413" s="3" t="s">
        <v>10317</v>
      </c>
      <c r="E2413" s="3" t="s">
        <v>7895</v>
      </c>
      <c r="F2413" s="2" t="s">
        <v>10348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>
        <f t="shared" si="1"/>
        <v>2413</v>
      </c>
      <c r="B2414" s="3" t="s">
        <v>10349</v>
      </c>
      <c r="C2414" s="3" t="s">
        <v>10350</v>
      </c>
      <c r="D2414" s="3" t="s">
        <v>10317</v>
      </c>
      <c r="E2414" s="3" t="s">
        <v>7895</v>
      </c>
      <c r="F2414" s="2" t="s">
        <v>10351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>
        <f t="shared" si="1"/>
        <v>2414</v>
      </c>
      <c r="B2415" s="3" t="s">
        <v>10352</v>
      </c>
      <c r="C2415" s="3" t="s">
        <v>10353</v>
      </c>
      <c r="D2415" s="3" t="s">
        <v>10317</v>
      </c>
      <c r="E2415" s="3" t="s">
        <v>8339</v>
      </c>
      <c r="F2415" s="2" t="s">
        <v>10354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>
        <f t="shared" si="1"/>
        <v>2415</v>
      </c>
      <c r="B2416" s="3" t="s">
        <v>10355</v>
      </c>
      <c r="C2416" s="3" t="s">
        <v>10356</v>
      </c>
      <c r="D2416" s="3" t="s">
        <v>10317</v>
      </c>
      <c r="E2416" s="3" t="s">
        <v>8595</v>
      </c>
      <c r="F2416" s="2" t="s">
        <v>10357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>
        <f t="shared" si="1"/>
        <v>2416</v>
      </c>
      <c r="B2417" s="3" t="s">
        <v>10358</v>
      </c>
      <c r="C2417" s="3" t="s">
        <v>10359</v>
      </c>
      <c r="D2417" s="3" t="s">
        <v>10317</v>
      </c>
      <c r="E2417" s="3" t="s">
        <v>8595</v>
      </c>
      <c r="F2417" s="2" t="s">
        <v>10360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>
        <f t="shared" si="1"/>
        <v>2417</v>
      </c>
      <c r="B2418" s="3" t="s">
        <v>10361</v>
      </c>
      <c r="C2418" s="3" t="s">
        <v>10362</v>
      </c>
      <c r="D2418" s="3" t="s">
        <v>10317</v>
      </c>
      <c r="E2418" s="3" t="s">
        <v>7895</v>
      </c>
      <c r="F2418" s="2" t="s">
        <v>10363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>
        <f t="shared" si="1"/>
        <v>2418</v>
      </c>
      <c r="B2419" s="3" t="s">
        <v>10364</v>
      </c>
      <c r="C2419" s="3" t="s">
        <v>10365</v>
      </c>
      <c r="D2419" s="3" t="s">
        <v>10317</v>
      </c>
      <c r="E2419" s="3" t="s">
        <v>7895</v>
      </c>
      <c r="F2419" s="2" t="s">
        <v>10366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>
        <f t="shared" si="1"/>
        <v>2419</v>
      </c>
      <c r="B2420" s="3" t="s">
        <v>10367</v>
      </c>
      <c r="C2420" s="3" t="s">
        <v>10368</v>
      </c>
      <c r="D2420" s="3" t="s">
        <v>10317</v>
      </c>
      <c r="E2420" s="3" t="s">
        <v>8595</v>
      </c>
      <c r="F2420" s="2" t="s">
        <v>10369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>
        <f t="shared" si="1"/>
        <v>2420</v>
      </c>
      <c r="B2421" s="3" t="s">
        <v>10370</v>
      </c>
      <c r="C2421" s="3" t="s">
        <v>10371</v>
      </c>
      <c r="D2421" s="3" t="s">
        <v>10317</v>
      </c>
      <c r="E2421" s="3" t="s">
        <v>7895</v>
      </c>
      <c r="F2421" s="2" t="s">
        <v>10372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>
        <f t="shared" si="1"/>
        <v>2421</v>
      </c>
      <c r="B2422" s="3" t="s">
        <v>10373</v>
      </c>
      <c r="C2422" s="3" t="s">
        <v>10374</v>
      </c>
      <c r="D2422" s="3" t="s">
        <v>10317</v>
      </c>
      <c r="E2422" s="3" t="s">
        <v>7895</v>
      </c>
      <c r="F2422" s="2" t="s">
        <v>10375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>
        <f t="shared" si="1"/>
        <v>2422</v>
      </c>
      <c r="B2423" s="3" t="s">
        <v>10376</v>
      </c>
      <c r="C2423" s="3" t="s">
        <v>10377</v>
      </c>
      <c r="D2423" s="3" t="s">
        <v>10317</v>
      </c>
      <c r="E2423" s="3" t="s">
        <v>7895</v>
      </c>
      <c r="F2423" s="2" t="s">
        <v>10378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>
        <f t="shared" si="1"/>
        <v>2423</v>
      </c>
      <c r="B2424" s="3" t="s">
        <v>10379</v>
      </c>
      <c r="C2424" s="3" t="s">
        <v>10380</v>
      </c>
      <c r="D2424" s="3" t="s">
        <v>10317</v>
      </c>
      <c r="E2424" s="3" t="s">
        <v>8595</v>
      </c>
      <c r="F2424" s="2" t="s">
        <v>10381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>
        <f t="shared" si="1"/>
        <v>2424</v>
      </c>
      <c r="B2425" s="3" t="s">
        <v>10382</v>
      </c>
      <c r="C2425" s="3" t="s">
        <v>10383</v>
      </c>
      <c r="D2425" s="3" t="s">
        <v>10317</v>
      </c>
      <c r="E2425" s="3" t="s">
        <v>7895</v>
      </c>
      <c r="F2425" s="2" t="s">
        <v>10384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>
        <f t="shared" si="1"/>
        <v>2425</v>
      </c>
      <c r="B2426" s="3" t="s">
        <v>10385</v>
      </c>
      <c r="C2426" s="3" t="s">
        <v>10386</v>
      </c>
      <c r="D2426" s="3" t="s">
        <v>10317</v>
      </c>
      <c r="E2426" s="3" t="s">
        <v>8339</v>
      </c>
      <c r="F2426" s="2" t="s">
        <v>10387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>
        <f t="shared" si="1"/>
        <v>2426</v>
      </c>
      <c r="B2427" s="3" t="s">
        <v>10388</v>
      </c>
      <c r="C2427" s="3" t="s">
        <v>10389</v>
      </c>
      <c r="D2427" s="3" t="s">
        <v>10317</v>
      </c>
      <c r="E2427" s="3" t="s">
        <v>8339</v>
      </c>
      <c r="F2427" s="2" t="s">
        <v>10390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>
        <f t="shared" si="1"/>
        <v>2427</v>
      </c>
      <c r="B2428" s="3" t="s">
        <v>10391</v>
      </c>
      <c r="C2428" s="3" t="s">
        <v>10392</v>
      </c>
      <c r="D2428" s="3" t="s">
        <v>10317</v>
      </c>
      <c r="E2428" s="3" t="s">
        <v>9661</v>
      </c>
      <c r="F2428" s="2" t="s">
        <v>10393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>
        <f t="shared" si="1"/>
        <v>2428</v>
      </c>
      <c r="B2429" s="3" t="s">
        <v>10394</v>
      </c>
      <c r="C2429" s="3" t="s">
        <v>10395</v>
      </c>
      <c r="D2429" s="3" t="s">
        <v>10317</v>
      </c>
      <c r="E2429" s="3" t="s">
        <v>8339</v>
      </c>
      <c r="F2429" s="2" t="s">
        <v>10396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>
        <f t="shared" si="1"/>
        <v>2429</v>
      </c>
      <c r="B2430" s="3" t="s">
        <v>10397</v>
      </c>
      <c r="C2430" s="3" t="s">
        <v>10398</v>
      </c>
      <c r="D2430" s="3" t="s">
        <v>10317</v>
      </c>
      <c r="E2430" s="3" t="s">
        <v>9661</v>
      </c>
      <c r="F2430" s="2" t="s">
        <v>10399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>
        <f t="shared" si="1"/>
        <v>2430</v>
      </c>
      <c r="B2431" s="3" t="s">
        <v>10400</v>
      </c>
      <c r="C2431" s="3" t="s">
        <v>10401</v>
      </c>
      <c r="D2431" s="3" t="s">
        <v>10317</v>
      </c>
      <c r="E2431" s="3" t="s">
        <v>8339</v>
      </c>
      <c r="F2431" s="2" t="s">
        <v>10402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>
        <f t="shared" si="1"/>
        <v>2431</v>
      </c>
      <c r="B2432" s="3" t="s">
        <v>10403</v>
      </c>
      <c r="C2432" s="3" t="s">
        <v>10404</v>
      </c>
      <c r="D2432" s="3" t="s">
        <v>10317</v>
      </c>
      <c r="E2432" s="3" t="s">
        <v>9661</v>
      </c>
      <c r="F2432" s="2" t="s">
        <v>10405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>
        <f t="shared" si="1"/>
        <v>2432</v>
      </c>
      <c r="B2433" s="3" t="s">
        <v>10406</v>
      </c>
      <c r="C2433" s="3" t="s">
        <v>10407</v>
      </c>
      <c r="D2433" s="3" t="s">
        <v>10317</v>
      </c>
      <c r="E2433" s="3" t="s">
        <v>9661</v>
      </c>
      <c r="F2433" s="2" t="s">
        <v>10408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>
        <f t="shared" si="1"/>
        <v>2433</v>
      </c>
      <c r="B2434" s="3" t="s">
        <v>10409</v>
      </c>
      <c r="C2434" s="3" t="s">
        <v>10410</v>
      </c>
      <c r="D2434" s="3" t="s">
        <v>10317</v>
      </c>
      <c r="E2434" s="3" t="s">
        <v>9661</v>
      </c>
      <c r="F2434" s="2" t="s">
        <v>10411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>
        <f t="shared" si="1"/>
        <v>2434</v>
      </c>
      <c r="B2435" s="3" t="s">
        <v>10412</v>
      </c>
      <c r="C2435" s="3" t="s">
        <v>10413</v>
      </c>
      <c r="D2435" s="3" t="s">
        <v>10317</v>
      </c>
      <c r="E2435" s="3" t="s">
        <v>9661</v>
      </c>
      <c r="F2435" s="2" t="s">
        <v>10414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>
        <f t="shared" si="1"/>
        <v>2435</v>
      </c>
      <c r="B2436" s="3" t="s">
        <v>10415</v>
      </c>
      <c r="C2436" s="3" t="s">
        <v>10416</v>
      </c>
      <c r="D2436" s="3" t="s">
        <v>10317</v>
      </c>
      <c r="E2436" s="3" t="s">
        <v>9661</v>
      </c>
      <c r="F2436" s="2" t="s">
        <v>10417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>
        <f t="shared" si="1"/>
        <v>2436</v>
      </c>
      <c r="B2437" s="3" t="s">
        <v>10418</v>
      </c>
      <c r="C2437" s="3" t="s">
        <v>10419</v>
      </c>
      <c r="D2437" s="3" t="s">
        <v>10317</v>
      </c>
      <c r="E2437" s="3" t="s">
        <v>9661</v>
      </c>
      <c r="F2437" s="2" t="s">
        <v>10420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>
        <f t="shared" si="1"/>
        <v>2437</v>
      </c>
      <c r="B2438" s="3" t="s">
        <v>10421</v>
      </c>
      <c r="C2438" s="3" t="s">
        <v>10422</v>
      </c>
      <c r="D2438" s="3" t="s">
        <v>10317</v>
      </c>
      <c r="E2438" s="3" t="s">
        <v>8339</v>
      </c>
      <c r="F2438" s="2" t="s">
        <v>10423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>
        <f t="shared" si="1"/>
        <v>2438</v>
      </c>
      <c r="B2439" s="3" t="s">
        <v>10424</v>
      </c>
      <c r="C2439" s="3" t="s">
        <v>10425</v>
      </c>
      <c r="D2439" s="3" t="s">
        <v>10317</v>
      </c>
      <c r="E2439" s="3" t="s">
        <v>8339</v>
      </c>
      <c r="F2439" s="2" t="s">
        <v>10426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>
        <f t="shared" si="1"/>
        <v>2439</v>
      </c>
      <c r="B2440" s="3" t="s">
        <v>10427</v>
      </c>
      <c r="C2440" s="3" t="s">
        <v>10428</v>
      </c>
      <c r="D2440" s="3" t="s">
        <v>10317</v>
      </c>
      <c r="E2440" s="3" t="s">
        <v>9661</v>
      </c>
      <c r="F2440" s="2" t="s">
        <v>10429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>
        <f t="shared" si="1"/>
        <v>2440</v>
      </c>
      <c r="B2441" s="3" t="s">
        <v>10430</v>
      </c>
      <c r="C2441" s="3" t="s">
        <v>10431</v>
      </c>
      <c r="D2441" s="3" t="s">
        <v>10317</v>
      </c>
      <c r="E2441" s="3" t="s">
        <v>9661</v>
      </c>
      <c r="F2441" s="2" t="s">
        <v>10432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>
        <f t="shared" si="1"/>
        <v>2441</v>
      </c>
      <c r="B2442" s="3" t="s">
        <v>10433</v>
      </c>
      <c r="C2442" s="3" t="s">
        <v>10434</v>
      </c>
      <c r="D2442" s="3" t="s">
        <v>10317</v>
      </c>
      <c r="E2442" s="3" t="s">
        <v>9661</v>
      </c>
      <c r="F2442" s="2" t="s">
        <v>10435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>
        <f t="shared" si="1"/>
        <v>2442</v>
      </c>
      <c r="B2443" s="3" t="s">
        <v>10436</v>
      </c>
      <c r="C2443" s="3" t="s">
        <v>10437</v>
      </c>
      <c r="D2443" s="3" t="s">
        <v>10317</v>
      </c>
      <c r="E2443" s="3" t="s">
        <v>8339</v>
      </c>
      <c r="F2443" s="2" t="s">
        <v>10438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>
        <f t="shared" si="1"/>
        <v>2443</v>
      </c>
      <c r="B2444" s="3" t="s">
        <v>10439</v>
      </c>
      <c r="C2444" s="3" t="s">
        <v>10440</v>
      </c>
      <c r="D2444" s="3" t="s">
        <v>10317</v>
      </c>
      <c r="E2444" s="3" t="s">
        <v>8339</v>
      </c>
      <c r="F2444" s="2" t="s">
        <v>10441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>
        <f t="shared" si="1"/>
        <v>2444</v>
      </c>
      <c r="B2445" s="3" t="s">
        <v>10442</v>
      </c>
      <c r="C2445" s="3" t="s">
        <v>10443</v>
      </c>
      <c r="D2445" s="3" t="s">
        <v>10317</v>
      </c>
      <c r="E2445" s="3" t="s">
        <v>8339</v>
      </c>
      <c r="F2445" s="2" t="s">
        <v>10444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>
        <f t="shared" si="1"/>
        <v>2445</v>
      </c>
      <c r="B2446" s="3" t="s">
        <v>10445</v>
      </c>
      <c r="C2446" s="3" t="s">
        <v>10446</v>
      </c>
      <c r="D2446" s="3" t="s">
        <v>10317</v>
      </c>
      <c r="E2446" s="3" t="s">
        <v>8339</v>
      </c>
      <c r="F2446" s="2" t="s">
        <v>10447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>
        <f t="shared" si="1"/>
        <v>2446</v>
      </c>
      <c r="B2447" s="3" t="s">
        <v>10448</v>
      </c>
      <c r="C2447" s="3" t="s">
        <v>10449</v>
      </c>
      <c r="D2447" s="3" t="s">
        <v>10317</v>
      </c>
      <c r="E2447" s="3" t="s">
        <v>8339</v>
      </c>
      <c r="F2447" s="2" t="s">
        <v>10450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>
        <f t="shared" si="1"/>
        <v>2447</v>
      </c>
      <c r="B2448" s="3" t="s">
        <v>10451</v>
      </c>
      <c r="C2448" s="3" t="s">
        <v>10452</v>
      </c>
      <c r="D2448" s="3" t="s">
        <v>10453</v>
      </c>
      <c r="E2448" s="3" t="s">
        <v>7903</v>
      </c>
      <c r="F2448" s="2" t="s">
        <v>10454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>
        <f t="shared" si="1"/>
        <v>2448</v>
      </c>
      <c r="B2449" s="3" t="s">
        <v>10455</v>
      </c>
      <c r="C2449" s="3" t="s">
        <v>10456</v>
      </c>
      <c r="D2449" s="3" t="s">
        <v>10453</v>
      </c>
      <c r="E2449" s="3" t="s">
        <v>7725</v>
      </c>
      <c r="F2449" s="2" t="s">
        <v>10457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>
        <f t="shared" si="1"/>
        <v>2449</v>
      </c>
      <c r="B2450" s="3" t="s">
        <v>10458</v>
      </c>
      <c r="C2450" s="3" t="s">
        <v>10459</v>
      </c>
      <c r="D2450" s="3" t="s">
        <v>10453</v>
      </c>
      <c r="E2450" s="3" t="s">
        <v>6838</v>
      </c>
      <c r="F2450" s="2" t="s">
        <v>10460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>
        <f t="shared" si="1"/>
        <v>2450</v>
      </c>
      <c r="B2451" s="3" t="s">
        <v>10461</v>
      </c>
      <c r="C2451" s="3" t="s">
        <v>10462</v>
      </c>
      <c r="D2451" s="3" t="s">
        <v>10453</v>
      </c>
      <c r="E2451" s="3" t="s">
        <v>7903</v>
      </c>
      <c r="F2451" s="2" t="s">
        <v>10463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>
        <f t="shared" si="1"/>
        <v>2451</v>
      </c>
      <c r="B2452" s="3" t="s">
        <v>10464</v>
      </c>
      <c r="C2452" s="3" t="s">
        <v>10465</v>
      </c>
      <c r="D2452" s="3" t="s">
        <v>10453</v>
      </c>
      <c r="E2452" s="3" t="s">
        <v>7903</v>
      </c>
      <c r="F2452" s="2" t="s">
        <v>10466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>
        <f t="shared" si="1"/>
        <v>2452</v>
      </c>
      <c r="B2453" s="3" t="s">
        <v>10467</v>
      </c>
      <c r="C2453" s="3" t="s">
        <v>10468</v>
      </c>
      <c r="D2453" s="3" t="s">
        <v>10453</v>
      </c>
      <c r="E2453" s="3" t="s">
        <v>7903</v>
      </c>
      <c r="F2453" s="2" t="s">
        <v>10469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>
        <f t="shared" si="1"/>
        <v>2453</v>
      </c>
      <c r="B2454" s="3" t="s">
        <v>10470</v>
      </c>
      <c r="C2454" s="3" t="s">
        <v>10471</v>
      </c>
      <c r="D2454" s="3" t="s">
        <v>10453</v>
      </c>
      <c r="E2454" s="3" t="s">
        <v>7725</v>
      </c>
      <c r="F2454" s="2" t="s">
        <v>10472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>
        <f t="shared" si="1"/>
        <v>2454</v>
      </c>
      <c r="B2455" s="3" t="s">
        <v>10473</v>
      </c>
      <c r="C2455" s="3" t="s">
        <v>10474</v>
      </c>
      <c r="D2455" s="3" t="s">
        <v>10453</v>
      </c>
      <c r="E2455" s="3" t="s">
        <v>8729</v>
      </c>
      <c r="F2455" s="2" t="s">
        <v>10475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>
        <f t="shared" si="1"/>
        <v>2455</v>
      </c>
      <c r="B2456" s="3" t="s">
        <v>10476</v>
      </c>
      <c r="C2456" s="3" t="s">
        <v>10477</v>
      </c>
      <c r="D2456" s="3" t="s">
        <v>10453</v>
      </c>
      <c r="E2456" s="3" t="s">
        <v>7903</v>
      </c>
      <c r="F2456" s="2" t="s">
        <v>10478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>
        <f t="shared" si="1"/>
        <v>2456</v>
      </c>
      <c r="B2457" s="3" t="s">
        <v>10479</v>
      </c>
      <c r="C2457" s="3" t="s">
        <v>10480</v>
      </c>
      <c r="D2457" s="3" t="s">
        <v>10453</v>
      </c>
      <c r="E2457" s="3" t="s">
        <v>7725</v>
      </c>
      <c r="F2457" s="2" t="s">
        <v>10481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>
        <f t="shared" si="1"/>
        <v>2457</v>
      </c>
      <c r="B2458" s="3" t="s">
        <v>10482</v>
      </c>
      <c r="C2458" s="3" t="s">
        <v>10483</v>
      </c>
      <c r="D2458" s="3" t="s">
        <v>10453</v>
      </c>
      <c r="E2458" s="3" t="s">
        <v>8729</v>
      </c>
      <c r="F2458" s="2" t="s">
        <v>10484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>
        <f t="shared" si="1"/>
        <v>2458</v>
      </c>
      <c r="B2459" s="3" t="s">
        <v>10485</v>
      </c>
      <c r="C2459" s="3" t="s">
        <v>10486</v>
      </c>
      <c r="D2459" s="3" t="s">
        <v>10453</v>
      </c>
      <c r="E2459" s="3" t="s">
        <v>6838</v>
      </c>
      <c r="F2459" s="2" t="s">
        <v>10487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>
        <f t="shared" si="1"/>
        <v>2459</v>
      </c>
      <c r="B2460" s="3" t="s">
        <v>10488</v>
      </c>
      <c r="C2460" s="3" t="s">
        <v>10489</v>
      </c>
      <c r="D2460" s="3" t="s">
        <v>10453</v>
      </c>
      <c r="E2460" s="3" t="s">
        <v>7725</v>
      </c>
      <c r="F2460" s="2" t="s">
        <v>10490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>
        <f t="shared" si="1"/>
        <v>2460</v>
      </c>
      <c r="B2461" s="3" t="s">
        <v>10491</v>
      </c>
      <c r="C2461" s="3" t="s">
        <v>10492</v>
      </c>
      <c r="D2461" s="3" t="s">
        <v>10453</v>
      </c>
      <c r="E2461" s="3" t="s">
        <v>8729</v>
      </c>
      <c r="F2461" s="2" t="s">
        <v>10493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>
        <f t="shared" si="1"/>
        <v>2461</v>
      </c>
      <c r="B2462" s="3" t="s">
        <v>10494</v>
      </c>
      <c r="C2462" s="3" t="s">
        <v>10495</v>
      </c>
      <c r="D2462" s="3" t="s">
        <v>10453</v>
      </c>
      <c r="E2462" s="3" t="s">
        <v>6838</v>
      </c>
      <c r="F2462" s="2" t="s">
        <v>10496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>
        <f t="shared" si="1"/>
        <v>2462</v>
      </c>
      <c r="B2463" s="3" t="s">
        <v>10497</v>
      </c>
      <c r="C2463" s="3" t="s">
        <v>10498</v>
      </c>
      <c r="D2463" s="3" t="s">
        <v>10453</v>
      </c>
      <c r="E2463" s="3" t="s">
        <v>8729</v>
      </c>
      <c r="F2463" s="2" t="s">
        <v>10499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>
        <f t="shared" si="1"/>
        <v>2463</v>
      </c>
      <c r="B2464" s="3" t="s">
        <v>10500</v>
      </c>
      <c r="C2464" s="3" t="s">
        <v>10501</v>
      </c>
      <c r="D2464" s="3" t="s">
        <v>10453</v>
      </c>
      <c r="E2464" s="3" t="s">
        <v>6838</v>
      </c>
      <c r="F2464" s="2" t="s">
        <v>10502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>
        <f t="shared" si="1"/>
        <v>2464</v>
      </c>
      <c r="B2465" s="3" t="s">
        <v>10503</v>
      </c>
      <c r="C2465" s="3" t="s">
        <v>10504</v>
      </c>
      <c r="D2465" s="3" t="s">
        <v>10453</v>
      </c>
      <c r="E2465" s="3" t="s">
        <v>8729</v>
      </c>
      <c r="F2465" s="2" t="s">
        <v>10505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>
        <f t="shared" si="1"/>
        <v>2465</v>
      </c>
      <c r="B2466" s="3" t="s">
        <v>10506</v>
      </c>
      <c r="C2466" s="3" t="s">
        <v>10507</v>
      </c>
      <c r="D2466" s="3" t="s">
        <v>10453</v>
      </c>
      <c r="E2466" s="3" t="s">
        <v>7903</v>
      </c>
      <c r="F2466" s="2" t="s">
        <v>10508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>
        <f t="shared" si="1"/>
        <v>2466</v>
      </c>
      <c r="B2467" s="3" t="s">
        <v>10509</v>
      </c>
      <c r="C2467" s="3" t="s">
        <v>10510</v>
      </c>
      <c r="D2467" s="3" t="s">
        <v>10453</v>
      </c>
      <c r="E2467" s="3" t="s">
        <v>6838</v>
      </c>
      <c r="F2467" s="2" t="s">
        <v>10511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>
        <f t="shared" si="1"/>
        <v>2467</v>
      </c>
      <c r="B2468" s="3" t="s">
        <v>10512</v>
      </c>
      <c r="C2468" s="3" t="s">
        <v>10513</v>
      </c>
      <c r="D2468" s="3" t="s">
        <v>10453</v>
      </c>
      <c r="E2468" s="3" t="s">
        <v>6838</v>
      </c>
      <c r="F2468" s="2" t="s">
        <v>10514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>
        <f t="shared" si="1"/>
        <v>2468</v>
      </c>
      <c r="B2469" s="3" t="s">
        <v>10515</v>
      </c>
      <c r="C2469" s="3" t="s">
        <v>10516</v>
      </c>
      <c r="D2469" s="3" t="s">
        <v>10453</v>
      </c>
      <c r="E2469" s="3" t="s">
        <v>6838</v>
      </c>
      <c r="F2469" s="2" t="s">
        <v>10517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>
        <f t="shared" si="1"/>
        <v>2469</v>
      </c>
      <c r="B2470" s="3" t="s">
        <v>10518</v>
      </c>
      <c r="C2470" s="3" t="s">
        <v>10519</v>
      </c>
      <c r="D2470" s="3" t="s">
        <v>10453</v>
      </c>
      <c r="E2470" s="3" t="s">
        <v>6838</v>
      </c>
      <c r="F2470" s="2" t="s">
        <v>10520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>
        <f t="shared" si="1"/>
        <v>2470</v>
      </c>
      <c r="B2471" s="3" t="s">
        <v>10521</v>
      </c>
      <c r="C2471" s="3" t="s">
        <v>10522</v>
      </c>
      <c r="D2471" s="3" t="s">
        <v>10453</v>
      </c>
      <c r="E2471" s="3" t="s">
        <v>7903</v>
      </c>
      <c r="F2471" s="2" t="s">
        <v>10523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>
        <f t="shared" si="1"/>
        <v>2471</v>
      </c>
      <c r="B2472" s="3" t="s">
        <v>10524</v>
      </c>
      <c r="C2472" s="3" t="s">
        <v>10525</v>
      </c>
      <c r="D2472" s="3" t="s">
        <v>10453</v>
      </c>
      <c r="E2472" s="3" t="s">
        <v>9590</v>
      </c>
      <c r="F2472" s="2" t="s">
        <v>10526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>
        <f t="shared" si="1"/>
        <v>2472</v>
      </c>
      <c r="B2473" s="3" t="s">
        <v>10527</v>
      </c>
      <c r="C2473" s="3" t="s">
        <v>10528</v>
      </c>
      <c r="D2473" s="3" t="s">
        <v>10453</v>
      </c>
      <c r="E2473" s="3" t="s">
        <v>9590</v>
      </c>
      <c r="F2473" s="2" t="s">
        <v>10529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>
        <f t="shared" si="1"/>
        <v>2473</v>
      </c>
      <c r="B2474" s="3" t="s">
        <v>10530</v>
      </c>
      <c r="C2474" s="3" t="s">
        <v>10531</v>
      </c>
      <c r="D2474" s="3" t="s">
        <v>10453</v>
      </c>
      <c r="E2474" s="3" t="s">
        <v>7903</v>
      </c>
      <c r="F2474" s="2" t="s">
        <v>10532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>
        <f t="shared" si="1"/>
        <v>2474</v>
      </c>
      <c r="B2475" s="3" t="s">
        <v>10533</v>
      </c>
      <c r="C2475" s="3" t="s">
        <v>10534</v>
      </c>
      <c r="D2475" s="3" t="s">
        <v>10453</v>
      </c>
      <c r="E2475" s="3" t="s">
        <v>7903</v>
      </c>
      <c r="F2475" s="2" t="s">
        <v>10535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>
        <f t="shared" si="1"/>
        <v>2475</v>
      </c>
      <c r="B2476" s="3" t="s">
        <v>10536</v>
      </c>
      <c r="C2476" s="3" t="s">
        <v>10537</v>
      </c>
      <c r="D2476" s="3" t="s">
        <v>10453</v>
      </c>
      <c r="E2476" s="3" t="s">
        <v>9590</v>
      </c>
      <c r="F2476" s="2" t="s">
        <v>10538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>
        <f t="shared" si="1"/>
        <v>2476</v>
      </c>
      <c r="B2477" s="3" t="s">
        <v>10539</v>
      </c>
      <c r="C2477" s="3" t="s">
        <v>10540</v>
      </c>
      <c r="D2477" s="3" t="s">
        <v>10453</v>
      </c>
      <c r="E2477" s="3" t="s">
        <v>6838</v>
      </c>
      <c r="F2477" s="2" t="s">
        <v>10541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>
        <f t="shared" si="1"/>
        <v>2477</v>
      </c>
      <c r="B2478" s="3" t="s">
        <v>10542</v>
      </c>
      <c r="C2478" s="3" t="s">
        <v>10543</v>
      </c>
      <c r="D2478" s="3" t="s">
        <v>10453</v>
      </c>
      <c r="E2478" s="3" t="s">
        <v>9590</v>
      </c>
      <c r="F2478" s="2" t="s">
        <v>10544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>
        <f t="shared" si="1"/>
        <v>2478</v>
      </c>
      <c r="B2479" s="3" t="s">
        <v>10545</v>
      </c>
      <c r="C2479" s="3" t="s">
        <v>10546</v>
      </c>
      <c r="D2479" s="3" t="s">
        <v>10453</v>
      </c>
      <c r="E2479" s="3" t="s">
        <v>6838</v>
      </c>
      <c r="F2479" s="2" t="s">
        <v>10547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>
        <f t="shared" si="1"/>
        <v>2479</v>
      </c>
      <c r="B2480" s="3" t="s">
        <v>10548</v>
      </c>
      <c r="C2480" s="3" t="s">
        <v>10549</v>
      </c>
      <c r="D2480" s="3" t="s">
        <v>10453</v>
      </c>
      <c r="E2480" s="3" t="s">
        <v>6838</v>
      </c>
      <c r="F2480" s="2" t="s">
        <v>10550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>
        <f t="shared" si="1"/>
        <v>2480</v>
      </c>
      <c r="B2481" s="3" t="s">
        <v>10551</v>
      </c>
      <c r="C2481" s="3" t="s">
        <v>10552</v>
      </c>
      <c r="D2481" s="3" t="s">
        <v>10453</v>
      </c>
      <c r="E2481" s="3" t="s">
        <v>9590</v>
      </c>
      <c r="F2481" s="2" t="s">
        <v>10553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>
        <f t="shared" si="1"/>
        <v>2481</v>
      </c>
      <c r="B2482" s="3" t="s">
        <v>10554</v>
      </c>
      <c r="C2482" s="3" t="s">
        <v>10555</v>
      </c>
      <c r="D2482" s="3" t="s">
        <v>10453</v>
      </c>
      <c r="E2482" s="3" t="s">
        <v>6838</v>
      </c>
      <c r="F2482" s="2" t="s">
        <v>10556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>
        <f t="shared" si="1"/>
        <v>2482</v>
      </c>
      <c r="B2483" s="3" t="s">
        <v>10557</v>
      </c>
      <c r="C2483" s="3" t="s">
        <v>10558</v>
      </c>
      <c r="D2483" s="3" t="s">
        <v>10453</v>
      </c>
      <c r="E2483" s="3" t="s">
        <v>8729</v>
      </c>
      <c r="F2483" s="2" t="s">
        <v>10559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>
        <f t="shared" si="1"/>
        <v>2483</v>
      </c>
      <c r="B2484" s="3" t="s">
        <v>10560</v>
      </c>
      <c r="C2484" s="3" t="s">
        <v>10561</v>
      </c>
      <c r="D2484" s="3" t="s">
        <v>10453</v>
      </c>
      <c r="E2484" s="3" t="s">
        <v>8729</v>
      </c>
      <c r="F2484" s="2" t="s">
        <v>10562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>
        <f t="shared" si="1"/>
        <v>2484</v>
      </c>
      <c r="B2485" s="3" t="s">
        <v>10563</v>
      </c>
      <c r="C2485" s="3" t="s">
        <v>10564</v>
      </c>
      <c r="D2485" s="3" t="s">
        <v>10453</v>
      </c>
      <c r="E2485" s="3" t="s">
        <v>6838</v>
      </c>
      <c r="F2485" s="2" t="s">
        <v>10565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>
        <f t="shared" si="1"/>
        <v>2485</v>
      </c>
      <c r="B2486" s="3" t="s">
        <v>10566</v>
      </c>
      <c r="C2486" s="3" t="s">
        <v>10567</v>
      </c>
      <c r="D2486" s="3" t="s">
        <v>10453</v>
      </c>
      <c r="E2486" s="3" t="s">
        <v>9590</v>
      </c>
      <c r="F2486" s="2" t="s">
        <v>10568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>
        <f t="shared" si="1"/>
        <v>2486</v>
      </c>
      <c r="B2487" s="3" t="s">
        <v>10569</v>
      </c>
      <c r="C2487" s="3" t="s">
        <v>10570</v>
      </c>
      <c r="D2487" s="3" t="s">
        <v>10453</v>
      </c>
      <c r="E2487" s="3" t="s">
        <v>6838</v>
      </c>
      <c r="F2487" s="2" t="s">
        <v>10571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>
        <f t="shared" si="1"/>
        <v>2487</v>
      </c>
      <c r="B2488" s="3" t="s">
        <v>10572</v>
      </c>
      <c r="C2488" s="3" t="s">
        <v>10573</v>
      </c>
      <c r="D2488" s="3" t="s">
        <v>10453</v>
      </c>
      <c r="E2488" s="3" t="s">
        <v>7725</v>
      </c>
      <c r="F2488" s="2" t="s">
        <v>10574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>
        <f t="shared" si="1"/>
        <v>2488</v>
      </c>
      <c r="B2489" s="3" t="s">
        <v>10575</v>
      </c>
      <c r="C2489" s="3" t="s">
        <v>10576</v>
      </c>
      <c r="D2489" s="3" t="s">
        <v>10453</v>
      </c>
      <c r="E2489" s="3" t="s">
        <v>9590</v>
      </c>
      <c r="F2489" s="2" t="s">
        <v>10577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>
        <f t="shared" si="1"/>
        <v>2489</v>
      </c>
      <c r="B2490" s="3" t="s">
        <v>10578</v>
      </c>
      <c r="C2490" s="3" t="s">
        <v>10579</v>
      </c>
      <c r="D2490" s="3" t="s">
        <v>10453</v>
      </c>
      <c r="E2490" s="3" t="s">
        <v>7903</v>
      </c>
      <c r="F2490" s="2" t="s">
        <v>10580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>
        <f t="shared" si="1"/>
        <v>2490</v>
      </c>
      <c r="B2491" s="3" t="s">
        <v>10581</v>
      </c>
      <c r="C2491" s="3" t="s">
        <v>10582</v>
      </c>
      <c r="D2491" s="3" t="s">
        <v>10583</v>
      </c>
      <c r="E2491" s="3" t="s">
        <v>10584</v>
      </c>
      <c r="F2491" s="2" t="s">
        <v>10585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>
        <f t="shared" si="1"/>
        <v>2491</v>
      </c>
      <c r="B2492" s="3" t="s">
        <v>10586</v>
      </c>
      <c r="C2492" s="3" t="s">
        <v>10587</v>
      </c>
      <c r="D2492" s="3" t="s">
        <v>10583</v>
      </c>
      <c r="E2492" s="3" t="s">
        <v>10584</v>
      </c>
      <c r="F2492" s="2" t="s">
        <v>10588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>
        <f t="shared" si="1"/>
        <v>2492</v>
      </c>
      <c r="B2493" s="3" t="s">
        <v>10589</v>
      </c>
      <c r="C2493" s="3" t="s">
        <v>10590</v>
      </c>
      <c r="D2493" s="3" t="s">
        <v>10583</v>
      </c>
      <c r="E2493" s="3" t="s">
        <v>10584</v>
      </c>
      <c r="F2493" s="2" t="s">
        <v>10591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>
        <f t="shared" si="1"/>
        <v>2493</v>
      </c>
      <c r="B2494" s="3" t="s">
        <v>10592</v>
      </c>
      <c r="C2494" s="3" t="s">
        <v>10593</v>
      </c>
      <c r="D2494" s="3" t="s">
        <v>10583</v>
      </c>
      <c r="E2494" s="3" t="s">
        <v>10584</v>
      </c>
      <c r="F2494" s="2" t="s">
        <v>10594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>
        <f t="shared" si="1"/>
        <v>2494</v>
      </c>
      <c r="B2495" s="3" t="s">
        <v>10595</v>
      </c>
      <c r="C2495" s="3" t="s">
        <v>10596</v>
      </c>
      <c r="D2495" s="3" t="s">
        <v>10583</v>
      </c>
      <c r="E2495" s="3" t="s">
        <v>10584</v>
      </c>
      <c r="F2495" s="2" t="s">
        <v>10597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>
        <f t="shared" si="1"/>
        <v>2495</v>
      </c>
      <c r="B2496" s="3" t="s">
        <v>10598</v>
      </c>
      <c r="C2496" s="3" t="s">
        <v>10599</v>
      </c>
      <c r="D2496" s="3" t="s">
        <v>10583</v>
      </c>
      <c r="E2496" s="3" t="s">
        <v>10584</v>
      </c>
      <c r="F2496" s="2" t="s">
        <v>10600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>
        <f t="shared" si="1"/>
        <v>2496</v>
      </c>
      <c r="B2497" s="3" t="s">
        <v>10601</v>
      </c>
      <c r="C2497" s="3" t="s">
        <v>10602</v>
      </c>
      <c r="D2497" s="3" t="s">
        <v>10583</v>
      </c>
      <c r="E2497" s="3" t="s">
        <v>10584</v>
      </c>
      <c r="F2497" s="2" t="s">
        <v>10603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>
        <f t="shared" si="1"/>
        <v>2497</v>
      </c>
      <c r="B2498" s="3" t="s">
        <v>10604</v>
      </c>
      <c r="C2498" s="3" t="s">
        <v>10605</v>
      </c>
      <c r="D2498" s="3" t="s">
        <v>10583</v>
      </c>
      <c r="E2498" s="3" t="s">
        <v>10584</v>
      </c>
      <c r="F2498" s="2" t="s">
        <v>10606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>
        <f t="shared" si="1"/>
        <v>2498</v>
      </c>
      <c r="B2499" s="3" t="s">
        <v>10607</v>
      </c>
      <c r="C2499" s="3" t="s">
        <v>10608</v>
      </c>
      <c r="D2499" s="3" t="s">
        <v>10583</v>
      </c>
      <c r="E2499" s="3" t="s">
        <v>10584</v>
      </c>
      <c r="F2499" s="2" t="s">
        <v>10609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>
        <f t="shared" si="1"/>
        <v>2499</v>
      </c>
      <c r="B2500" s="3" t="s">
        <v>10610</v>
      </c>
      <c r="C2500" s="3" t="s">
        <v>10611</v>
      </c>
      <c r="D2500" s="3" t="s">
        <v>10583</v>
      </c>
      <c r="E2500" s="3" t="s">
        <v>10584</v>
      </c>
      <c r="F2500" s="2" t="s">
        <v>10612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>
        <f t="shared" si="1"/>
        <v>2500</v>
      </c>
      <c r="B2501" s="3" t="s">
        <v>10613</v>
      </c>
      <c r="C2501" s="3" t="s">
        <v>10614</v>
      </c>
      <c r="D2501" s="3" t="s">
        <v>10583</v>
      </c>
      <c r="E2501" s="3" t="s">
        <v>10584</v>
      </c>
      <c r="F2501" s="2" t="s">
        <v>10615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>
        <f t="shared" si="1"/>
        <v>2501</v>
      </c>
      <c r="B2502" s="3" t="s">
        <v>10616</v>
      </c>
      <c r="C2502" s="3" t="s">
        <v>10617</v>
      </c>
      <c r="D2502" s="3" t="s">
        <v>10583</v>
      </c>
      <c r="E2502" s="3" t="s">
        <v>10584</v>
      </c>
      <c r="F2502" s="2" t="s">
        <v>10618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>
        <f t="shared" si="1"/>
        <v>2502</v>
      </c>
      <c r="B2503" s="3" t="s">
        <v>10619</v>
      </c>
      <c r="C2503" s="3" t="s">
        <v>10620</v>
      </c>
      <c r="D2503" s="3" t="s">
        <v>10583</v>
      </c>
      <c r="E2503" s="3" t="s">
        <v>10584</v>
      </c>
      <c r="F2503" s="2" t="s">
        <v>10621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>
        <f t="shared" si="1"/>
        <v>2503</v>
      </c>
      <c r="B2504" s="3" t="s">
        <v>10622</v>
      </c>
      <c r="C2504" s="3" t="s">
        <v>10623</v>
      </c>
      <c r="D2504" s="3" t="s">
        <v>10583</v>
      </c>
      <c r="E2504" s="3" t="s">
        <v>10584</v>
      </c>
      <c r="F2504" s="2" t="s">
        <v>10624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>
        <f t="shared" si="1"/>
        <v>2504</v>
      </c>
      <c r="B2505" s="3" t="s">
        <v>10625</v>
      </c>
      <c r="C2505" s="3" t="s">
        <v>10626</v>
      </c>
      <c r="D2505" s="3" t="s">
        <v>10583</v>
      </c>
      <c r="E2505" s="3" t="s">
        <v>10584</v>
      </c>
      <c r="F2505" s="2" t="s">
        <v>10627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>
        <f t="shared" si="1"/>
        <v>2505</v>
      </c>
      <c r="B2506" s="3" t="s">
        <v>10628</v>
      </c>
      <c r="C2506" s="3" t="s">
        <v>10629</v>
      </c>
      <c r="D2506" s="3" t="s">
        <v>10583</v>
      </c>
      <c r="E2506" s="3" t="s">
        <v>10584</v>
      </c>
      <c r="F2506" s="2" t="s">
        <v>10630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>
        <f t="shared" si="1"/>
        <v>2506</v>
      </c>
      <c r="B2507" s="3" t="s">
        <v>10631</v>
      </c>
      <c r="C2507" s="3" t="s">
        <v>10632</v>
      </c>
      <c r="D2507" s="3" t="s">
        <v>10583</v>
      </c>
      <c r="E2507" s="3" t="s">
        <v>10584</v>
      </c>
      <c r="F2507" s="2" t="s">
        <v>10633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>
        <f t="shared" si="1"/>
        <v>2507</v>
      </c>
      <c r="B2508" s="3" t="s">
        <v>10634</v>
      </c>
      <c r="C2508" s="3" t="s">
        <v>10635</v>
      </c>
      <c r="D2508" s="3" t="s">
        <v>10583</v>
      </c>
      <c r="E2508" s="3" t="s">
        <v>10584</v>
      </c>
      <c r="F2508" s="2" t="s">
        <v>10636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>
        <f t="shared" si="1"/>
        <v>2508</v>
      </c>
      <c r="B2509" s="3" t="s">
        <v>10637</v>
      </c>
      <c r="C2509" s="3" t="s">
        <v>10638</v>
      </c>
      <c r="D2509" s="3" t="s">
        <v>10583</v>
      </c>
      <c r="E2509" s="3" t="s">
        <v>10584</v>
      </c>
      <c r="F2509" s="2" t="s">
        <v>10639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>
        <f t="shared" si="1"/>
        <v>2509</v>
      </c>
      <c r="B2510" s="3" t="s">
        <v>10640</v>
      </c>
      <c r="C2510" s="3" t="s">
        <v>10641</v>
      </c>
      <c r="D2510" s="3" t="s">
        <v>10583</v>
      </c>
      <c r="E2510" s="3" t="s">
        <v>10584</v>
      </c>
      <c r="F2510" s="2" t="s">
        <v>10642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>
        <f t="shared" si="1"/>
        <v>2510</v>
      </c>
      <c r="B2511" s="3" t="s">
        <v>10643</v>
      </c>
      <c r="C2511" s="3" t="s">
        <v>10644</v>
      </c>
      <c r="D2511" s="3" t="s">
        <v>10583</v>
      </c>
      <c r="E2511" s="3" t="s">
        <v>10584</v>
      </c>
      <c r="F2511" s="2" t="s">
        <v>10645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>
        <f t="shared" si="1"/>
        <v>2511</v>
      </c>
      <c r="B2512" s="3" t="s">
        <v>10646</v>
      </c>
      <c r="C2512" s="3" t="s">
        <v>10647</v>
      </c>
      <c r="D2512" s="3" t="s">
        <v>10583</v>
      </c>
      <c r="E2512" s="3" t="s">
        <v>10584</v>
      </c>
      <c r="F2512" s="2" t="s">
        <v>10648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>
        <f t="shared" si="1"/>
        <v>2512</v>
      </c>
      <c r="B2513" s="3" t="s">
        <v>10649</v>
      </c>
      <c r="C2513" s="3" t="s">
        <v>10650</v>
      </c>
      <c r="D2513" s="3" t="s">
        <v>10583</v>
      </c>
      <c r="E2513" s="3" t="s">
        <v>10584</v>
      </c>
      <c r="F2513" s="2" t="s">
        <v>10651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>
        <f t="shared" si="1"/>
        <v>2513</v>
      </c>
      <c r="B2514" s="3" t="s">
        <v>10652</v>
      </c>
      <c r="C2514" s="3" t="s">
        <v>10653</v>
      </c>
      <c r="D2514" s="3" t="s">
        <v>10583</v>
      </c>
      <c r="E2514" s="3" t="s">
        <v>10584</v>
      </c>
      <c r="F2514" s="2" t="s">
        <v>10654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>
        <f t="shared" si="1"/>
        <v>2514</v>
      </c>
      <c r="B2515" s="3" t="s">
        <v>10655</v>
      </c>
      <c r="C2515" s="3" t="s">
        <v>10656</v>
      </c>
      <c r="D2515" s="3" t="s">
        <v>10583</v>
      </c>
      <c r="E2515" s="3" t="s">
        <v>10584</v>
      </c>
      <c r="F2515" s="2" t="s">
        <v>10657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>
        <f t="shared" si="1"/>
        <v>2515</v>
      </c>
      <c r="B2516" s="3" t="s">
        <v>10658</v>
      </c>
      <c r="C2516" s="3" t="s">
        <v>10659</v>
      </c>
      <c r="D2516" s="3" t="s">
        <v>10583</v>
      </c>
      <c r="E2516" s="3" t="s">
        <v>10584</v>
      </c>
      <c r="F2516" s="2" t="s">
        <v>10660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>
        <f t="shared" si="1"/>
        <v>2516</v>
      </c>
      <c r="B2517" s="3" t="s">
        <v>10661</v>
      </c>
      <c r="C2517" s="3" t="s">
        <v>10662</v>
      </c>
      <c r="D2517" s="3" t="s">
        <v>10583</v>
      </c>
      <c r="E2517" s="3" t="s">
        <v>10584</v>
      </c>
      <c r="F2517" s="2" t="s">
        <v>10663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>
        <f t="shared" si="1"/>
        <v>2517</v>
      </c>
      <c r="B2518" s="3" t="s">
        <v>10664</v>
      </c>
      <c r="C2518" s="3" t="s">
        <v>10665</v>
      </c>
      <c r="D2518" s="3" t="s">
        <v>10583</v>
      </c>
      <c r="E2518" s="3" t="s">
        <v>10584</v>
      </c>
      <c r="F2518" s="2" t="s">
        <v>10666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>
        <f t="shared" si="1"/>
        <v>2518</v>
      </c>
      <c r="B2519" s="3" t="s">
        <v>10667</v>
      </c>
      <c r="C2519" s="3" t="s">
        <v>10668</v>
      </c>
      <c r="D2519" s="3" t="s">
        <v>10583</v>
      </c>
      <c r="E2519" s="3" t="s">
        <v>10584</v>
      </c>
      <c r="F2519" s="2" t="s">
        <v>10669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>
        <f t="shared" si="1"/>
        <v>2519</v>
      </c>
      <c r="B2520" s="3" t="s">
        <v>10670</v>
      </c>
      <c r="C2520" s="3" t="s">
        <v>10671</v>
      </c>
      <c r="D2520" s="3" t="s">
        <v>10583</v>
      </c>
      <c r="E2520" s="3" t="s">
        <v>10584</v>
      </c>
      <c r="F2520" s="2" t="s">
        <v>10672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>
        <f t="shared" si="1"/>
        <v>2520</v>
      </c>
      <c r="B2521" s="3" t="s">
        <v>10673</v>
      </c>
      <c r="C2521" s="3" t="s">
        <v>10674</v>
      </c>
      <c r="D2521" s="3" t="s">
        <v>10675</v>
      </c>
      <c r="E2521" s="3" t="s">
        <v>7725</v>
      </c>
      <c r="F2521" s="2" t="s">
        <v>10676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>
        <f t="shared" si="1"/>
        <v>2521</v>
      </c>
      <c r="B2522" s="3" t="s">
        <v>10677</v>
      </c>
      <c r="C2522" s="3" t="s">
        <v>10678</v>
      </c>
      <c r="D2522" s="3" t="s">
        <v>10675</v>
      </c>
      <c r="E2522" s="3" t="s">
        <v>8729</v>
      </c>
      <c r="F2522" s="2" t="s">
        <v>10679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3">
        <f t="shared" si="1"/>
        <v>2522</v>
      </c>
      <c r="B2523" s="3" t="s">
        <v>10680</v>
      </c>
      <c r="C2523" s="3" t="s">
        <v>10681</v>
      </c>
      <c r="D2523" s="3" t="s">
        <v>10675</v>
      </c>
      <c r="E2523" s="3" t="s">
        <v>7926</v>
      </c>
      <c r="F2523" s="2" t="s">
        <v>10682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>
        <f t="shared" si="1"/>
        <v>2523</v>
      </c>
      <c r="B2524" s="3" t="s">
        <v>10683</v>
      </c>
      <c r="C2524" s="3" t="s">
        <v>10684</v>
      </c>
      <c r="D2524" s="3" t="s">
        <v>10675</v>
      </c>
      <c r="E2524" s="3" t="s">
        <v>6838</v>
      </c>
      <c r="F2524" s="2" t="s">
        <v>10685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>
        <f t="shared" si="1"/>
        <v>2524</v>
      </c>
      <c r="B2525" s="3" t="s">
        <v>10686</v>
      </c>
      <c r="C2525" s="3" t="s">
        <v>10687</v>
      </c>
      <c r="D2525" s="3" t="s">
        <v>10675</v>
      </c>
      <c r="E2525" s="3" t="s">
        <v>7926</v>
      </c>
      <c r="F2525" s="2" t="s">
        <v>10688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>
        <f t="shared" si="1"/>
        <v>2525</v>
      </c>
      <c r="B2526" s="3" t="s">
        <v>10689</v>
      </c>
      <c r="C2526" s="3" t="s">
        <v>10690</v>
      </c>
      <c r="D2526" s="3" t="s">
        <v>10675</v>
      </c>
      <c r="E2526" s="3" t="s">
        <v>7725</v>
      </c>
      <c r="F2526" s="2" t="s">
        <v>10691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>
        <f t="shared" si="1"/>
        <v>2526</v>
      </c>
      <c r="B2527" s="3" t="s">
        <v>10692</v>
      </c>
      <c r="C2527" s="3" t="s">
        <v>10693</v>
      </c>
      <c r="D2527" s="3" t="s">
        <v>10675</v>
      </c>
      <c r="E2527" s="3" t="s">
        <v>7725</v>
      </c>
      <c r="F2527" s="2" t="s">
        <v>10694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>
        <f t="shared" si="1"/>
        <v>2527</v>
      </c>
      <c r="B2528" s="3" t="s">
        <v>10695</v>
      </c>
      <c r="C2528" s="3" t="s">
        <v>10696</v>
      </c>
      <c r="D2528" s="3" t="s">
        <v>10675</v>
      </c>
      <c r="E2528" s="3" t="s">
        <v>7926</v>
      </c>
      <c r="F2528" s="2" t="s">
        <v>10697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>
        <f t="shared" si="1"/>
        <v>2528</v>
      </c>
      <c r="B2529" s="3" t="s">
        <v>10698</v>
      </c>
      <c r="C2529" s="3" t="s">
        <v>10699</v>
      </c>
      <c r="D2529" s="3" t="s">
        <v>10675</v>
      </c>
      <c r="E2529" s="3" t="s">
        <v>6838</v>
      </c>
      <c r="F2529" s="2" t="s">
        <v>10700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>
        <f t="shared" si="1"/>
        <v>2529</v>
      </c>
      <c r="B2530" s="3" t="s">
        <v>10701</v>
      </c>
      <c r="C2530" s="3" t="s">
        <v>10702</v>
      </c>
      <c r="D2530" s="3" t="s">
        <v>10675</v>
      </c>
      <c r="E2530" s="3" t="s">
        <v>6838</v>
      </c>
      <c r="F2530" s="2" t="s">
        <v>10703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>
        <f t="shared" si="1"/>
        <v>2530</v>
      </c>
      <c r="B2531" s="3" t="s">
        <v>10704</v>
      </c>
      <c r="C2531" s="3" t="s">
        <v>10705</v>
      </c>
      <c r="D2531" s="3" t="s">
        <v>10675</v>
      </c>
      <c r="E2531" s="3" t="s">
        <v>6838</v>
      </c>
      <c r="F2531" s="2" t="s">
        <v>10706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>
        <f t="shared" si="1"/>
        <v>2531</v>
      </c>
      <c r="B2532" s="3" t="s">
        <v>10707</v>
      </c>
      <c r="C2532" s="3" t="s">
        <v>10708</v>
      </c>
      <c r="D2532" s="3" t="s">
        <v>10675</v>
      </c>
      <c r="E2532" s="3" t="s">
        <v>8729</v>
      </c>
      <c r="F2532" s="2" t="s">
        <v>10709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>
        <f t="shared" si="1"/>
        <v>2532</v>
      </c>
      <c r="B2533" s="3" t="s">
        <v>10710</v>
      </c>
      <c r="C2533" s="3" t="s">
        <v>10711</v>
      </c>
      <c r="D2533" s="3" t="s">
        <v>10675</v>
      </c>
      <c r="E2533" s="3" t="s">
        <v>6838</v>
      </c>
      <c r="F2533" s="2" t="s">
        <v>10712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>
        <f t="shared" si="1"/>
        <v>2533</v>
      </c>
      <c r="B2534" s="3" t="s">
        <v>10713</v>
      </c>
      <c r="C2534" s="3" t="s">
        <v>10714</v>
      </c>
      <c r="D2534" s="3" t="s">
        <v>10675</v>
      </c>
      <c r="E2534" s="3" t="s">
        <v>7926</v>
      </c>
      <c r="F2534" s="2" t="s">
        <v>10715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>
        <f t="shared" si="1"/>
        <v>2534</v>
      </c>
      <c r="B2535" s="3" t="s">
        <v>10716</v>
      </c>
      <c r="C2535" s="3" t="s">
        <v>10717</v>
      </c>
      <c r="D2535" s="3" t="s">
        <v>10675</v>
      </c>
      <c r="E2535" s="3" t="s">
        <v>6838</v>
      </c>
      <c r="F2535" s="2" t="s">
        <v>10718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>
        <f t="shared" si="1"/>
        <v>2535</v>
      </c>
      <c r="B2536" s="3" t="s">
        <v>10719</v>
      </c>
      <c r="C2536" s="3" t="s">
        <v>10720</v>
      </c>
      <c r="D2536" s="3" t="s">
        <v>10675</v>
      </c>
      <c r="E2536" s="3" t="s">
        <v>7926</v>
      </c>
      <c r="F2536" s="2" t="s">
        <v>10721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>
        <f t="shared" si="1"/>
        <v>2536</v>
      </c>
      <c r="B2537" s="3" t="s">
        <v>10722</v>
      </c>
      <c r="C2537" s="3" t="s">
        <v>10723</v>
      </c>
      <c r="D2537" s="3" t="s">
        <v>10675</v>
      </c>
      <c r="E2537" s="3" t="s">
        <v>8729</v>
      </c>
      <c r="F2537" s="2" t="s">
        <v>10724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>
        <f t="shared" si="1"/>
        <v>2537</v>
      </c>
      <c r="B2538" s="3" t="s">
        <v>10725</v>
      </c>
      <c r="C2538" s="3" t="s">
        <v>10726</v>
      </c>
      <c r="D2538" s="3" t="s">
        <v>10675</v>
      </c>
      <c r="E2538" s="3" t="s">
        <v>6838</v>
      </c>
      <c r="F2538" s="2" t="s">
        <v>10727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>
        <f t="shared" si="1"/>
        <v>2538</v>
      </c>
      <c r="B2539" s="3" t="s">
        <v>10728</v>
      </c>
      <c r="C2539" s="3" t="s">
        <v>10729</v>
      </c>
      <c r="D2539" s="3" t="s">
        <v>10675</v>
      </c>
      <c r="E2539" s="3" t="s">
        <v>6838</v>
      </c>
      <c r="F2539" s="2" t="s">
        <v>10730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>
        <f t="shared" si="1"/>
        <v>2539</v>
      </c>
      <c r="B2540" s="3" t="s">
        <v>10731</v>
      </c>
      <c r="C2540" s="3" t="s">
        <v>10732</v>
      </c>
      <c r="D2540" s="3" t="s">
        <v>10675</v>
      </c>
      <c r="E2540" s="3" t="s">
        <v>7926</v>
      </c>
      <c r="F2540" s="2" t="s">
        <v>10733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>
        <f t="shared" si="1"/>
        <v>2540</v>
      </c>
      <c r="B2541" s="3" t="s">
        <v>10734</v>
      </c>
      <c r="C2541" s="3" t="s">
        <v>10735</v>
      </c>
      <c r="D2541" s="3" t="s">
        <v>10675</v>
      </c>
      <c r="E2541" s="3" t="s">
        <v>9590</v>
      </c>
      <c r="F2541" s="2" t="s">
        <v>10736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>
        <f t="shared" si="1"/>
        <v>2541</v>
      </c>
      <c r="B2542" s="3" t="s">
        <v>10737</v>
      </c>
      <c r="C2542" s="3" t="s">
        <v>10738</v>
      </c>
      <c r="D2542" s="3" t="s">
        <v>10675</v>
      </c>
      <c r="E2542" s="3" t="s">
        <v>9590</v>
      </c>
      <c r="F2542" s="2" t="s">
        <v>10739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>
        <f t="shared" si="1"/>
        <v>2542</v>
      </c>
      <c r="B2543" s="3" t="s">
        <v>10740</v>
      </c>
      <c r="C2543" s="3" t="s">
        <v>10741</v>
      </c>
      <c r="D2543" s="3" t="s">
        <v>10675</v>
      </c>
      <c r="E2543" s="3" t="s">
        <v>9590</v>
      </c>
      <c r="F2543" s="2" t="s">
        <v>10742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>
        <f t="shared" si="1"/>
        <v>2543</v>
      </c>
      <c r="B2544" s="3" t="s">
        <v>10743</v>
      </c>
      <c r="C2544" s="3" t="s">
        <v>10744</v>
      </c>
      <c r="D2544" s="3" t="s">
        <v>10675</v>
      </c>
      <c r="E2544" s="3" t="s">
        <v>6838</v>
      </c>
      <c r="F2544" s="2" t="s">
        <v>10745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>
        <f t="shared" si="1"/>
        <v>2544</v>
      </c>
      <c r="B2545" s="3" t="s">
        <v>10746</v>
      </c>
      <c r="C2545" s="3" t="s">
        <v>10747</v>
      </c>
      <c r="D2545" s="3" t="s">
        <v>10675</v>
      </c>
      <c r="E2545" s="3" t="s">
        <v>9590</v>
      </c>
      <c r="F2545" s="2" t="s">
        <v>10748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>
        <f t="shared" si="1"/>
        <v>2545</v>
      </c>
      <c r="B2546" s="3" t="s">
        <v>10749</v>
      </c>
      <c r="C2546" s="3" t="s">
        <v>10750</v>
      </c>
      <c r="D2546" s="3" t="s">
        <v>10675</v>
      </c>
      <c r="E2546" s="3" t="s">
        <v>9590</v>
      </c>
      <c r="F2546" s="2" t="s">
        <v>10751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>
        <f t="shared" si="1"/>
        <v>2546</v>
      </c>
      <c r="B2547" s="3" t="s">
        <v>10752</v>
      </c>
      <c r="C2547" s="3" t="s">
        <v>10753</v>
      </c>
      <c r="D2547" s="3" t="s">
        <v>10675</v>
      </c>
      <c r="E2547" s="3" t="s">
        <v>9590</v>
      </c>
      <c r="F2547" s="2" t="s">
        <v>10754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>
        <f t="shared" si="1"/>
        <v>2547</v>
      </c>
      <c r="B2548" s="3" t="s">
        <v>10755</v>
      </c>
      <c r="C2548" s="3" t="s">
        <v>10756</v>
      </c>
      <c r="D2548" s="3" t="s">
        <v>10675</v>
      </c>
      <c r="E2548" s="3" t="s">
        <v>9590</v>
      </c>
      <c r="F2548" s="2" t="s">
        <v>10757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>
        <f t="shared" si="1"/>
        <v>2548</v>
      </c>
      <c r="B2549" s="3" t="s">
        <v>10758</v>
      </c>
      <c r="C2549" s="3" t="s">
        <v>10759</v>
      </c>
      <c r="D2549" s="3" t="s">
        <v>10675</v>
      </c>
      <c r="E2549" s="3" t="s">
        <v>6838</v>
      </c>
      <c r="F2549" s="2" t="s">
        <v>10760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3">
        <f t="shared" si="1"/>
        <v>2549</v>
      </c>
      <c r="B2550" s="3" t="s">
        <v>10761</v>
      </c>
      <c r="C2550" s="3" t="s">
        <v>10762</v>
      </c>
      <c r="D2550" s="3" t="s">
        <v>10675</v>
      </c>
      <c r="E2550" s="3" t="s">
        <v>9590</v>
      </c>
      <c r="F2550" s="2" t="s">
        <v>10763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>
        <f t="shared" si="1"/>
        <v>2550</v>
      </c>
      <c r="B2551" s="3" t="s">
        <v>10764</v>
      </c>
      <c r="C2551" s="3" t="s">
        <v>10765</v>
      </c>
      <c r="D2551" s="3" t="s">
        <v>10675</v>
      </c>
      <c r="E2551" s="3" t="s">
        <v>9590</v>
      </c>
      <c r="F2551" s="2" t="s">
        <v>10766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>
        <f t="shared" si="1"/>
        <v>2551</v>
      </c>
      <c r="B2552" s="3" t="s">
        <v>10767</v>
      </c>
      <c r="C2552" s="3" t="s">
        <v>10768</v>
      </c>
      <c r="D2552" s="3" t="s">
        <v>10675</v>
      </c>
      <c r="E2552" s="3" t="s">
        <v>6838</v>
      </c>
      <c r="F2552" s="2" t="s">
        <v>10769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>
        <f t="shared" si="1"/>
        <v>2552</v>
      </c>
      <c r="B2553" s="3" t="s">
        <v>10770</v>
      </c>
      <c r="C2553" s="3" t="s">
        <v>10771</v>
      </c>
      <c r="D2553" s="3" t="s">
        <v>10675</v>
      </c>
      <c r="E2553" s="3" t="s">
        <v>9590</v>
      </c>
      <c r="F2553" s="2" t="s">
        <v>10772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>
        <f t="shared" si="1"/>
        <v>2553</v>
      </c>
      <c r="B2554" s="3" t="s">
        <v>10773</v>
      </c>
      <c r="C2554" s="3" t="s">
        <v>10774</v>
      </c>
      <c r="D2554" s="3" t="s">
        <v>10675</v>
      </c>
      <c r="E2554" s="3" t="s">
        <v>9590</v>
      </c>
      <c r="F2554" s="2" t="s">
        <v>10775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>
        <f t="shared" si="1"/>
        <v>2554</v>
      </c>
      <c r="B2555" s="3" t="s">
        <v>10776</v>
      </c>
      <c r="C2555" s="3" t="s">
        <v>10777</v>
      </c>
      <c r="D2555" s="3" t="s">
        <v>10675</v>
      </c>
      <c r="E2555" s="3" t="s">
        <v>9590</v>
      </c>
      <c r="F2555" s="2" t="s">
        <v>10778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>
        <f t="shared" si="1"/>
        <v>2555</v>
      </c>
      <c r="B2556" s="3" t="s">
        <v>10779</v>
      </c>
      <c r="C2556" s="3" t="s">
        <v>10780</v>
      </c>
      <c r="D2556" s="3" t="s">
        <v>10675</v>
      </c>
      <c r="E2556" s="3" t="s">
        <v>6838</v>
      </c>
      <c r="F2556" s="2" t="s">
        <v>10781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>
        <f t="shared" si="1"/>
        <v>2556</v>
      </c>
      <c r="B2557" s="3" t="s">
        <v>10782</v>
      </c>
      <c r="C2557" s="3" t="s">
        <v>10783</v>
      </c>
      <c r="D2557" s="3" t="s">
        <v>10675</v>
      </c>
      <c r="E2557" s="3" t="s">
        <v>8729</v>
      </c>
      <c r="F2557" s="2" t="s">
        <v>10784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>
        <f t="shared" si="1"/>
        <v>2557</v>
      </c>
      <c r="B2558" s="3" t="s">
        <v>10785</v>
      </c>
      <c r="C2558" s="3" t="s">
        <v>10786</v>
      </c>
      <c r="D2558" s="3" t="s">
        <v>10675</v>
      </c>
      <c r="E2558" s="3" t="s">
        <v>7903</v>
      </c>
      <c r="F2558" s="2" t="s">
        <v>10787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>
        <f t="shared" si="1"/>
        <v>2558</v>
      </c>
      <c r="B2559" s="3" t="s">
        <v>10788</v>
      </c>
      <c r="C2559" s="3" t="s">
        <v>10789</v>
      </c>
      <c r="D2559" s="3" t="s">
        <v>10675</v>
      </c>
      <c r="E2559" s="3" t="s">
        <v>7930</v>
      </c>
      <c r="F2559" s="2" t="s">
        <v>10790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>
        <f t="shared" si="1"/>
        <v>2559</v>
      </c>
      <c r="B2560" s="3" t="s">
        <v>10791</v>
      </c>
      <c r="C2560" s="3" t="s">
        <v>10792</v>
      </c>
      <c r="D2560" s="3" t="s">
        <v>10675</v>
      </c>
      <c r="E2560" s="3" t="s">
        <v>7930</v>
      </c>
      <c r="F2560" s="2" t="s">
        <v>10793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>
        <f t="shared" si="1"/>
        <v>2560</v>
      </c>
      <c r="B2561" s="3" t="s">
        <v>10794</v>
      </c>
      <c r="C2561" s="3" t="s">
        <v>10795</v>
      </c>
      <c r="D2561" s="3" t="s">
        <v>10675</v>
      </c>
      <c r="E2561" s="3" t="s">
        <v>7930</v>
      </c>
      <c r="F2561" s="2" t="s">
        <v>10796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>
        <f t="shared" si="1"/>
        <v>2561</v>
      </c>
      <c r="B2562" s="3" t="s">
        <v>10797</v>
      </c>
      <c r="C2562" s="3" t="s">
        <v>10798</v>
      </c>
      <c r="D2562" s="3" t="s">
        <v>10675</v>
      </c>
      <c r="E2562" s="3" t="s">
        <v>9590</v>
      </c>
      <c r="F2562" s="2" t="s">
        <v>10799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>
        <f t="shared" si="1"/>
        <v>2562</v>
      </c>
      <c r="B2563" s="3" t="s">
        <v>10800</v>
      </c>
      <c r="C2563" s="3" t="s">
        <v>10801</v>
      </c>
      <c r="D2563" s="3" t="s">
        <v>10802</v>
      </c>
      <c r="E2563" s="3" t="s">
        <v>10803</v>
      </c>
      <c r="F2563" s="2" t="s">
        <v>10804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>
        <f t="shared" si="1"/>
        <v>2563</v>
      </c>
      <c r="B2564" s="3" t="s">
        <v>10805</v>
      </c>
      <c r="C2564" s="3" t="s">
        <v>10806</v>
      </c>
      <c r="D2564" s="3" t="s">
        <v>10802</v>
      </c>
      <c r="E2564" s="3" t="s">
        <v>10803</v>
      </c>
      <c r="F2564" s="2" t="s">
        <v>10807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>
        <f t="shared" si="1"/>
        <v>2564</v>
      </c>
      <c r="B2565" s="3" t="s">
        <v>10808</v>
      </c>
      <c r="C2565" s="3" t="s">
        <v>10809</v>
      </c>
      <c r="D2565" s="3" t="s">
        <v>10802</v>
      </c>
      <c r="E2565" s="3" t="s">
        <v>10803</v>
      </c>
      <c r="F2565" s="2" t="s">
        <v>10810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>
        <f t="shared" si="1"/>
        <v>2565</v>
      </c>
      <c r="B2566" s="3" t="s">
        <v>10811</v>
      </c>
      <c r="C2566" s="3" t="s">
        <v>10812</v>
      </c>
      <c r="D2566" s="3" t="s">
        <v>10802</v>
      </c>
      <c r="E2566" s="3" t="s">
        <v>10803</v>
      </c>
      <c r="F2566" s="2" t="s">
        <v>10813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>
        <f t="shared" si="1"/>
        <v>2566</v>
      </c>
      <c r="B2567" s="3" t="s">
        <v>10814</v>
      </c>
      <c r="C2567" s="3" t="s">
        <v>10815</v>
      </c>
      <c r="D2567" s="3" t="s">
        <v>10802</v>
      </c>
      <c r="E2567" s="3" t="s">
        <v>10803</v>
      </c>
      <c r="F2567" s="2" t="s">
        <v>10816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>
        <f t="shared" si="1"/>
        <v>2567</v>
      </c>
      <c r="B2568" s="3" t="s">
        <v>10817</v>
      </c>
      <c r="C2568" s="3" t="s">
        <v>10818</v>
      </c>
      <c r="D2568" s="3" t="s">
        <v>10802</v>
      </c>
      <c r="E2568" s="3" t="s">
        <v>10803</v>
      </c>
      <c r="F2568" s="2" t="s">
        <v>10819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>
        <f t="shared" si="1"/>
        <v>2568</v>
      </c>
      <c r="B2569" s="3" t="s">
        <v>10820</v>
      </c>
      <c r="C2569" s="3" t="s">
        <v>10821</v>
      </c>
      <c r="D2569" s="3" t="s">
        <v>10802</v>
      </c>
      <c r="E2569" s="3" t="s">
        <v>10803</v>
      </c>
      <c r="F2569" s="2" t="s">
        <v>10822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>
        <f t="shared" si="1"/>
        <v>2569</v>
      </c>
      <c r="B2570" s="3" t="s">
        <v>10823</v>
      </c>
      <c r="C2570" s="3" t="s">
        <v>10824</v>
      </c>
      <c r="D2570" s="3" t="s">
        <v>10802</v>
      </c>
      <c r="E2570" s="3" t="s">
        <v>10803</v>
      </c>
      <c r="F2570" s="2" t="s">
        <v>10825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>
        <f t="shared" si="1"/>
        <v>2570</v>
      </c>
      <c r="B2571" s="3" t="s">
        <v>10826</v>
      </c>
      <c r="C2571" s="3" t="s">
        <v>10827</v>
      </c>
      <c r="D2571" s="3" t="s">
        <v>10802</v>
      </c>
      <c r="E2571" s="3" t="s">
        <v>10803</v>
      </c>
      <c r="F2571" s="2" t="s">
        <v>10828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>
        <f t="shared" si="1"/>
        <v>2571</v>
      </c>
      <c r="B2572" s="3" t="s">
        <v>10829</v>
      </c>
      <c r="C2572" s="3" t="s">
        <v>10830</v>
      </c>
      <c r="D2572" s="3" t="s">
        <v>10802</v>
      </c>
      <c r="E2572" s="3" t="s">
        <v>10803</v>
      </c>
      <c r="F2572" s="2" t="s">
        <v>10831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>
        <f t="shared" si="1"/>
        <v>2572</v>
      </c>
      <c r="B2573" s="3" t="s">
        <v>10832</v>
      </c>
      <c r="C2573" s="3" t="s">
        <v>10833</v>
      </c>
      <c r="D2573" s="3" t="s">
        <v>10802</v>
      </c>
      <c r="E2573" s="3" t="s">
        <v>10803</v>
      </c>
      <c r="F2573" s="2" t="s">
        <v>10834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>
        <f t="shared" si="1"/>
        <v>2573</v>
      </c>
      <c r="B2574" s="3" t="s">
        <v>10835</v>
      </c>
      <c r="C2574" s="3" t="s">
        <v>10836</v>
      </c>
      <c r="D2574" s="3" t="s">
        <v>10802</v>
      </c>
      <c r="E2574" s="3" t="s">
        <v>10803</v>
      </c>
      <c r="F2574" s="2" t="s">
        <v>10837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>
        <f t="shared" si="1"/>
        <v>2574</v>
      </c>
      <c r="B2575" s="3" t="s">
        <v>10838</v>
      </c>
      <c r="C2575" s="3" t="s">
        <v>10839</v>
      </c>
      <c r="D2575" s="3" t="s">
        <v>10802</v>
      </c>
      <c r="E2575" s="3" t="s">
        <v>10803</v>
      </c>
      <c r="F2575" s="2" t="s">
        <v>10840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>
        <f t="shared" si="1"/>
        <v>2575</v>
      </c>
      <c r="B2576" s="3" t="s">
        <v>10841</v>
      </c>
      <c r="C2576" s="3" t="s">
        <v>10842</v>
      </c>
      <c r="D2576" s="3" t="s">
        <v>10802</v>
      </c>
      <c r="E2576" s="3" t="s">
        <v>10803</v>
      </c>
      <c r="F2576" s="2" t="s">
        <v>10843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>
        <f t="shared" si="1"/>
        <v>2576</v>
      </c>
      <c r="B2577" s="3" t="s">
        <v>10844</v>
      </c>
      <c r="C2577" s="3" t="s">
        <v>10845</v>
      </c>
      <c r="D2577" s="3" t="s">
        <v>10802</v>
      </c>
      <c r="E2577" s="3" t="s">
        <v>10803</v>
      </c>
      <c r="F2577" s="2" t="s">
        <v>10846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>
        <f t="shared" si="1"/>
        <v>2577</v>
      </c>
      <c r="B2578" s="3" t="s">
        <v>10847</v>
      </c>
      <c r="C2578" s="3" t="s">
        <v>10848</v>
      </c>
      <c r="D2578" s="3" t="s">
        <v>10802</v>
      </c>
      <c r="E2578" s="3" t="s">
        <v>10803</v>
      </c>
      <c r="F2578" s="2" t="s">
        <v>10849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>
        <f t="shared" si="1"/>
        <v>2578</v>
      </c>
      <c r="B2579" s="3" t="s">
        <v>10850</v>
      </c>
      <c r="C2579" s="3" t="s">
        <v>10851</v>
      </c>
      <c r="D2579" s="3" t="s">
        <v>10802</v>
      </c>
      <c r="E2579" s="3" t="s">
        <v>10803</v>
      </c>
      <c r="F2579" s="2" t="s">
        <v>10852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>
        <f t="shared" si="1"/>
        <v>2579</v>
      </c>
      <c r="B2580" s="3" t="s">
        <v>10853</v>
      </c>
      <c r="C2580" s="3" t="s">
        <v>10854</v>
      </c>
      <c r="D2580" s="3" t="s">
        <v>10802</v>
      </c>
      <c r="E2580" s="3" t="s">
        <v>10803</v>
      </c>
      <c r="F2580" s="2" t="s">
        <v>10855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>
        <f t="shared" si="1"/>
        <v>2580</v>
      </c>
      <c r="B2581" s="3" t="s">
        <v>10856</v>
      </c>
      <c r="C2581" s="3" t="s">
        <v>10857</v>
      </c>
      <c r="D2581" s="3" t="s">
        <v>10802</v>
      </c>
      <c r="E2581" s="3" t="s">
        <v>10803</v>
      </c>
      <c r="F2581" s="2" t="s">
        <v>10858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>
        <f t="shared" si="1"/>
        <v>2581</v>
      </c>
      <c r="B2582" s="3" t="s">
        <v>10859</v>
      </c>
      <c r="C2582" s="3" t="s">
        <v>10860</v>
      </c>
      <c r="D2582" s="3" t="s">
        <v>10802</v>
      </c>
      <c r="E2582" s="3" t="s">
        <v>10803</v>
      </c>
      <c r="F2582" s="2" t="s">
        <v>10861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>
        <f t="shared" si="1"/>
        <v>2582</v>
      </c>
      <c r="B2583" s="3" t="s">
        <v>10862</v>
      </c>
      <c r="C2583" s="3" t="s">
        <v>10863</v>
      </c>
      <c r="D2583" s="3" t="s">
        <v>10802</v>
      </c>
      <c r="E2583" s="3" t="s">
        <v>10803</v>
      </c>
      <c r="F2583" s="2" t="s">
        <v>10864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>
        <f t="shared" si="1"/>
        <v>2583</v>
      </c>
      <c r="B2584" s="3" t="s">
        <v>10865</v>
      </c>
      <c r="C2584" s="3" t="s">
        <v>10866</v>
      </c>
      <c r="D2584" s="3" t="s">
        <v>10867</v>
      </c>
      <c r="E2584" s="3" t="s">
        <v>10868</v>
      </c>
      <c r="F2584" s="2" t="s">
        <v>10869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>
        <f t="shared" si="1"/>
        <v>2584</v>
      </c>
      <c r="B2585" s="3" t="s">
        <v>10870</v>
      </c>
      <c r="C2585" s="3" t="s">
        <v>10871</v>
      </c>
      <c r="D2585" s="3" t="s">
        <v>10867</v>
      </c>
      <c r="E2585" s="3" t="s">
        <v>10868</v>
      </c>
      <c r="F2585" s="2" t="s">
        <v>10872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>
        <f t="shared" si="1"/>
        <v>2585</v>
      </c>
      <c r="B2586" s="3" t="s">
        <v>10873</v>
      </c>
      <c r="C2586" s="3" t="s">
        <v>10874</v>
      </c>
      <c r="D2586" s="3" t="s">
        <v>10867</v>
      </c>
      <c r="E2586" s="3" t="s">
        <v>10868</v>
      </c>
      <c r="F2586" s="2" t="s">
        <v>10875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>
        <f t="shared" si="1"/>
        <v>2586</v>
      </c>
      <c r="B2587" s="3" t="s">
        <v>10876</v>
      </c>
      <c r="C2587" s="3" t="s">
        <v>10877</v>
      </c>
      <c r="D2587" s="3" t="s">
        <v>10867</v>
      </c>
      <c r="E2587" s="3" t="s">
        <v>10868</v>
      </c>
      <c r="F2587" s="2" t="s">
        <v>10878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>
        <f t="shared" si="1"/>
        <v>2587</v>
      </c>
      <c r="B2588" s="3" t="s">
        <v>10879</v>
      </c>
      <c r="C2588" s="3" t="s">
        <v>10880</v>
      </c>
      <c r="D2588" s="3" t="s">
        <v>10867</v>
      </c>
      <c r="E2588" s="3" t="s">
        <v>10868</v>
      </c>
      <c r="F2588" s="2" t="s">
        <v>10881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>
        <f t="shared" si="1"/>
        <v>2588</v>
      </c>
      <c r="B2589" s="3" t="s">
        <v>10882</v>
      </c>
      <c r="C2589" s="3" t="s">
        <v>10883</v>
      </c>
      <c r="D2589" s="3" t="s">
        <v>10867</v>
      </c>
      <c r="E2589" s="3" t="s">
        <v>10868</v>
      </c>
      <c r="F2589" s="2" t="s">
        <v>10884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>
        <f t="shared" si="1"/>
        <v>2589</v>
      </c>
      <c r="B2590" s="3" t="s">
        <v>10885</v>
      </c>
      <c r="C2590" s="3" t="s">
        <v>10886</v>
      </c>
      <c r="D2590" s="3" t="s">
        <v>10867</v>
      </c>
      <c r="E2590" s="3" t="s">
        <v>10868</v>
      </c>
      <c r="F2590" s="2" t="s">
        <v>10887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>
        <f t="shared" si="1"/>
        <v>2590</v>
      </c>
      <c r="B2591" s="3" t="s">
        <v>10888</v>
      </c>
      <c r="C2591" s="3" t="s">
        <v>10889</v>
      </c>
      <c r="D2591" s="3" t="s">
        <v>10867</v>
      </c>
      <c r="E2591" s="3" t="s">
        <v>10868</v>
      </c>
      <c r="F2591" s="2" t="s">
        <v>10890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>
        <f t="shared" si="1"/>
        <v>2591</v>
      </c>
      <c r="B2592" s="3" t="s">
        <v>10891</v>
      </c>
      <c r="C2592" s="3" t="s">
        <v>10892</v>
      </c>
      <c r="D2592" s="3" t="s">
        <v>10867</v>
      </c>
      <c r="E2592" s="3" t="s">
        <v>10868</v>
      </c>
      <c r="F2592" s="2" t="s">
        <v>10893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>
        <f t="shared" si="1"/>
        <v>2592</v>
      </c>
      <c r="B2593" s="3" t="s">
        <v>10894</v>
      </c>
      <c r="C2593" s="3" t="s">
        <v>10895</v>
      </c>
      <c r="D2593" s="3" t="s">
        <v>10867</v>
      </c>
      <c r="E2593" s="3" t="s">
        <v>10868</v>
      </c>
      <c r="F2593" s="2" t="s">
        <v>10896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>
        <f t="shared" si="1"/>
        <v>2593</v>
      </c>
      <c r="B2594" s="3" t="s">
        <v>10897</v>
      </c>
      <c r="C2594" s="3" t="s">
        <v>10898</v>
      </c>
      <c r="D2594" s="3" t="s">
        <v>10867</v>
      </c>
      <c r="E2594" s="3" t="s">
        <v>10868</v>
      </c>
      <c r="F2594" s="2" t="s">
        <v>10899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>
        <f t="shared" si="1"/>
        <v>2594</v>
      </c>
      <c r="B2595" s="3" t="s">
        <v>10900</v>
      </c>
      <c r="C2595" s="3" t="s">
        <v>10901</v>
      </c>
      <c r="D2595" s="3" t="s">
        <v>10867</v>
      </c>
      <c r="E2595" s="3" t="s">
        <v>10868</v>
      </c>
      <c r="F2595" s="2" t="s">
        <v>10902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>
        <f t="shared" si="1"/>
        <v>2595</v>
      </c>
      <c r="B2596" s="3" t="s">
        <v>10903</v>
      </c>
      <c r="C2596" s="3" t="s">
        <v>10904</v>
      </c>
      <c r="D2596" s="3" t="s">
        <v>10867</v>
      </c>
      <c r="E2596" s="3" t="s">
        <v>10868</v>
      </c>
      <c r="F2596" s="2" t="s">
        <v>10905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>
        <f t="shared" si="1"/>
        <v>2596</v>
      </c>
      <c r="B2597" s="3" t="s">
        <v>10906</v>
      </c>
      <c r="C2597" s="3" t="s">
        <v>10907</v>
      </c>
      <c r="D2597" s="3" t="s">
        <v>10867</v>
      </c>
      <c r="E2597" s="3" t="s">
        <v>10868</v>
      </c>
      <c r="F2597" s="2" t="s">
        <v>10908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>
        <f t="shared" si="1"/>
        <v>2597</v>
      </c>
      <c r="B2598" s="3" t="s">
        <v>10909</v>
      </c>
      <c r="C2598" s="3" t="s">
        <v>10910</v>
      </c>
      <c r="D2598" s="3" t="s">
        <v>10867</v>
      </c>
      <c r="E2598" s="3" t="s">
        <v>10868</v>
      </c>
      <c r="F2598" s="2" t="s">
        <v>10911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>
        <f t="shared" si="1"/>
        <v>2598</v>
      </c>
      <c r="B2599" s="3" t="s">
        <v>10912</v>
      </c>
      <c r="C2599" s="3" t="s">
        <v>10913</v>
      </c>
      <c r="D2599" s="3" t="s">
        <v>10867</v>
      </c>
      <c r="E2599" s="3" t="s">
        <v>10868</v>
      </c>
      <c r="F2599" s="2" t="s">
        <v>10914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>
        <f t="shared" si="1"/>
        <v>2599</v>
      </c>
      <c r="B2600" s="3" t="s">
        <v>10915</v>
      </c>
      <c r="C2600" s="3" t="s">
        <v>10916</v>
      </c>
      <c r="D2600" s="3" t="s">
        <v>10867</v>
      </c>
      <c r="E2600" s="3" t="s">
        <v>10868</v>
      </c>
      <c r="F2600" s="2" t="s">
        <v>10917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>
        <f t="shared" si="1"/>
        <v>2600</v>
      </c>
      <c r="B2601" s="3" t="s">
        <v>10918</v>
      </c>
      <c r="C2601" s="3" t="s">
        <v>10919</v>
      </c>
      <c r="D2601" s="3" t="s">
        <v>10867</v>
      </c>
      <c r="E2601" s="3" t="s">
        <v>10868</v>
      </c>
      <c r="F2601" s="2" t="s">
        <v>10920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>
        <f t="shared" si="1"/>
        <v>2601</v>
      </c>
      <c r="B2602" s="3" t="s">
        <v>10921</v>
      </c>
      <c r="C2602" s="3" t="s">
        <v>10922</v>
      </c>
      <c r="D2602" s="3" t="s">
        <v>10867</v>
      </c>
      <c r="E2602" s="3" t="s">
        <v>10868</v>
      </c>
      <c r="F2602" s="2" t="s">
        <v>10923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>
        <f t="shared" si="1"/>
        <v>2602</v>
      </c>
      <c r="B2603" s="3" t="s">
        <v>10924</v>
      </c>
      <c r="C2603" s="3" t="s">
        <v>10925</v>
      </c>
      <c r="D2603" s="3" t="s">
        <v>10867</v>
      </c>
      <c r="E2603" s="3" t="s">
        <v>10868</v>
      </c>
      <c r="F2603" s="2" t="s">
        <v>10926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>
        <f t="shared" si="1"/>
        <v>2603</v>
      </c>
      <c r="B2604" s="3" t="s">
        <v>10927</v>
      </c>
      <c r="C2604" s="3" t="s">
        <v>10928</v>
      </c>
      <c r="D2604" s="3" t="s">
        <v>10867</v>
      </c>
      <c r="E2604" s="3" t="s">
        <v>10868</v>
      </c>
      <c r="F2604" s="2" t="s">
        <v>10929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>
        <f t="shared" si="1"/>
        <v>2604</v>
      </c>
      <c r="B2605" s="3" t="s">
        <v>10930</v>
      </c>
      <c r="C2605" s="3" t="s">
        <v>10931</v>
      </c>
      <c r="D2605" s="3" t="s">
        <v>10867</v>
      </c>
      <c r="E2605" s="3" t="s">
        <v>10868</v>
      </c>
      <c r="F2605" s="2" t="s">
        <v>10932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>
        <f t="shared" si="1"/>
        <v>2605</v>
      </c>
      <c r="B2606" s="3" t="s">
        <v>10933</v>
      </c>
      <c r="C2606" s="3" t="s">
        <v>10934</v>
      </c>
      <c r="D2606" s="3" t="s">
        <v>10867</v>
      </c>
      <c r="E2606" s="3" t="s">
        <v>10868</v>
      </c>
      <c r="F2606" s="2" t="s">
        <v>10935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>
        <f t="shared" si="1"/>
        <v>2606</v>
      </c>
      <c r="B2607" s="3" t="s">
        <v>10936</v>
      </c>
      <c r="C2607" s="3" t="s">
        <v>10937</v>
      </c>
      <c r="D2607" s="3" t="s">
        <v>10867</v>
      </c>
      <c r="E2607" s="3" t="s">
        <v>10868</v>
      </c>
      <c r="F2607" s="2" t="s">
        <v>10938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>
        <f t="shared" si="1"/>
        <v>2607</v>
      </c>
      <c r="B2608" s="3" t="s">
        <v>10939</v>
      </c>
      <c r="C2608" s="3" t="s">
        <v>10940</v>
      </c>
      <c r="D2608" s="3" t="s">
        <v>10867</v>
      </c>
      <c r="E2608" s="3" t="s">
        <v>10868</v>
      </c>
      <c r="F2608" s="2" t="s">
        <v>10941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>
        <f t="shared" si="1"/>
        <v>2608</v>
      </c>
      <c r="B2609" s="3" t="s">
        <v>10942</v>
      </c>
      <c r="C2609" s="3" t="s">
        <v>10943</v>
      </c>
      <c r="D2609" s="3" t="s">
        <v>10867</v>
      </c>
      <c r="E2609" s="3" t="s">
        <v>10868</v>
      </c>
      <c r="F2609" s="2" t="s">
        <v>10944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>
        <f t="shared" si="1"/>
        <v>2609</v>
      </c>
      <c r="B2610" s="3" t="s">
        <v>10945</v>
      </c>
      <c r="C2610" s="3" t="s">
        <v>10946</v>
      </c>
      <c r="D2610" s="3" t="s">
        <v>10867</v>
      </c>
      <c r="E2610" s="3" t="s">
        <v>10868</v>
      </c>
      <c r="F2610" s="2" t="s">
        <v>10947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>
        <f t="shared" si="1"/>
        <v>2610</v>
      </c>
      <c r="B2611" s="3" t="s">
        <v>10948</v>
      </c>
      <c r="C2611" s="3" t="s">
        <v>10949</v>
      </c>
      <c r="D2611" s="3" t="s">
        <v>10867</v>
      </c>
      <c r="E2611" s="3" t="s">
        <v>10868</v>
      </c>
      <c r="F2611" s="2" t="s">
        <v>10950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>
        <f t="shared" si="1"/>
        <v>2611</v>
      </c>
      <c r="B2612" s="3" t="s">
        <v>10951</v>
      </c>
      <c r="C2612" s="3" t="s">
        <v>10952</v>
      </c>
      <c r="D2612" s="3" t="s">
        <v>10867</v>
      </c>
      <c r="E2612" s="3" t="s">
        <v>10868</v>
      </c>
      <c r="F2612" s="2" t="s">
        <v>10953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>
        <f t="shared" si="1"/>
        <v>2612</v>
      </c>
      <c r="B2613" s="3" t="s">
        <v>10954</v>
      </c>
      <c r="C2613" s="3" t="s">
        <v>10955</v>
      </c>
      <c r="D2613" s="3" t="s">
        <v>10867</v>
      </c>
      <c r="E2613" s="3" t="s">
        <v>10868</v>
      </c>
      <c r="F2613" s="2" t="s">
        <v>10956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>
        <f t="shared" si="1"/>
        <v>2613</v>
      </c>
      <c r="B2614" s="3" t="s">
        <v>10957</v>
      </c>
      <c r="C2614" s="3" t="s">
        <v>10958</v>
      </c>
      <c r="D2614" s="3" t="s">
        <v>10867</v>
      </c>
      <c r="E2614" s="3" t="s">
        <v>10868</v>
      </c>
      <c r="F2614" s="2" t="s">
        <v>10959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>
        <f t="shared" si="1"/>
        <v>2614</v>
      </c>
      <c r="B2615" s="3" t="s">
        <v>10960</v>
      </c>
      <c r="C2615" s="3" t="s">
        <v>10961</v>
      </c>
      <c r="D2615" s="3" t="s">
        <v>10867</v>
      </c>
      <c r="E2615" s="3" t="s">
        <v>10868</v>
      </c>
      <c r="F2615" s="2" t="s">
        <v>10962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>
        <f t="shared" si="1"/>
        <v>2615</v>
      </c>
      <c r="B2616" s="3" t="s">
        <v>10963</v>
      </c>
      <c r="C2616" s="3" t="s">
        <v>10964</v>
      </c>
      <c r="D2616" s="3" t="s">
        <v>10867</v>
      </c>
      <c r="E2616" s="3" t="s">
        <v>10868</v>
      </c>
      <c r="F2616" s="2" t="s">
        <v>10965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>
        <f t="shared" si="1"/>
        <v>2616</v>
      </c>
      <c r="B2617" s="3" t="s">
        <v>10966</v>
      </c>
      <c r="C2617" s="3" t="s">
        <v>10967</v>
      </c>
      <c r="D2617" s="3" t="s">
        <v>10867</v>
      </c>
      <c r="E2617" s="3" t="s">
        <v>10868</v>
      </c>
      <c r="F2617" s="2" t="s">
        <v>10968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>
        <f t="shared" si="1"/>
        <v>2617</v>
      </c>
      <c r="B2618" s="3" t="s">
        <v>10969</v>
      </c>
      <c r="C2618" s="3" t="s">
        <v>10970</v>
      </c>
      <c r="D2618" s="3" t="s">
        <v>10867</v>
      </c>
      <c r="E2618" s="3" t="s">
        <v>10868</v>
      </c>
      <c r="F2618" s="2" t="s">
        <v>10971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>
        <f t="shared" si="1"/>
        <v>2618</v>
      </c>
      <c r="B2619" s="3" t="s">
        <v>10972</v>
      </c>
      <c r="C2619" s="3" t="s">
        <v>10973</v>
      </c>
      <c r="D2619" s="3" t="s">
        <v>10974</v>
      </c>
      <c r="E2619" s="3" t="s">
        <v>10975</v>
      </c>
      <c r="F2619" s="2" t="s">
        <v>10976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>
        <f t="shared" si="1"/>
        <v>2619</v>
      </c>
      <c r="B2620" s="3" t="s">
        <v>10977</v>
      </c>
      <c r="C2620" s="3" t="s">
        <v>10978</v>
      </c>
      <c r="D2620" s="3" t="s">
        <v>10974</v>
      </c>
      <c r="E2620" s="3" t="s">
        <v>10975</v>
      </c>
      <c r="F2620" s="2" t="s">
        <v>10979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>
        <f t="shared" si="1"/>
        <v>2620</v>
      </c>
      <c r="B2621" s="3" t="s">
        <v>10980</v>
      </c>
      <c r="C2621" s="3" t="s">
        <v>10981</v>
      </c>
      <c r="D2621" s="3" t="s">
        <v>10974</v>
      </c>
      <c r="E2621" s="3" t="s">
        <v>10975</v>
      </c>
      <c r="F2621" s="2" t="s">
        <v>10982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>
        <f t="shared" si="1"/>
        <v>2621</v>
      </c>
      <c r="B2622" s="3" t="s">
        <v>10983</v>
      </c>
      <c r="C2622" s="3" t="s">
        <v>10984</v>
      </c>
      <c r="D2622" s="3" t="s">
        <v>10974</v>
      </c>
      <c r="E2622" s="3" t="s">
        <v>10975</v>
      </c>
      <c r="F2622" s="2" t="s">
        <v>10985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>
        <f t="shared" si="1"/>
        <v>2622</v>
      </c>
      <c r="B2623" s="3" t="s">
        <v>10986</v>
      </c>
      <c r="C2623" s="3" t="s">
        <v>10987</v>
      </c>
      <c r="D2623" s="3" t="s">
        <v>10974</v>
      </c>
      <c r="E2623" s="3" t="s">
        <v>10975</v>
      </c>
      <c r="F2623" s="2" t="s">
        <v>10988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>
        <f t="shared" si="1"/>
        <v>2623</v>
      </c>
      <c r="B2624" s="3" t="s">
        <v>10989</v>
      </c>
      <c r="C2624" s="3" t="s">
        <v>10990</v>
      </c>
      <c r="D2624" s="3" t="s">
        <v>10974</v>
      </c>
      <c r="E2624" s="3" t="s">
        <v>10975</v>
      </c>
      <c r="F2624" s="2" t="s">
        <v>10991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>
        <f t="shared" si="1"/>
        <v>2624</v>
      </c>
      <c r="B2625" s="3" t="s">
        <v>10992</v>
      </c>
      <c r="C2625" s="3" t="s">
        <v>10993</v>
      </c>
      <c r="D2625" s="3" t="s">
        <v>10974</v>
      </c>
      <c r="E2625" s="3" t="s">
        <v>10975</v>
      </c>
      <c r="F2625" s="2" t="s">
        <v>10994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>
        <f t="shared" si="1"/>
        <v>2625</v>
      </c>
      <c r="B2626" s="3" t="s">
        <v>10995</v>
      </c>
      <c r="C2626" s="3" t="s">
        <v>10996</v>
      </c>
      <c r="D2626" s="3" t="s">
        <v>10974</v>
      </c>
      <c r="E2626" s="3" t="s">
        <v>10975</v>
      </c>
      <c r="F2626" s="2" t="s">
        <v>10997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>
        <f t="shared" si="1"/>
        <v>2626</v>
      </c>
      <c r="B2627" s="3" t="s">
        <v>10998</v>
      </c>
      <c r="C2627" s="3" t="s">
        <v>10999</v>
      </c>
      <c r="D2627" s="3" t="s">
        <v>10974</v>
      </c>
      <c r="E2627" s="3" t="s">
        <v>10975</v>
      </c>
      <c r="F2627" s="2" t="s">
        <v>11000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>
        <f t="shared" si="1"/>
        <v>2627</v>
      </c>
      <c r="B2628" s="3" t="s">
        <v>11001</v>
      </c>
      <c r="C2628" s="3" t="s">
        <v>11002</v>
      </c>
      <c r="D2628" s="3" t="s">
        <v>10974</v>
      </c>
      <c r="E2628" s="3" t="s">
        <v>10975</v>
      </c>
      <c r="F2628" s="2" t="s">
        <v>11003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>
        <f t="shared" si="1"/>
        <v>2628</v>
      </c>
      <c r="B2629" s="3" t="s">
        <v>11004</v>
      </c>
      <c r="C2629" s="3" t="s">
        <v>11005</v>
      </c>
      <c r="D2629" s="3" t="s">
        <v>10974</v>
      </c>
      <c r="E2629" s="3" t="s">
        <v>10975</v>
      </c>
      <c r="F2629" s="2" t="s">
        <v>11006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>
        <f t="shared" si="1"/>
        <v>2629</v>
      </c>
      <c r="B2630" s="3" t="s">
        <v>11007</v>
      </c>
      <c r="C2630" s="3" t="s">
        <v>11008</v>
      </c>
      <c r="D2630" s="3" t="s">
        <v>10974</v>
      </c>
      <c r="E2630" s="3" t="s">
        <v>10975</v>
      </c>
      <c r="F2630" s="2" t="s">
        <v>11009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>
        <f t="shared" si="1"/>
        <v>2630</v>
      </c>
      <c r="B2631" s="3" t="s">
        <v>11010</v>
      </c>
      <c r="C2631" s="3" t="s">
        <v>11011</v>
      </c>
      <c r="D2631" s="3" t="s">
        <v>10974</v>
      </c>
      <c r="E2631" s="3" t="s">
        <v>10975</v>
      </c>
      <c r="F2631" s="2" t="s">
        <v>11012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>
        <f t="shared" si="1"/>
        <v>2631</v>
      </c>
      <c r="B2632" s="3" t="s">
        <v>11013</v>
      </c>
      <c r="C2632" s="3" t="s">
        <v>11014</v>
      </c>
      <c r="D2632" s="3" t="s">
        <v>10974</v>
      </c>
      <c r="E2632" s="3" t="s">
        <v>10975</v>
      </c>
      <c r="F2632" s="2" t="s">
        <v>11015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>
        <f t="shared" si="1"/>
        <v>2632</v>
      </c>
      <c r="B2633" s="3" t="s">
        <v>11016</v>
      </c>
      <c r="C2633" s="3" t="s">
        <v>11017</v>
      </c>
      <c r="D2633" s="3" t="s">
        <v>10974</v>
      </c>
      <c r="E2633" s="3" t="s">
        <v>10975</v>
      </c>
      <c r="F2633" s="2" t="s">
        <v>11018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3">
        <f t="shared" si="1"/>
        <v>2633</v>
      </c>
      <c r="B2634" s="3" t="s">
        <v>11019</v>
      </c>
      <c r="C2634" s="3" t="s">
        <v>11020</v>
      </c>
      <c r="D2634" s="3" t="s">
        <v>11021</v>
      </c>
      <c r="E2634" s="3" t="s">
        <v>11022</v>
      </c>
      <c r="F2634" s="2" t="s">
        <v>11023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>
        <f t="shared" si="1"/>
        <v>2634</v>
      </c>
      <c r="B2635" s="3" t="s">
        <v>11024</v>
      </c>
      <c r="C2635" s="3" t="s">
        <v>11025</v>
      </c>
      <c r="D2635" s="3" t="s">
        <v>11021</v>
      </c>
      <c r="E2635" s="3" t="s">
        <v>11022</v>
      </c>
      <c r="F2635" s="2" t="s">
        <v>11026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>
        <f t="shared" si="1"/>
        <v>2635</v>
      </c>
      <c r="B2636" s="3" t="s">
        <v>11027</v>
      </c>
      <c r="C2636" s="3" t="s">
        <v>11028</v>
      </c>
      <c r="D2636" s="3" t="s">
        <v>11021</v>
      </c>
      <c r="E2636" s="3" t="s">
        <v>11022</v>
      </c>
      <c r="F2636" s="2" t="s">
        <v>11029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>
        <f t="shared" si="1"/>
        <v>2636</v>
      </c>
      <c r="B2637" s="3" t="s">
        <v>11030</v>
      </c>
      <c r="C2637" s="3" t="s">
        <v>11031</v>
      </c>
      <c r="D2637" s="3" t="s">
        <v>11021</v>
      </c>
      <c r="E2637" s="3" t="s">
        <v>11022</v>
      </c>
      <c r="F2637" s="2" t="s">
        <v>11032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>
        <f t="shared" si="1"/>
        <v>2637</v>
      </c>
      <c r="B2638" s="3" t="s">
        <v>11033</v>
      </c>
      <c r="C2638" s="3" t="s">
        <v>11034</v>
      </c>
      <c r="D2638" s="3" t="s">
        <v>11021</v>
      </c>
      <c r="E2638" s="3" t="s">
        <v>11022</v>
      </c>
      <c r="F2638" s="2" t="s">
        <v>11035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>
        <f t="shared" si="1"/>
        <v>2638</v>
      </c>
      <c r="B2639" s="3" t="s">
        <v>11036</v>
      </c>
      <c r="C2639" s="3" t="s">
        <v>11037</v>
      </c>
      <c r="D2639" s="3" t="s">
        <v>11021</v>
      </c>
      <c r="E2639" s="3" t="s">
        <v>11022</v>
      </c>
      <c r="F2639" s="2" t="s">
        <v>11038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>
        <f t="shared" si="1"/>
        <v>2639</v>
      </c>
      <c r="B2640" s="3" t="s">
        <v>11039</v>
      </c>
      <c r="C2640" s="3" t="s">
        <v>11040</v>
      </c>
      <c r="D2640" s="3" t="s">
        <v>11021</v>
      </c>
      <c r="E2640" s="3" t="s">
        <v>11022</v>
      </c>
      <c r="F2640" s="2" t="s">
        <v>11041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>
        <f t="shared" si="1"/>
        <v>2640</v>
      </c>
      <c r="B2641" s="3" t="s">
        <v>11042</v>
      </c>
      <c r="C2641" s="3" t="s">
        <v>11043</v>
      </c>
      <c r="D2641" s="3" t="s">
        <v>11021</v>
      </c>
      <c r="E2641" s="3" t="s">
        <v>11022</v>
      </c>
      <c r="F2641" s="2" t="s">
        <v>11044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>
        <f t="shared" si="1"/>
        <v>2641</v>
      </c>
      <c r="B2642" s="3" t="s">
        <v>11045</v>
      </c>
      <c r="C2642" s="3" t="s">
        <v>11046</v>
      </c>
      <c r="D2642" s="3" t="s">
        <v>11021</v>
      </c>
      <c r="E2642" s="3" t="s">
        <v>11022</v>
      </c>
      <c r="F2642" s="2" t="s">
        <v>11047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>
        <f t="shared" si="1"/>
        <v>2642</v>
      </c>
      <c r="B2643" s="3" t="s">
        <v>11048</v>
      </c>
      <c r="C2643" s="3" t="s">
        <v>11049</v>
      </c>
      <c r="D2643" s="3" t="s">
        <v>11021</v>
      </c>
      <c r="E2643" s="3" t="s">
        <v>11022</v>
      </c>
      <c r="F2643" s="2" t="s">
        <v>11050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>
        <f t="shared" si="1"/>
        <v>2643</v>
      </c>
      <c r="B2644" s="3" t="s">
        <v>11051</v>
      </c>
      <c r="C2644" s="3" t="s">
        <v>11052</v>
      </c>
      <c r="D2644" s="3" t="s">
        <v>11021</v>
      </c>
      <c r="E2644" s="3" t="s">
        <v>11022</v>
      </c>
      <c r="F2644" s="2" t="s">
        <v>11053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>
        <f t="shared" si="1"/>
        <v>2644</v>
      </c>
      <c r="B2645" s="3" t="s">
        <v>11054</v>
      </c>
      <c r="C2645" s="3" t="s">
        <v>11055</v>
      </c>
      <c r="D2645" s="3" t="s">
        <v>11021</v>
      </c>
      <c r="E2645" s="3" t="s">
        <v>11022</v>
      </c>
      <c r="F2645" s="2" t="s">
        <v>11056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>
        <f t="shared" si="1"/>
        <v>2645</v>
      </c>
      <c r="B2646" s="3" t="s">
        <v>11057</v>
      </c>
      <c r="C2646" s="3" t="s">
        <v>11058</v>
      </c>
      <c r="D2646" s="3" t="s">
        <v>11021</v>
      </c>
      <c r="E2646" s="3" t="s">
        <v>11022</v>
      </c>
      <c r="F2646" s="2" t="s">
        <v>11059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>
        <f t="shared" si="1"/>
        <v>2646</v>
      </c>
      <c r="B2647" s="3" t="s">
        <v>11060</v>
      </c>
      <c r="C2647" s="3" t="s">
        <v>11061</v>
      </c>
      <c r="D2647" s="3" t="s">
        <v>11021</v>
      </c>
      <c r="E2647" s="3" t="s">
        <v>11022</v>
      </c>
      <c r="F2647" s="2" t="s">
        <v>11062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>
        <f t="shared" si="1"/>
        <v>2647</v>
      </c>
      <c r="B2648" s="3" t="s">
        <v>11063</v>
      </c>
      <c r="C2648" s="3" t="s">
        <v>11064</v>
      </c>
      <c r="D2648" s="3" t="s">
        <v>11021</v>
      </c>
      <c r="E2648" s="3" t="s">
        <v>11022</v>
      </c>
      <c r="F2648" s="2" t="s">
        <v>11065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>
        <f t="shared" si="1"/>
        <v>2648</v>
      </c>
      <c r="B2649" s="3" t="s">
        <v>11066</v>
      </c>
      <c r="C2649" s="3" t="s">
        <v>11067</v>
      </c>
      <c r="D2649" s="3" t="s">
        <v>11021</v>
      </c>
      <c r="E2649" s="3" t="s">
        <v>11022</v>
      </c>
      <c r="F2649" s="2" t="s">
        <v>11068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>
        <f t="shared" si="1"/>
        <v>2649</v>
      </c>
      <c r="B2650" s="3" t="s">
        <v>11069</v>
      </c>
      <c r="C2650" s="3" t="s">
        <v>11070</v>
      </c>
      <c r="D2650" s="3" t="s">
        <v>11021</v>
      </c>
      <c r="E2650" s="3" t="s">
        <v>11022</v>
      </c>
      <c r="F2650" s="2" t="s">
        <v>11071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>
        <f t="shared" si="1"/>
        <v>2650</v>
      </c>
      <c r="B2651" s="3" t="s">
        <v>11072</v>
      </c>
      <c r="C2651" s="3" t="s">
        <v>11073</v>
      </c>
      <c r="D2651" s="3" t="s">
        <v>11021</v>
      </c>
      <c r="E2651" s="3" t="s">
        <v>11022</v>
      </c>
      <c r="F2651" s="2" t="s">
        <v>11074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>
        <f t="shared" si="1"/>
        <v>2651</v>
      </c>
      <c r="B2652" s="3" t="s">
        <v>11075</v>
      </c>
      <c r="C2652" s="3" t="s">
        <v>11076</v>
      </c>
      <c r="D2652" s="3" t="s">
        <v>11021</v>
      </c>
      <c r="E2652" s="3" t="s">
        <v>11022</v>
      </c>
      <c r="F2652" s="2" t="s">
        <v>11077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>
        <f t="shared" si="1"/>
        <v>2652</v>
      </c>
      <c r="B2653" s="3" t="s">
        <v>11078</v>
      </c>
      <c r="C2653" s="3" t="s">
        <v>11079</v>
      </c>
      <c r="D2653" s="3" t="s">
        <v>11021</v>
      </c>
      <c r="E2653" s="3" t="s">
        <v>11022</v>
      </c>
      <c r="F2653" s="2" t="s">
        <v>11080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>
        <f t="shared" si="1"/>
        <v>2653</v>
      </c>
      <c r="B2654" s="3" t="s">
        <v>11081</v>
      </c>
      <c r="C2654" s="3" t="s">
        <v>11082</v>
      </c>
      <c r="D2654" s="3" t="s">
        <v>11021</v>
      </c>
      <c r="E2654" s="3" t="s">
        <v>11022</v>
      </c>
      <c r="F2654" s="2" t="s">
        <v>11083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>
        <f t="shared" si="1"/>
        <v>2654</v>
      </c>
      <c r="B2655" s="3" t="s">
        <v>11084</v>
      </c>
      <c r="C2655" s="3" t="s">
        <v>11085</v>
      </c>
      <c r="D2655" s="3" t="s">
        <v>11021</v>
      </c>
      <c r="E2655" s="3" t="s">
        <v>11022</v>
      </c>
      <c r="F2655" s="2" t="s">
        <v>11086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>
        <f t="shared" si="1"/>
        <v>2655</v>
      </c>
      <c r="B2656" s="3" t="s">
        <v>11087</v>
      </c>
      <c r="C2656" s="3" t="s">
        <v>11088</v>
      </c>
      <c r="D2656" s="3" t="s">
        <v>11021</v>
      </c>
      <c r="E2656" s="3" t="s">
        <v>11022</v>
      </c>
      <c r="F2656" s="2" t="s">
        <v>11089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>
        <f t="shared" si="1"/>
        <v>2656</v>
      </c>
      <c r="B2657" s="3" t="s">
        <v>11090</v>
      </c>
      <c r="C2657" s="3" t="s">
        <v>11091</v>
      </c>
      <c r="D2657" s="3" t="s">
        <v>11021</v>
      </c>
      <c r="E2657" s="3" t="s">
        <v>11022</v>
      </c>
      <c r="F2657" s="2" t="s">
        <v>11092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>
        <f t="shared" si="1"/>
        <v>2657</v>
      </c>
      <c r="B2658" s="3" t="s">
        <v>11093</v>
      </c>
      <c r="C2658" s="3" t="s">
        <v>11094</v>
      </c>
      <c r="D2658" s="3" t="s">
        <v>11021</v>
      </c>
      <c r="E2658" s="3" t="s">
        <v>11022</v>
      </c>
      <c r="F2658" s="2" t="s">
        <v>11095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>
        <f t="shared" si="1"/>
        <v>2658</v>
      </c>
      <c r="B2659" s="3" t="s">
        <v>11096</v>
      </c>
      <c r="C2659" s="3" t="s">
        <v>11097</v>
      </c>
      <c r="D2659" s="3" t="s">
        <v>11021</v>
      </c>
      <c r="E2659" s="3" t="s">
        <v>11022</v>
      </c>
      <c r="F2659" s="2" t="s">
        <v>11098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>
        <f t="shared" si="1"/>
        <v>2659</v>
      </c>
      <c r="B2660" s="3" t="s">
        <v>11099</v>
      </c>
      <c r="C2660" s="3" t="s">
        <v>11100</v>
      </c>
      <c r="D2660" s="3" t="s">
        <v>11021</v>
      </c>
      <c r="E2660" s="3" t="s">
        <v>11022</v>
      </c>
      <c r="F2660" s="2" t="s">
        <v>11101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>
        <f t="shared" si="1"/>
        <v>2660</v>
      </c>
      <c r="B2661" s="3" t="s">
        <v>11102</v>
      </c>
      <c r="C2661" s="3" t="s">
        <v>11103</v>
      </c>
      <c r="D2661" s="3" t="s">
        <v>11021</v>
      </c>
      <c r="E2661" s="3" t="s">
        <v>11022</v>
      </c>
      <c r="F2661" s="2" t="s">
        <v>11104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>
        <f t="shared" si="1"/>
        <v>2661</v>
      </c>
      <c r="B2662" s="3" t="s">
        <v>11105</v>
      </c>
      <c r="C2662" s="3" t="s">
        <v>11106</v>
      </c>
      <c r="D2662" s="3" t="s">
        <v>11021</v>
      </c>
      <c r="E2662" s="3" t="s">
        <v>11022</v>
      </c>
      <c r="F2662" s="2" t="s">
        <v>11107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>
        <f t="shared" si="1"/>
        <v>2662</v>
      </c>
      <c r="B2663" s="3" t="s">
        <v>11108</v>
      </c>
      <c r="C2663" s="3" t="s">
        <v>11109</v>
      </c>
      <c r="D2663" s="3" t="s">
        <v>11021</v>
      </c>
      <c r="E2663" s="3" t="s">
        <v>11022</v>
      </c>
      <c r="F2663" s="2" t="s">
        <v>11110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>
        <f t="shared" si="1"/>
        <v>2663</v>
      </c>
      <c r="B2664" s="3" t="s">
        <v>11111</v>
      </c>
      <c r="C2664" s="3" t="s">
        <v>11112</v>
      </c>
      <c r="D2664" s="3" t="s">
        <v>11021</v>
      </c>
      <c r="E2664" s="3" t="s">
        <v>11022</v>
      </c>
      <c r="F2664" s="2" t="s">
        <v>11113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>
        <f t="shared" si="1"/>
        <v>2664</v>
      </c>
      <c r="B2665" s="3" t="s">
        <v>11114</v>
      </c>
      <c r="C2665" s="3" t="s">
        <v>11115</v>
      </c>
      <c r="D2665" s="3" t="s">
        <v>11021</v>
      </c>
      <c r="E2665" s="3" t="s">
        <v>11022</v>
      </c>
      <c r="F2665" s="2" t="s">
        <v>11116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>
        <f t="shared" si="1"/>
        <v>2665</v>
      </c>
      <c r="B2666" s="3" t="s">
        <v>11117</v>
      </c>
      <c r="C2666" s="3" t="s">
        <v>11118</v>
      </c>
      <c r="D2666" s="3" t="s">
        <v>11021</v>
      </c>
      <c r="E2666" s="3" t="s">
        <v>11022</v>
      </c>
      <c r="F2666" s="2" t="s">
        <v>11119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>
        <f t="shared" si="1"/>
        <v>2666</v>
      </c>
      <c r="B2667" s="3" t="s">
        <v>11120</v>
      </c>
      <c r="C2667" s="3" t="s">
        <v>11121</v>
      </c>
      <c r="D2667" s="3" t="s">
        <v>11021</v>
      </c>
      <c r="E2667" s="3" t="s">
        <v>11022</v>
      </c>
      <c r="F2667" s="2" t="s">
        <v>11122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>
        <f t="shared" si="1"/>
        <v>2667</v>
      </c>
      <c r="B2668" s="3" t="s">
        <v>11123</v>
      </c>
      <c r="C2668" s="3" t="s">
        <v>11124</v>
      </c>
      <c r="D2668" s="3" t="s">
        <v>11021</v>
      </c>
      <c r="E2668" s="3" t="s">
        <v>11022</v>
      </c>
      <c r="F2668" s="2" t="s">
        <v>11125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>
        <f t="shared" si="1"/>
        <v>2668</v>
      </c>
      <c r="B2669" s="3" t="s">
        <v>11126</v>
      </c>
      <c r="C2669" s="3" t="s">
        <v>11127</v>
      </c>
      <c r="D2669" s="3" t="s">
        <v>11021</v>
      </c>
      <c r="E2669" s="3" t="s">
        <v>11022</v>
      </c>
      <c r="F2669" s="2" t="s">
        <v>11128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>
        <f t="shared" si="1"/>
        <v>2669</v>
      </c>
      <c r="B2670" s="3" t="s">
        <v>11129</v>
      </c>
      <c r="C2670" s="3" t="s">
        <v>11130</v>
      </c>
      <c r="D2670" s="3" t="s">
        <v>11021</v>
      </c>
      <c r="E2670" s="3" t="s">
        <v>11022</v>
      </c>
      <c r="F2670" s="2" t="s">
        <v>11131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>
        <f t="shared" si="1"/>
        <v>2670</v>
      </c>
      <c r="B2671" s="3" t="s">
        <v>11132</v>
      </c>
      <c r="C2671" s="3" t="s">
        <v>11133</v>
      </c>
      <c r="D2671" s="3" t="s">
        <v>11134</v>
      </c>
      <c r="E2671" s="3" t="s">
        <v>11135</v>
      </c>
      <c r="F2671" s="2" t="s">
        <v>11136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>
        <f t="shared" si="1"/>
        <v>2671</v>
      </c>
      <c r="B2672" s="3" t="s">
        <v>11137</v>
      </c>
      <c r="C2672" s="3" t="s">
        <v>11138</v>
      </c>
      <c r="D2672" s="3" t="s">
        <v>11134</v>
      </c>
      <c r="E2672" s="3" t="s">
        <v>11135</v>
      </c>
      <c r="F2672" s="2" t="s">
        <v>11139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>
        <f t="shared" si="1"/>
        <v>2672</v>
      </c>
      <c r="B2673" s="3" t="s">
        <v>11140</v>
      </c>
      <c r="C2673" s="3" t="s">
        <v>11141</v>
      </c>
      <c r="D2673" s="3" t="s">
        <v>11134</v>
      </c>
      <c r="E2673" s="3" t="s">
        <v>11135</v>
      </c>
      <c r="F2673" s="2" t="s">
        <v>11142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>
        <f t="shared" si="1"/>
        <v>2673</v>
      </c>
      <c r="B2674" s="3" t="s">
        <v>11143</v>
      </c>
      <c r="C2674" s="3" t="s">
        <v>11144</v>
      </c>
      <c r="D2674" s="3" t="s">
        <v>11134</v>
      </c>
      <c r="E2674" s="3" t="s">
        <v>11135</v>
      </c>
      <c r="F2674" s="2" t="s">
        <v>11145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>
        <f t="shared" si="1"/>
        <v>2674</v>
      </c>
      <c r="B2675" s="3" t="s">
        <v>11146</v>
      </c>
      <c r="C2675" s="3" t="s">
        <v>11147</v>
      </c>
      <c r="D2675" s="3" t="s">
        <v>11134</v>
      </c>
      <c r="E2675" s="3" t="s">
        <v>11135</v>
      </c>
      <c r="F2675" s="2" t="s">
        <v>11148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>
        <f t="shared" si="1"/>
        <v>2675</v>
      </c>
      <c r="B2676" s="3" t="s">
        <v>11149</v>
      </c>
      <c r="C2676" s="3" t="s">
        <v>11150</v>
      </c>
      <c r="D2676" s="3" t="s">
        <v>11134</v>
      </c>
      <c r="E2676" s="3" t="s">
        <v>11135</v>
      </c>
      <c r="F2676" s="2" t="s">
        <v>11151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>
        <f t="shared" si="1"/>
        <v>2676</v>
      </c>
      <c r="B2677" s="3" t="s">
        <v>11152</v>
      </c>
      <c r="C2677" s="3" t="s">
        <v>11153</v>
      </c>
      <c r="D2677" s="3" t="s">
        <v>11134</v>
      </c>
      <c r="E2677" s="3" t="s">
        <v>11135</v>
      </c>
      <c r="F2677" s="2" t="s">
        <v>11154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>
        <f t="shared" si="1"/>
        <v>2677</v>
      </c>
      <c r="B2678" s="3" t="s">
        <v>11155</v>
      </c>
      <c r="C2678" s="3" t="s">
        <v>11156</v>
      </c>
      <c r="D2678" s="3" t="s">
        <v>11134</v>
      </c>
      <c r="E2678" s="3" t="s">
        <v>11135</v>
      </c>
      <c r="F2678" s="2" t="s">
        <v>11157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>
        <f t="shared" si="1"/>
        <v>2678</v>
      </c>
      <c r="B2679" s="3" t="s">
        <v>11158</v>
      </c>
      <c r="C2679" s="3" t="s">
        <v>11159</v>
      </c>
      <c r="D2679" s="3" t="s">
        <v>11134</v>
      </c>
      <c r="E2679" s="3" t="s">
        <v>11135</v>
      </c>
      <c r="F2679" s="2" t="s">
        <v>11160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>
        <f t="shared" si="1"/>
        <v>2679</v>
      </c>
      <c r="B2680" s="3" t="s">
        <v>11161</v>
      </c>
      <c r="C2680" s="3" t="s">
        <v>11162</v>
      </c>
      <c r="D2680" s="3" t="s">
        <v>11134</v>
      </c>
      <c r="E2680" s="3" t="s">
        <v>11135</v>
      </c>
      <c r="F2680" s="2" t="s">
        <v>11163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>
        <f t="shared" si="1"/>
        <v>2680</v>
      </c>
      <c r="B2681" s="3" t="s">
        <v>11164</v>
      </c>
      <c r="C2681" s="3" t="s">
        <v>11165</v>
      </c>
      <c r="D2681" s="3" t="s">
        <v>11134</v>
      </c>
      <c r="E2681" s="3" t="s">
        <v>11135</v>
      </c>
      <c r="F2681" s="2" t="s">
        <v>11166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>
        <f t="shared" si="1"/>
        <v>2681</v>
      </c>
      <c r="B2682" s="3" t="s">
        <v>11167</v>
      </c>
      <c r="C2682" s="3" t="s">
        <v>11168</v>
      </c>
      <c r="D2682" s="3" t="s">
        <v>11134</v>
      </c>
      <c r="E2682" s="3" t="s">
        <v>11135</v>
      </c>
      <c r="F2682" s="2" t="s">
        <v>11169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>
        <f t="shared" si="1"/>
        <v>2682</v>
      </c>
      <c r="B2683" s="3" t="s">
        <v>11170</v>
      </c>
      <c r="C2683" s="3" t="s">
        <v>11171</v>
      </c>
      <c r="D2683" s="3" t="s">
        <v>11134</v>
      </c>
      <c r="E2683" s="3" t="s">
        <v>11135</v>
      </c>
      <c r="F2683" s="2" t="s">
        <v>11172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>
        <f t="shared" si="1"/>
        <v>2683</v>
      </c>
      <c r="B2684" s="3" t="s">
        <v>11173</v>
      </c>
      <c r="C2684" s="3" t="s">
        <v>11174</v>
      </c>
      <c r="D2684" s="3" t="s">
        <v>11134</v>
      </c>
      <c r="E2684" s="3" t="s">
        <v>11135</v>
      </c>
      <c r="F2684" s="2" t="s">
        <v>11175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>
        <f t="shared" si="1"/>
        <v>2684</v>
      </c>
      <c r="B2685" s="3" t="s">
        <v>11176</v>
      </c>
      <c r="C2685" s="3" t="s">
        <v>11177</v>
      </c>
      <c r="D2685" s="3" t="s">
        <v>11134</v>
      </c>
      <c r="E2685" s="3" t="s">
        <v>11135</v>
      </c>
      <c r="F2685" s="2" t="s">
        <v>11178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>
        <f t="shared" si="1"/>
        <v>2685</v>
      </c>
      <c r="B2686" s="3" t="s">
        <v>11179</v>
      </c>
      <c r="C2686" s="3" t="s">
        <v>11180</v>
      </c>
      <c r="D2686" s="3" t="s">
        <v>11134</v>
      </c>
      <c r="E2686" s="3" t="s">
        <v>11135</v>
      </c>
      <c r="F2686" s="2" t="s">
        <v>11181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>
        <f t="shared" si="1"/>
        <v>2686</v>
      </c>
      <c r="B2687" s="3" t="s">
        <v>11182</v>
      </c>
      <c r="C2687" s="3" t="s">
        <v>11183</v>
      </c>
      <c r="D2687" s="3" t="s">
        <v>11134</v>
      </c>
      <c r="E2687" s="3" t="s">
        <v>11135</v>
      </c>
      <c r="F2687" s="2" t="s">
        <v>11184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>
        <f t="shared" si="1"/>
        <v>2687</v>
      </c>
      <c r="B2688" s="3" t="s">
        <v>11185</v>
      </c>
      <c r="C2688" s="3" t="s">
        <v>11186</v>
      </c>
      <c r="D2688" s="3" t="s">
        <v>11134</v>
      </c>
      <c r="E2688" s="3" t="s">
        <v>11135</v>
      </c>
      <c r="F2688" s="2" t="s">
        <v>11187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>
        <f t="shared" si="1"/>
        <v>2688</v>
      </c>
      <c r="B2689" s="3" t="s">
        <v>11188</v>
      </c>
      <c r="C2689" s="3" t="s">
        <v>11189</v>
      </c>
      <c r="D2689" s="3" t="s">
        <v>11134</v>
      </c>
      <c r="E2689" s="3" t="s">
        <v>11135</v>
      </c>
      <c r="F2689" s="2" t="s">
        <v>11190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>
        <f t="shared" si="1"/>
        <v>2689</v>
      </c>
      <c r="B2690" s="3" t="s">
        <v>11191</v>
      </c>
      <c r="C2690" s="3" t="s">
        <v>11192</v>
      </c>
      <c r="D2690" s="3" t="s">
        <v>11134</v>
      </c>
      <c r="E2690" s="3" t="s">
        <v>11135</v>
      </c>
      <c r="F2690" s="2" t="s">
        <v>11193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>
        <f t="shared" si="1"/>
        <v>2690</v>
      </c>
      <c r="B2691" s="3" t="s">
        <v>11194</v>
      </c>
      <c r="C2691" s="3" t="s">
        <v>11195</v>
      </c>
      <c r="D2691" s="3" t="s">
        <v>11134</v>
      </c>
      <c r="E2691" s="3" t="s">
        <v>11135</v>
      </c>
      <c r="F2691" s="2" t="s">
        <v>11196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>
        <f t="shared" si="1"/>
        <v>2691</v>
      </c>
      <c r="B2692" s="3" t="s">
        <v>11197</v>
      </c>
      <c r="C2692" s="3" t="s">
        <v>11198</v>
      </c>
      <c r="D2692" s="3" t="s">
        <v>11134</v>
      </c>
      <c r="E2692" s="3" t="s">
        <v>11135</v>
      </c>
      <c r="F2692" s="2" t="s">
        <v>11199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>
        <f t="shared" si="1"/>
        <v>2692</v>
      </c>
      <c r="B2693" s="3" t="s">
        <v>11200</v>
      </c>
      <c r="C2693" s="3" t="s">
        <v>11201</v>
      </c>
      <c r="D2693" s="3" t="s">
        <v>11134</v>
      </c>
      <c r="E2693" s="3" t="s">
        <v>11135</v>
      </c>
      <c r="F2693" s="2" t="s">
        <v>11202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>
        <f t="shared" si="1"/>
        <v>2693</v>
      </c>
      <c r="B2694" s="3" t="s">
        <v>11203</v>
      </c>
      <c r="C2694" s="3" t="s">
        <v>11204</v>
      </c>
      <c r="D2694" s="3" t="s">
        <v>11134</v>
      </c>
      <c r="E2694" s="3" t="s">
        <v>11135</v>
      </c>
      <c r="F2694" s="2" t="s">
        <v>11205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>
        <f t="shared" si="1"/>
        <v>2694</v>
      </c>
      <c r="B2695" s="3" t="s">
        <v>11206</v>
      </c>
      <c r="C2695" s="3" t="s">
        <v>11207</v>
      </c>
      <c r="D2695" s="3" t="s">
        <v>11134</v>
      </c>
      <c r="E2695" s="3" t="s">
        <v>11135</v>
      </c>
      <c r="F2695" s="2" t="s">
        <v>11208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>
        <f t="shared" si="1"/>
        <v>2695</v>
      </c>
      <c r="B2696" s="3" t="s">
        <v>11209</v>
      </c>
      <c r="C2696" s="3" t="s">
        <v>11210</v>
      </c>
      <c r="D2696" s="3" t="s">
        <v>11134</v>
      </c>
      <c r="E2696" s="3" t="s">
        <v>11135</v>
      </c>
      <c r="F2696" s="2" t="s">
        <v>11211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>
        <f t="shared" si="1"/>
        <v>2696</v>
      </c>
      <c r="B2697" s="3" t="s">
        <v>11212</v>
      </c>
      <c r="C2697" s="3" t="s">
        <v>11213</v>
      </c>
      <c r="D2697" s="3" t="s">
        <v>11134</v>
      </c>
      <c r="E2697" s="3" t="s">
        <v>11135</v>
      </c>
      <c r="F2697" s="2" t="s">
        <v>11214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>
        <f t="shared" si="1"/>
        <v>2697</v>
      </c>
      <c r="B2698" s="3" t="s">
        <v>11215</v>
      </c>
      <c r="C2698" s="3" t="s">
        <v>11216</v>
      </c>
      <c r="D2698" s="3" t="s">
        <v>11134</v>
      </c>
      <c r="E2698" s="3" t="s">
        <v>11135</v>
      </c>
      <c r="F2698" s="2" t="s">
        <v>11217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>
        <f t="shared" si="1"/>
        <v>2698</v>
      </c>
      <c r="B2699" s="3" t="s">
        <v>11218</v>
      </c>
      <c r="C2699" s="3" t="s">
        <v>11219</v>
      </c>
      <c r="D2699" s="3" t="s">
        <v>11134</v>
      </c>
      <c r="E2699" s="3" t="s">
        <v>11135</v>
      </c>
      <c r="F2699" s="2" t="s">
        <v>11220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>
        <f t="shared" si="1"/>
        <v>2699</v>
      </c>
      <c r="B2700" s="3" t="s">
        <v>11221</v>
      </c>
      <c r="C2700" s="3" t="s">
        <v>11222</v>
      </c>
      <c r="D2700" s="3" t="s">
        <v>11134</v>
      </c>
      <c r="E2700" s="3" t="s">
        <v>11135</v>
      </c>
      <c r="F2700" s="2" t="s">
        <v>11223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>
        <f t="shared" si="1"/>
        <v>2700</v>
      </c>
      <c r="B2701" s="3" t="s">
        <v>11224</v>
      </c>
      <c r="C2701" s="3" t="s">
        <v>11225</v>
      </c>
      <c r="D2701" s="3" t="s">
        <v>11134</v>
      </c>
      <c r="E2701" s="3" t="s">
        <v>11135</v>
      </c>
      <c r="F2701" s="2" t="s">
        <v>11226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>
        <f t="shared" si="1"/>
        <v>2701</v>
      </c>
      <c r="B2702" s="3" t="s">
        <v>11227</v>
      </c>
      <c r="C2702" s="3" t="s">
        <v>11228</v>
      </c>
      <c r="D2702" s="3" t="s">
        <v>11134</v>
      </c>
      <c r="E2702" s="3" t="s">
        <v>11135</v>
      </c>
      <c r="F2702" s="2" t="s">
        <v>11229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>
        <f t="shared" si="1"/>
        <v>2702</v>
      </c>
      <c r="B2703" s="3" t="s">
        <v>11230</v>
      </c>
      <c r="C2703" s="3" t="s">
        <v>11231</v>
      </c>
      <c r="D2703" s="3" t="s">
        <v>11134</v>
      </c>
      <c r="E2703" s="3" t="s">
        <v>11135</v>
      </c>
      <c r="F2703" s="2" t="s">
        <v>11232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>
        <f t="shared" si="1"/>
        <v>2703</v>
      </c>
      <c r="B2704" s="3" t="s">
        <v>11233</v>
      </c>
      <c r="C2704" s="3" t="s">
        <v>11234</v>
      </c>
      <c r="D2704" s="3" t="s">
        <v>11134</v>
      </c>
      <c r="E2704" s="3" t="s">
        <v>11135</v>
      </c>
      <c r="F2704" s="2" t="s">
        <v>11235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>
        <f t="shared" si="1"/>
        <v>2704</v>
      </c>
      <c r="B2705" s="3" t="s">
        <v>11236</v>
      </c>
      <c r="C2705" s="3" t="s">
        <v>11237</v>
      </c>
      <c r="D2705" s="3" t="s">
        <v>11134</v>
      </c>
      <c r="E2705" s="3" t="s">
        <v>11135</v>
      </c>
      <c r="F2705" s="2" t="s">
        <v>11238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>
        <f t="shared" si="1"/>
        <v>2705</v>
      </c>
      <c r="B2706" s="3" t="s">
        <v>1281</v>
      </c>
      <c r="C2706" s="3" t="s">
        <v>11239</v>
      </c>
      <c r="D2706" s="3" t="s">
        <v>11240</v>
      </c>
      <c r="E2706" s="3" t="s">
        <v>11241</v>
      </c>
      <c r="F2706" s="2" t="s">
        <v>11242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>
        <f t="shared" si="1"/>
        <v>2706</v>
      </c>
      <c r="B2707" s="3" t="s">
        <v>1332</v>
      </c>
      <c r="C2707" s="3" t="s">
        <v>11243</v>
      </c>
      <c r="D2707" s="3" t="s">
        <v>11240</v>
      </c>
      <c r="E2707" s="3" t="s">
        <v>11241</v>
      </c>
      <c r="F2707" s="2" t="s">
        <v>11244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>
        <f t="shared" si="1"/>
        <v>2707</v>
      </c>
      <c r="B2708" s="3" t="s">
        <v>1334</v>
      </c>
      <c r="C2708" s="3" t="s">
        <v>11245</v>
      </c>
      <c r="D2708" s="3" t="s">
        <v>11240</v>
      </c>
      <c r="E2708" s="3" t="s">
        <v>11241</v>
      </c>
      <c r="F2708" s="2" t="s">
        <v>11246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3">
        <f t="shared" si="1"/>
        <v>2708</v>
      </c>
      <c r="B2709" s="3" t="s">
        <v>11247</v>
      </c>
      <c r="C2709" s="3" t="s">
        <v>11248</v>
      </c>
      <c r="D2709" s="3" t="s">
        <v>11240</v>
      </c>
      <c r="E2709" s="3" t="s">
        <v>11241</v>
      </c>
      <c r="F2709" s="2" t="s">
        <v>11249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>
        <f t="shared" si="1"/>
        <v>2709</v>
      </c>
      <c r="B2710" s="3" t="s">
        <v>11250</v>
      </c>
      <c r="C2710" s="3" t="s">
        <v>11251</v>
      </c>
      <c r="D2710" s="3" t="s">
        <v>11240</v>
      </c>
      <c r="E2710" s="3" t="s">
        <v>11241</v>
      </c>
      <c r="F2710" s="2" t="s">
        <v>11252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>
        <f t="shared" si="1"/>
        <v>2710</v>
      </c>
      <c r="B2711" s="3" t="s">
        <v>11253</v>
      </c>
      <c r="C2711" s="3" t="s">
        <v>11254</v>
      </c>
      <c r="D2711" s="3" t="s">
        <v>11240</v>
      </c>
      <c r="E2711" s="3" t="s">
        <v>11241</v>
      </c>
      <c r="F2711" s="2" t="s">
        <v>11255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>
        <f t="shared" si="1"/>
        <v>2711</v>
      </c>
      <c r="B2712" s="3" t="s">
        <v>11256</v>
      </c>
      <c r="C2712" s="3" t="s">
        <v>11257</v>
      </c>
      <c r="D2712" s="3" t="s">
        <v>11240</v>
      </c>
      <c r="E2712" s="3" t="s">
        <v>11241</v>
      </c>
      <c r="F2712" s="2" t="s">
        <v>11258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>
        <f t="shared" si="1"/>
        <v>2712</v>
      </c>
      <c r="B2713" s="3" t="s">
        <v>11259</v>
      </c>
      <c r="C2713" s="3" t="s">
        <v>11260</v>
      </c>
      <c r="D2713" s="3" t="s">
        <v>11240</v>
      </c>
      <c r="E2713" s="3" t="s">
        <v>11241</v>
      </c>
      <c r="F2713" s="2" t="s">
        <v>11261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>
        <f t="shared" si="1"/>
        <v>2713</v>
      </c>
      <c r="B2714" s="3" t="s">
        <v>11262</v>
      </c>
      <c r="C2714" s="3" t="s">
        <v>11263</v>
      </c>
      <c r="D2714" s="3" t="s">
        <v>11240</v>
      </c>
      <c r="E2714" s="3" t="s">
        <v>11241</v>
      </c>
      <c r="F2714" s="2" t="s">
        <v>11264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>
        <f t="shared" si="1"/>
        <v>2714</v>
      </c>
      <c r="B2715" s="3" t="s">
        <v>11265</v>
      </c>
      <c r="C2715" s="3" t="s">
        <v>11266</v>
      </c>
      <c r="D2715" s="3" t="s">
        <v>11240</v>
      </c>
      <c r="E2715" s="3" t="s">
        <v>11241</v>
      </c>
      <c r="F2715" s="2" t="s">
        <v>11267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>
        <f t="shared" si="1"/>
        <v>2715</v>
      </c>
      <c r="B2716" s="3" t="s">
        <v>11268</v>
      </c>
      <c r="C2716" s="3" t="s">
        <v>11269</v>
      </c>
      <c r="D2716" s="3" t="s">
        <v>11240</v>
      </c>
      <c r="E2716" s="3" t="s">
        <v>11241</v>
      </c>
      <c r="F2716" s="2" t="s">
        <v>11270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>
        <f t="shared" si="1"/>
        <v>2716</v>
      </c>
      <c r="B2717" s="3" t="s">
        <v>11271</v>
      </c>
      <c r="C2717" s="3" t="s">
        <v>11272</v>
      </c>
      <c r="D2717" s="3" t="s">
        <v>11240</v>
      </c>
      <c r="E2717" s="3" t="s">
        <v>11241</v>
      </c>
      <c r="F2717" s="2" t="s">
        <v>11273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>
        <f t="shared" si="1"/>
        <v>2717</v>
      </c>
      <c r="B2718" s="3" t="s">
        <v>11274</v>
      </c>
      <c r="C2718" s="3" t="s">
        <v>11275</v>
      </c>
      <c r="D2718" s="3" t="s">
        <v>11240</v>
      </c>
      <c r="E2718" s="3" t="s">
        <v>11241</v>
      </c>
      <c r="F2718" s="2" t="s">
        <v>11276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>
        <f t="shared" si="1"/>
        <v>2718</v>
      </c>
      <c r="B2719" s="3" t="s">
        <v>11277</v>
      </c>
      <c r="C2719" s="3" t="s">
        <v>11278</v>
      </c>
      <c r="D2719" s="3" t="s">
        <v>11240</v>
      </c>
      <c r="E2719" s="3" t="s">
        <v>11241</v>
      </c>
      <c r="F2719" s="2" t="s">
        <v>11279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>
        <f t="shared" si="1"/>
        <v>2719</v>
      </c>
      <c r="B2720" s="3" t="s">
        <v>11280</v>
      </c>
      <c r="C2720" s="3" t="s">
        <v>11281</v>
      </c>
      <c r="D2720" s="3" t="s">
        <v>11240</v>
      </c>
      <c r="E2720" s="3" t="s">
        <v>11241</v>
      </c>
      <c r="F2720" s="2" t="s">
        <v>11282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>
        <f t="shared" si="1"/>
        <v>2720</v>
      </c>
      <c r="B2721" s="3" t="s">
        <v>11283</v>
      </c>
      <c r="C2721" s="3" t="s">
        <v>11284</v>
      </c>
      <c r="D2721" s="3" t="s">
        <v>11240</v>
      </c>
      <c r="E2721" s="3" t="s">
        <v>11241</v>
      </c>
      <c r="F2721" s="2" t="s">
        <v>11285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>
        <f t="shared" si="1"/>
        <v>2721</v>
      </c>
      <c r="B2722" s="3" t="s">
        <v>11286</v>
      </c>
      <c r="C2722" s="3" t="s">
        <v>11287</v>
      </c>
      <c r="D2722" s="3" t="s">
        <v>11240</v>
      </c>
      <c r="E2722" s="3" t="s">
        <v>11241</v>
      </c>
      <c r="F2722" s="2" t="s">
        <v>11288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>
        <f t="shared" si="1"/>
        <v>2722</v>
      </c>
      <c r="B2723" s="3" t="s">
        <v>11289</v>
      </c>
      <c r="C2723" s="3" t="s">
        <v>11290</v>
      </c>
      <c r="D2723" s="3" t="s">
        <v>11240</v>
      </c>
      <c r="E2723" s="3" t="s">
        <v>11241</v>
      </c>
      <c r="F2723" s="2" t="s">
        <v>11291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>
        <f t="shared" si="1"/>
        <v>2723</v>
      </c>
      <c r="B2724" s="3" t="s">
        <v>11292</v>
      </c>
      <c r="C2724" s="3" t="s">
        <v>11293</v>
      </c>
      <c r="D2724" s="3" t="s">
        <v>11240</v>
      </c>
      <c r="E2724" s="3" t="s">
        <v>11241</v>
      </c>
      <c r="F2724" s="2" t="s">
        <v>11294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>
        <f t="shared" si="1"/>
        <v>2724</v>
      </c>
      <c r="B2725" s="3" t="s">
        <v>11295</v>
      </c>
      <c r="C2725" s="3" t="s">
        <v>11296</v>
      </c>
      <c r="D2725" s="3" t="s">
        <v>11240</v>
      </c>
      <c r="E2725" s="3" t="s">
        <v>11241</v>
      </c>
      <c r="F2725" s="2" t="s">
        <v>11297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3">
        <f t="shared" si="1"/>
        <v>2725</v>
      </c>
      <c r="B2726" s="3" t="s">
        <v>11298</v>
      </c>
      <c r="C2726" s="3" t="s">
        <v>11299</v>
      </c>
      <c r="D2726" s="3" t="s">
        <v>11240</v>
      </c>
      <c r="E2726" s="3" t="s">
        <v>11241</v>
      </c>
      <c r="F2726" s="2" t="s">
        <v>11300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>
        <f t="shared" si="1"/>
        <v>2726</v>
      </c>
      <c r="B2727" s="3" t="s">
        <v>11301</v>
      </c>
      <c r="C2727" s="3" t="s">
        <v>11302</v>
      </c>
      <c r="D2727" s="3" t="s">
        <v>11240</v>
      </c>
      <c r="E2727" s="3" t="s">
        <v>11241</v>
      </c>
      <c r="F2727" s="2" t="s">
        <v>11303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>
        <f t="shared" si="1"/>
        <v>2727</v>
      </c>
      <c r="B2728" s="3" t="s">
        <v>11304</v>
      </c>
      <c r="C2728" s="3" t="s">
        <v>11305</v>
      </c>
      <c r="D2728" s="3" t="s">
        <v>11240</v>
      </c>
      <c r="E2728" s="3" t="s">
        <v>11241</v>
      </c>
      <c r="F2728" s="2" t="s">
        <v>11306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3">
        <f t="shared" si="1"/>
        <v>2728</v>
      </c>
      <c r="B2729" s="3" t="s">
        <v>11307</v>
      </c>
      <c r="C2729" s="3" t="s">
        <v>11308</v>
      </c>
      <c r="D2729" s="3" t="s">
        <v>11240</v>
      </c>
      <c r="E2729" s="3" t="s">
        <v>11241</v>
      </c>
      <c r="F2729" s="2" t="s">
        <v>11309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>
        <f t="shared" si="1"/>
        <v>2729</v>
      </c>
      <c r="B2730" s="3" t="s">
        <v>11310</v>
      </c>
      <c r="C2730" s="3" t="s">
        <v>11311</v>
      </c>
      <c r="D2730" s="3" t="s">
        <v>11240</v>
      </c>
      <c r="E2730" s="3" t="s">
        <v>11241</v>
      </c>
      <c r="F2730" s="2" t="s">
        <v>11312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>
        <f t="shared" si="1"/>
        <v>2730</v>
      </c>
      <c r="B2731" s="3" t="s">
        <v>11313</v>
      </c>
      <c r="C2731" s="3" t="s">
        <v>11314</v>
      </c>
      <c r="D2731" s="3" t="s">
        <v>11240</v>
      </c>
      <c r="E2731" s="3" t="s">
        <v>11241</v>
      </c>
      <c r="F2731" s="2" t="s">
        <v>11315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>
        <f t="shared" si="1"/>
        <v>2731</v>
      </c>
      <c r="B2732" s="3" t="s">
        <v>11316</v>
      </c>
      <c r="C2732" s="3" t="s">
        <v>11317</v>
      </c>
      <c r="D2732" s="3" t="s">
        <v>11240</v>
      </c>
      <c r="E2732" s="3" t="s">
        <v>11241</v>
      </c>
      <c r="F2732" s="2" t="s">
        <v>11318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>
        <f t="shared" si="1"/>
        <v>2732</v>
      </c>
      <c r="B2733" s="3" t="s">
        <v>11319</v>
      </c>
      <c r="C2733" s="3" t="s">
        <v>11320</v>
      </c>
      <c r="D2733" s="3" t="s">
        <v>11240</v>
      </c>
      <c r="E2733" s="3" t="s">
        <v>11241</v>
      </c>
      <c r="F2733" s="2" t="s">
        <v>11321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>
        <f t="shared" si="1"/>
        <v>2733</v>
      </c>
      <c r="B2734" s="3" t="s">
        <v>11322</v>
      </c>
      <c r="C2734" s="3" t="s">
        <v>11323</v>
      </c>
      <c r="D2734" s="3" t="s">
        <v>11240</v>
      </c>
      <c r="E2734" s="3" t="s">
        <v>11241</v>
      </c>
      <c r="F2734" s="2" t="s">
        <v>11324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>
        <f t="shared" si="1"/>
        <v>2734</v>
      </c>
      <c r="B2735" s="3" t="s">
        <v>11325</v>
      </c>
      <c r="C2735" s="3" t="s">
        <v>11326</v>
      </c>
      <c r="D2735" s="3" t="s">
        <v>11240</v>
      </c>
      <c r="E2735" s="3" t="s">
        <v>11241</v>
      </c>
      <c r="F2735" s="2" t="s">
        <v>11327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>
        <f t="shared" si="1"/>
        <v>2735</v>
      </c>
      <c r="B2736" s="3" t="s">
        <v>11328</v>
      </c>
      <c r="C2736" s="3" t="s">
        <v>11329</v>
      </c>
      <c r="D2736" s="3" t="s">
        <v>11240</v>
      </c>
      <c r="E2736" s="3" t="s">
        <v>11241</v>
      </c>
      <c r="F2736" s="2" t="s">
        <v>11330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>
        <f t="shared" si="1"/>
        <v>2736</v>
      </c>
      <c r="B2737" s="3" t="s">
        <v>11331</v>
      </c>
      <c r="C2737" s="3" t="s">
        <v>11332</v>
      </c>
      <c r="D2737" s="3" t="s">
        <v>11240</v>
      </c>
      <c r="E2737" s="3" t="s">
        <v>11241</v>
      </c>
      <c r="F2737" s="2" t="s">
        <v>11333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>
        <f t="shared" si="1"/>
        <v>2737</v>
      </c>
      <c r="B2738" s="3" t="s">
        <v>11334</v>
      </c>
      <c r="C2738" s="3" t="s">
        <v>11335</v>
      </c>
      <c r="D2738" s="3" t="s">
        <v>11240</v>
      </c>
      <c r="E2738" s="3" t="s">
        <v>11241</v>
      </c>
      <c r="F2738" s="2" t="s">
        <v>11336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>
        <f t="shared" si="1"/>
        <v>2738</v>
      </c>
      <c r="B2739" s="3" t="s">
        <v>11337</v>
      </c>
      <c r="C2739" s="3" t="s">
        <v>11338</v>
      </c>
      <c r="D2739" s="3" t="s">
        <v>11240</v>
      </c>
      <c r="E2739" s="3" t="s">
        <v>11241</v>
      </c>
      <c r="F2739" s="2" t="s">
        <v>11339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>
        <f t="shared" si="1"/>
        <v>2739</v>
      </c>
      <c r="B2740" s="3" t="s">
        <v>11340</v>
      </c>
      <c r="C2740" s="3" t="s">
        <v>11341</v>
      </c>
      <c r="D2740" s="3" t="s">
        <v>11240</v>
      </c>
      <c r="E2740" s="3" t="s">
        <v>11241</v>
      </c>
      <c r="F2740" s="2" t="s">
        <v>11342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>
        <f t="shared" si="1"/>
        <v>2740</v>
      </c>
      <c r="B2741" s="3" t="s">
        <v>11343</v>
      </c>
      <c r="C2741" s="3" t="s">
        <v>11344</v>
      </c>
      <c r="D2741" s="3" t="s">
        <v>11240</v>
      </c>
      <c r="E2741" s="3" t="s">
        <v>11241</v>
      </c>
      <c r="F2741" s="2" t="s">
        <v>11345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>
        <f t="shared" si="1"/>
        <v>2741</v>
      </c>
      <c r="B2742" s="3" t="s">
        <v>11346</v>
      </c>
      <c r="C2742" s="3" t="s">
        <v>11347</v>
      </c>
      <c r="D2742" s="3" t="s">
        <v>11240</v>
      </c>
      <c r="E2742" s="3" t="s">
        <v>11241</v>
      </c>
      <c r="F2742" s="2" t="s">
        <v>11348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>
        <f t="shared" si="1"/>
        <v>2742</v>
      </c>
      <c r="B2743" s="3" t="s">
        <v>11349</v>
      </c>
      <c r="C2743" s="3" t="s">
        <v>11350</v>
      </c>
      <c r="D2743" s="3" t="s">
        <v>3509</v>
      </c>
      <c r="E2743" s="3" t="s">
        <v>3510</v>
      </c>
      <c r="F2743" s="2" t="s">
        <v>11351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1.5"/>
    <col customWidth="1" min="3" max="3" width="23.13"/>
  </cols>
  <sheetData>
    <row r="1">
      <c r="A1" s="34" t="s">
        <v>11352</v>
      </c>
      <c r="B1" s="35" t="s">
        <v>11353</v>
      </c>
      <c r="C1" s="34" t="s">
        <v>11354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7" t="s">
        <v>11355</v>
      </c>
      <c r="C2" s="38" t="s">
        <v>3256</v>
      </c>
      <c r="D2" s="34">
        <v>1.0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9" t="s">
        <v>11356</v>
      </c>
      <c r="C3" s="38" t="s">
        <v>805</v>
      </c>
      <c r="D3" s="34">
        <v>2.0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/>
      <c r="B4" s="37" t="s">
        <v>11357</v>
      </c>
      <c r="C4" s="38" t="s">
        <v>718</v>
      </c>
      <c r="D4" s="34">
        <v>3.0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37" t="s">
        <v>11358</v>
      </c>
      <c r="C5" s="38" t="s">
        <v>711</v>
      </c>
      <c r="D5" s="34">
        <v>4.0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37" t="s">
        <v>11359</v>
      </c>
      <c r="C6" s="38" t="s">
        <v>707</v>
      </c>
      <c r="D6" s="34">
        <v>5.0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7" t="s">
        <v>11360</v>
      </c>
      <c r="C7" s="38" t="s">
        <v>699</v>
      </c>
      <c r="D7" s="34">
        <v>6.0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7"/>
      <c r="C8" s="38" t="s">
        <v>728</v>
      </c>
      <c r="D8" s="34">
        <v>7.0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C9" s="38" t="s">
        <v>703</v>
      </c>
      <c r="D9" s="34">
        <v>8.0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8" t="s">
        <v>736</v>
      </c>
      <c r="D10" s="34">
        <v>9.0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36"/>
      <c r="C11" s="38" t="s">
        <v>3254</v>
      </c>
      <c r="D11" s="34">
        <v>10.0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8" t="s">
        <v>3255</v>
      </c>
      <c r="D12" s="34">
        <v>11.0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8" t="s">
        <v>812</v>
      </c>
      <c r="D13" s="34">
        <v>12.0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8" t="s">
        <v>3256</v>
      </c>
      <c r="D14" s="34">
        <v>13.0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6.38"/>
    <col customWidth="1" min="3" max="3" width="15.63"/>
    <col customWidth="1" min="4" max="4" width="35.5"/>
    <col customWidth="1" min="5" max="5" width="8.38"/>
    <col customWidth="1" min="6" max="6" width="33.13"/>
    <col customWidth="1" min="7" max="8" width="10.13"/>
    <col customWidth="1" min="9" max="9" width="13.63"/>
    <col customWidth="1" min="10" max="10" width="19.0"/>
    <col customWidth="1" min="11" max="11" width="14.75"/>
    <col customWidth="1" min="12" max="12" width="46.5"/>
    <col customWidth="1" min="13" max="13" width="21.88"/>
    <col customWidth="1" min="14" max="14" width="29.0"/>
    <col customWidth="1" min="15" max="26" width="5.25"/>
    <col customWidth="1" min="27" max="27" width="15.5"/>
    <col customWidth="1" min="28" max="28" width="16.38"/>
    <col customWidth="1" min="29" max="31" width="20.5"/>
    <col customWidth="1" min="32" max="32" width="19.5"/>
  </cols>
  <sheetData>
    <row r="1" ht="35.25" customHeight="1">
      <c r="A1" s="40" t="s">
        <v>11361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3"/>
      <c r="M1" s="44"/>
      <c r="N1" s="44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46"/>
      <c r="AC1" s="46"/>
      <c r="AD1" s="44"/>
      <c r="AE1" s="47"/>
      <c r="AF1" s="47"/>
    </row>
    <row r="2" ht="35.25" customHeight="1">
      <c r="A2" s="48" t="s">
        <v>11362</v>
      </c>
      <c r="B2" s="48"/>
      <c r="C2" s="48" t="s">
        <v>11363</v>
      </c>
      <c r="D2" s="48" t="s">
        <v>11364</v>
      </c>
      <c r="E2" s="49" t="s">
        <v>11365</v>
      </c>
      <c r="F2" s="48" t="s">
        <v>11366</v>
      </c>
      <c r="G2" s="48" t="s">
        <v>11367</v>
      </c>
      <c r="H2" s="48" t="s">
        <v>11368</v>
      </c>
      <c r="I2" s="50">
        <v>243505.0</v>
      </c>
      <c r="J2" s="48"/>
      <c r="K2" s="48" t="s">
        <v>11369</v>
      </c>
      <c r="L2" s="51"/>
      <c r="M2" s="52" t="s">
        <v>11366</v>
      </c>
      <c r="N2" s="53" t="s">
        <v>11370</v>
      </c>
      <c r="O2" s="54" t="s">
        <v>11371</v>
      </c>
      <c r="P2" s="54" t="s">
        <v>11372</v>
      </c>
      <c r="Q2" s="54" t="s">
        <v>11373</v>
      </c>
      <c r="R2" s="54" t="s">
        <v>11374</v>
      </c>
      <c r="S2" s="54" t="s">
        <v>11375</v>
      </c>
      <c r="T2" s="54" t="s">
        <v>11376</v>
      </c>
      <c r="U2" s="54" t="s">
        <v>11377</v>
      </c>
      <c r="V2" s="54" t="s">
        <v>11378</v>
      </c>
      <c r="W2" s="54" t="s">
        <v>11379</v>
      </c>
      <c r="X2" s="54" t="s">
        <v>11380</v>
      </c>
      <c r="Y2" s="55" t="s">
        <v>11381</v>
      </c>
      <c r="Z2" s="55" t="s">
        <v>11382</v>
      </c>
      <c r="AA2" s="56" t="s">
        <v>11369</v>
      </c>
      <c r="AB2" s="57" t="s">
        <v>11383</v>
      </c>
      <c r="AC2" s="48" t="s">
        <v>11384</v>
      </c>
      <c r="AD2" s="44"/>
      <c r="AE2" s="47" t="s">
        <v>11385</v>
      </c>
      <c r="AF2" s="47" t="s">
        <v>11386</v>
      </c>
    </row>
    <row r="3" ht="24.0" customHeight="1">
      <c r="A3" s="48" t="s">
        <v>11387</v>
      </c>
      <c r="B3" s="58" t="s">
        <v>807</v>
      </c>
      <c r="C3" s="58" t="s">
        <v>11388</v>
      </c>
      <c r="D3" s="59" t="s">
        <v>11389</v>
      </c>
      <c r="E3" s="60" t="str">
        <f>IFERROR(__xludf.DUMMYFUNCTION("ArrayFormula(if(C3:C105="""","""",VLOOKUP(C3:C105,IMPORTRANGE(""1Rpe-psj-avGbcF9hgAmtP1Mh-CWnOPQUOGM54dwQgs8"",""Data1!A2:p2700""),5,0)))"),"ชาย")</f>
        <v>ชาย</v>
      </c>
      <c r="F3" s="61" t="s">
        <v>11390</v>
      </c>
      <c r="G3" s="60"/>
      <c r="H3" s="60"/>
      <c r="I3" s="62" t="str">
        <f t="array" ref="I3:I87">C3:C87</f>
        <v>22620</v>
      </c>
      <c r="J3" s="60"/>
      <c r="K3" s="60"/>
      <c r="L3" s="63" t="str">
        <f t="shared" ref="L3:L7" si="1">"("&amp; C3&amp;")"&amp;D3&amp;"_"&amp;E3</f>
        <v>(22620)นายมูฮำหมัดอัซวัน ลือแมลูโดง_ชาย</v>
      </c>
      <c r="M3" s="64"/>
      <c r="N3" s="65"/>
      <c r="O3" s="66"/>
      <c r="P3" s="66"/>
      <c r="Q3" s="66"/>
      <c r="R3" s="66"/>
      <c r="S3" s="66"/>
      <c r="T3" s="66"/>
      <c r="U3" s="66"/>
      <c r="V3" s="66"/>
      <c r="W3" s="67"/>
      <c r="X3" s="66"/>
      <c r="Y3" s="68"/>
      <c r="Z3" s="69"/>
      <c r="AA3" s="70"/>
      <c r="AB3" s="71"/>
      <c r="AC3" s="60"/>
      <c r="AD3" s="72"/>
      <c r="AE3" s="73"/>
      <c r="AF3" s="73"/>
    </row>
    <row r="4" ht="24.0" customHeight="1">
      <c r="A4" s="48" t="s">
        <v>11387</v>
      </c>
      <c r="B4" s="58" t="s">
        <v>116</v>
      </c>
      <c r="C4" s="58" t="s">
        <v>11391</v>
      </c>
      <c r="D4" s="59" t="s">
        <v>11392</v>
      </c>
      <c r="E4" s="60" t="str">
        <f>IFERROR(__xludf.DUMMYFUNCTION("""COMPUTED_VALUE"""),"ชาย")</f>
        <v>ชาย</v>
      </c>
      <c r="F4" s="61" t="s">
        <v>11393</v>
      </c>
      <c r="G4" s="60"/>
      <c r="H4" s="60"/>
      <c r="I4" s="62" t="s">
        <v>11391</v>
      </c>
      <c r="J4" s="60"/>
      <c r="K4" s="60"/>
      <c r="L4" s="63" t="str">
        <f t="shared" si="1"/>
        <v>(24217)นายอิสมาแอน สะอาด_ชาย</v>
      </c>
      <c r="M4" s="64"/>
      <c r="N4" s="65"/>
      <c r="O4" s="66"/>
      <c r="P4" s="66"/>
      <c r="Q4" s="66"/>
      <c r="R4" s="66"/>
      <c r="S4" s="66"/>
      <c r="T4" s="66"/>
      <c r="U4" s="66"/>
      <c r="V4" s="66"/>
      <c r="W4" s="67"/>
      <c r="X4" s="66"/>
      <c r="Y4" s="68"/>
      <c r="Z4" s="69"/>
      <c r="AA4" s="70"/>
      <c r="AB4" s="71"/>
      <c r="AC4" s="60"/>
      <c r="AD4" s="72"/>
      <c r="AE4" s="73"/>
      <c r="AF4" s="73"/>
    </row>
    <row r="5" ht="24.0" customHeight="1">
      <c r="A5" s="48" t="s">
        <v>11387</v>
      </c>
      <c r="B5" s="58" t="s">
        <v>123</v>
      </c>
      <c r="C5" s="58" t="s">
        <v>11394</v>
      </c>
      <c r="D5" s="59" t="s">
        <v>11395</v>
      </c>
      <c r="E5" s="60" t="str">
        <f>IFERROR(__xludf.DUMMYFUNCTION("""COMPUTED_VALUE"""),"ชาย")</f>
        <v>ชาย</v>
      </c>
      <c r="F5" s="61" t="s">
        <v>11396</v>
      </c>
      <c r="G5" s="60"/>
      <c r="H5" s="60"/>
      <c r="I5" s="62" t="s">
        <v>11394</v>
      </c>
      <c r="J5" s="60"/>
      <c r="K5" s="60"/>
      <c r="L5" s="63" t="str">
        <f t="shared" si="1"/>
        <v>(22467)นายไฟซอล ดอเลาะ_ชาย</v>
      </c>
      <c r="M5" s="64"/>
      <c r="N5" s="65"/>
      <c r="O5" s="66"/>
      <c r="P5" s="66"/>
      <c r="Q5" s="66"/>
      <c r="R5" s="66"/>
      <c r="S5" s="66"/>
      <c r="T5" s="66"/>
      <c r="U5" s="66"/>
      <c r="V5" s="66"/>
      <c r="W5" s="67"/>
      <c r="X5" s="66"/>
      <c r="Y5" s="68"/>
      <c r="Z5" s="69"/>
      <c r="AA5" s="70"/>
      <c r="AB5" s="71"/>
      <c r="AC5" s="60"/>
      <c r="AD5" s="72"/>
      <c r="AE5" s="73"/>
      <c r="AF5" s="73"/>
    </row>
    <row r="6" ht="24.0" customHeight="1">
      <c r="A6" s="48" t="s">
        <v>11387</v>
      </c>
      <c r="B6" s="58" t="s">
        <v>131</v>
      </c>
      <c r="C6" s="58" t="s">
        <v>11397</v>
      </c>
      <c r="D6" s="59" t="s">
        <v>11398</v>
      </c>
      <c r="E6" s="60" t="str">
        <f>IFERROR(__xludf.DUMMYFUNCTION("""COMPUTED_VALUE"""),"ชาย")</f>
        <v>ชาย</v>
      </c>
      <c r="F6" s="61" t="s">
        <v>11399</v>
      </c>
      <c r="G6" s="60"/>
      <c r="H6" s="60"/>
      <c r="I6" s="62" t="s">
        <v>11397</v>
      </c>
      <c r="J6" s="60"/>
      <c r="K6" s="60"/>
      <c r="L6" s="63" t="str">
        <f t="shared" si="1"/>
        <v>(24336)นายอนัส เมาะอะ_ชาย</v>
      </c>
      <c r="M6" s="64"/>
      <c r="N6" s="65"/>
      <c r="O6" s="66"/>
      <c r="P6" s="66"/>
      <c r="Q6" s="66"/>
      <c r="R6" s="66"/>
      <c r="S6" s="66"/>
      <c r="T6" s="66"/>
      <c r="U6" s="66"/>
      <c r="V6" s="66"/>
      <c r="W6" s="67"/>
      <c r="X6" s="66"/>
      <c r="Y6" s="68"/>
      <c r="Z6" s="69"/>
      <c r="AA6" s="70"/>
      <c r="AB6" s="71"/>
      <c r="AC6" s="60"/>
      <c r="AD6" s="72"/>
      <c r="AE6" s="73"/>
      <c r="AF6" s="73"/>
    </row>
    <row r="7" ht="24.0" customHeight="1">
      <c r="A7" s="48" t="s">
        <v>11387</v>
      </c>
      <c r="B7" s="58" t="s">
        <v>137</v>
      </c>
      <c r="C7" s="58" t="s">
        <v>11400</v>
      </c>
      <c r="D7" s="59" t="s">
        <v>11401</v>
      </c>
      <c r="E7" s="60" t="str">
        <f>IFERROR(__xludf.DUMMYFUNCTION("""COMPUTED_VALUE"""),"ชาย")</f>
        <v>ชาย</v>
      </c>
      <c r="F7" s="61" t="s">
        <v>11402</v>
      </c>
      <c r="G7" s="60"/>
      <c r="H7" s="60"/>
      <c r="I7" s="62" t="s">
        <v>11400</v>
      </c>
      <c r="J7" s="60"/>
      <c r="K7" s="60"/>
      <c r="L7" s="63" t="str">
        <f t="shared" si="1"/>
        <v>(22621)นายฟาฮัด แขวงบู_ชาย</v>
      </c>
      <c r="M7" s="64"/>
      <c r="N7" s="65"/>
      <c r="O7" s="66"/>
      <c r="P7" s="66"/>
      <c r="Q7" s="66"/>
      <c r="R7" s="66"/>
      <c r="S7" s="66"/>
      <c r="T7" s="66"/>
      <c r="U7" s="66"/>
      <c r="V7" s="66"/>
      <c r="W7" s="67"/>
      <c r="X7" s="66"/>
      <c r="Y7" s="68"/>
      <c r="Z7" s="69"/>
      <c r="AA7" s="70"/>
      <c r="AB7" s="71"/>
      <c r="AC7" s="60"/>
      <c r="AD7" s="72"/>
      <c r="AE7" s="73"/>
      <c r="AF7" s="73"/>
    </row>
    <row r="8" ht="24.0" customHeight="1">
      <c r="A8" s="48" t="s">
        <v>11387</v>
      </c>
      <c r="B8" s="58" t="s">
        <v>144</v>
      </c>
      <c r="C8" s="58" t="s">
        <v>11403</v>
      </c>
      <c r="D8" s="59" t="s">
        <v>11404</v>
      </c>
      <c r="E8" s="60" t="str">
        <f>IFERROR(__xludf.DUMMYFUNCTION("""COMPUTED_VALUE"""),"ชาย")</f>
        <v>ชาย</v>
      </c>
      <c r="F8" s="61" t="s">
        <v>11405</v>
      </c>
      <c r="G8" s="60"/>
      <c r="H8" s="60"/>
      <c r="I8" s="62" t="s">
        <v>11403</v>
      </c>
      <c r="J8" s="60"/>
      <c r="K8" s="60"/>
      <c r="L8" s="63" t="str">
        <f>"("&amp; #REF!&amp;")"&amp;D8&amp;"_"&amp;E8</f>
        <v>#REF!</v>
      </c>
      <c r="M8" s="64"/>
      <c r="N8" s="65"/>
      <c r="O8" s="66"/>
      <c r="P8" s="66"/>
      <c r="Q8" s="66"/>
      <c r="R8" s="66"/>
      <c r="S8" s="66"/>
      <c r="T8" s="66"/>
      <c r="U8" s="66"/>
      <c r="V8" s="66"/>
      <c r="W8" s="67"/>
      <c r="X8" s="66"/>
      <c r="Y8" s="68"/>
      <c r="Z8" s="69"/>
      <c r="AA8" s="70"/>
      <c r="AB8" s="71"/>
      <c r="AC8" s="60"/>
      <c r="AD8" s="72"/>
      <c r="AE8" s="73"/>
      <c r="AF8" s="73"/>
    </row>
    <row r="9" ht="24.0" customHeight="1">
      <c r="A9" s="48" t="s">
        <v>11387</v>
      </c>
      <c r="B9" s="58" t="s">
        <v>148</v>
      </c>
      <c r="C9" s="58" t="s">
        <v>11406</v>
      </c>
      <c r="D9" s="59" t="s">
        <v>11407</v>
      </c>
      <c r="E9" s="60" t="str">
        <f>IFERROR(__xludf.DUMMYFUNCTION("""COMPUTED_VALUE"""),"ชาย")</f>
        <v>ชาย</v>
      </c>
      <c r="F9" s="61" t="s">
        <v>11408</v>
      </c>
      <c r="G9" s="60"/>
      <c r="H9" s="60"/>
      <c r="I9" s="62" t="s">
        <v>11406</v>
      </c>
      <c r="J9" s="60"/>
      <c r="K9" s="60"/>
      <c r="L9" s="63" t="str">
        <f t="shared" ref="L9:L11" si="2">"("&amp; C8&amp;")"&amp;D9&amp;"_"&amp;E9</f>
        <v>(22046)นายอีรฟา ดอเลาะ_ชาย</v>
      </c>
      <c r="M9" s="64"/>
      <c r="N9" s="65"/>
      <c r="O9" s="66"/>
      <c r="P9" s="66"/>
      <c r="Q9" s="66"/>
      <c r="R9" s="66"/>
      <c r="S9" s="66"/>
      <c r="T9" s="66"/>
      <c r="U9" s="66"/>
      <c r="V9" s="66"/>
      <c r="W9" s="67"/>
      <c r="X9" s="66"/>
      <c r="Y9" s="68"/>
      <c r="Z9" s="69"/>
      <c r="AA9" s="70"/>
      <c r="AB9" s="71"/>
      <c r="AC9" s="60"/>
      <c r="AD9" s="72"/>
      <c r="AE9" s="73"/>
      <c r="AF9" s="73"/>
    </row>
    <row r="10" ht="24.0" customHeight="1">
      <c r="A10" s="48" t="s">
        <v>11387</v>
      </c>
      <c r="B10" s="58" t="s">
        <v>151</v>
      </c>
      <c r="C10" s="58" t="s">
        <v>11409</v>
      </c>
      <c r="D10" s="59" t="s">
        <v>11410</v>
      </c>
      <c r="E10" s="60" t="str">
        <f>IFERROR(__xludf.DUMMYFUNCTION("""COMPUTED_VALUE"""),"ชาย")</f>
        <v>ชาย</v>
      </c>
      <c r="F10" s="61" t="s">
        <v>11411</v>
      </c>
      <c r="G10" s="60"/>
      <c r="H10" s="60"/>
      <c r="I10" s="62" t="s">
        <v>11409</v>
      </c>
      <c r="J10" s="60"/>
      <c r="K10" s="60"/>
      <c r="L10" s="63" t="str">
        <f t="shared" si="2"/>
        <v>(22194)นายฮารฟัน กาเซ็ง_ชาย</v>
      </c>
      <c r="M10" s="64"/>
      <c r="N10" s="65"/>
      <c r="O10" s="66"/>
      <c r="P10" s="66"/>
      <c r="Q10" s="66"/>
      <c r="R10" s="66"/>
      <c r="S10" s="66"/>
      <c r="T10" s="66"/>
      <c r="U10" s="66"/>
      <c r="V10" s="66"/>
      <c r="W10" s="67"/>
      <c r="X10" s="66"/>
      <c r="Y10" s="68"/>
      <c r="Z10" s="69"/>
      <c r="AA10" s="70"/>
      <c r="AB10" s="71"/>
      <c r="AC10" s="60"/>
      <c r="AD10" s="72"/>
      <c r="AE10" s="73"/>
      <c r="AF10" s="73"/>
    </row>
    <row r="11" ht="24.0" customHeight="1">
      <c r="A11" s="48" t="s">
        <v>11387</v>
      </c>
      <c r="B11" s="58" t="s">
        <v>734</v>
      </c>
      <c r="C11" s="58" t="s">
        <v>25</v>
      </c>
      <c r="D11" s="59" t="s">
        <v>11412</v>
      </c>
      <c r="E11" s="60" t="str">
        <f>IFERROR(__xludf.DUMMYFUNCTION("""COMPUTED_VALUE"""),"ชาย")</f>
        <v>ชาย</v>
      </c>
      <c r="F11" s="61" t="s">
        <v>11413</v>
      </c>
      <c r="G11" s="60"/>
      <c r="H11" s="60"/>
      <c r="I11" s="62" t="s">
        <v>25</v>
      </c>
      <c r="J11" s="60"/>
      <c r="K11" s="60"/>
      <c r="L11" s="63" t="str">
        <f t="shared" si="2"/>
        <v>(21949)เด็กชายอาเดล มาตัดสา_ชาย</v>
      </c>
      <c r="M11" s="64"/>
      <c r="N11" s="65"/>
      <c r="O11" s="66"/>
      <c r="P11" s="66"/>
      <c r="Q11" s="66"/>
      <c r="R11" s="66"/>
      <c r="S11" s="66"/>
      <c r="T11" s="66"/>
      <c r="U11" s="66"/>
      <c r="V11" s="66"/>
      <c r="W11" s="67"/>
      <c r="X11" s="66"/>
      <c r="Y11" s="68"/>
      <c r="Z11" s="69"/>
      <c r="AA11" s="70"/>
      <c r="AB11" s="71"/>
      <c r="AC11" s="60"/>
      <c r="AD11" s="72"/>
      <c r="AE11" s="73"/>
      <c r="AF11" s="73"/>
    </row>
    <row r="12" ht="24.0" customHeight="1">
      <c r="A12" s="48" t="s">
        <v>11387</v>
      </c>
      <c r="B12" s="58" t="s">
        <v>831</v>
      </c>
      <c r="C12" s="58" t="s">
        <v>9650</v>
      </c>
      <c r="D12" s="59" t="s">
        <v>9651</v>
      </c>
      <c r="E12" s="60" t="str">
        <f>IFERROR(__xludf.DUMMYFUNCTION("""COMPUTED_VALUE"""),"ชาย")</f>
        <v>ชาย</v>
      </c>
      <c r="F12" s="61" t="s">
        <v>11414</v>
      </c>
      <c r="G12" s="60"/>
      <c r="H12" s="60"/>
      <c r="I12" s="62" t="s">
        <v>9650</v>
      </c>
      <c r="J12" s="60"/>
      <c r="K12" s="60"/>
      <c r="L12" s="63" t="str">
        <f t="shared" ref="L12:L13" si="3">"("&amp; #REF!&amp;")"&amp;D12&amp;"_"&amp;E12</f>
        <v>#REF!</v>
      </c>
      <c r="M12" s="64"/>
      <c r="N12" s="65"/>
      <c r="O12" s="66"/>
      <c r="P12" s="66"/>
      <c r="Q12" s="66"/>
      <c r="R12" s="66"/>
      <c r="S12" s="66"/>
      <c r="T12" s="66"/>
      <c r="U12" s="66"/>
      <c r="V12" s="66"/>
      <c r="W12" s="67"/>
      <c r="X12" s="66"/>
      <c r="Y12" s="68"/>
      <c r="Z12" s="69"/>
      <c r="AA12" s="70"/>
      <c r="AB12" s="71"/>
      <c r="AC12" s="60"/>
      <c r="AD12" s="72"/>
      <c r="AE12" s="73"/>
      <c r="AF12" s="73"/>
    </row>
    <row r="13" ht="24.0" customHeight="1">
      <c r="A13" s="48" t="s">
        <v>11387</v>
      </c>
      <c r="B13" s="58" t="s">
        <v>833</v>
      </c>
      <c r="C13" s="58" t="s">
        <v>11415</v>
      </c>
      <c r="D13" s="59" t="s">
        <v>11416</v>
      </c>
      <c r="E13" s="60" t="str">
        <f>IFERROR(__xludf.DUMMYFUNCTION("""COMPUTED_VALUE"""),"ชาย")</f>
        <v>ชาย</v>
      </c>
      <c r="F13" s="61" t="s">
        <v>11417</v>
      </c>
      <c r="G13" s="60"/>
      <c r="H13" s="60"/>
      <c r="I13" s="62" t="s">
        <v>11415</v>
      </c>
      <c r="J13" s="60"/>
      <c r="K13" s="60"/>
      <c r="L13" s="63" t="str">
        <f t="shared" si="3"/>
        <v>#REF!</v>
      </c>
      <c r="M13" s="64"/>
      <c r="N13" s="65"/>
      <c r="O13" s="66"/>
      <c r="P13" s="66"/>
      <c r="Q13" s="66"/>
      <c r="R13" s="66"/>
      <c r="S13" s="66"/>
      <c r="T13" s="66"/>
      <c r="U13" s="66"/>
      <c r="V13" s="66"/>
      <c r="W13" s="67"/>
      <c r="X13" s="66"/>
      <c r="Y13" s="68"/>
      <c r="Z13" s="69"/>
      <c r="AA13" s="70"/>
      <c r="AB13" s="71"/>
      <c r="AC13" s="60"/>
      <c r="AD13" s="72"/>
      <c r="AE13" s="73"/>
      <c r="AF13" s="73"/>
    </row>
    <row r="14" ht="24.0" customHeight="1">
      <c r="A14" s="48" t="s">
        <v>11387</v>
      </c>
      <c r="B14" s="58" t="s">
        <v>811</v>
      </c>
      <c r="C14" s="58" t="s">
        <v>11418</v>
      </c>
      <c r="D14" s="59" t="s">
        <v>11419</v>
      </c>
      <c r="E14" s="60" t="str">
        <f>IFERROR(__xludf.DUMMYFUNCTION("""COMPUTED_VALUE"""),"ชาย")</f>
        <v>ชาย</v>
      </c>
      <c r="F14" s="61" t="s">
        <v>11420</v>
      </c>
      <c r="G14" s="60"/>
      <c r="H14" s="60"/>
      <c r="I14" s="62" t="s">
        <v>11418</v>
      </c>
      <c r="J14" s="60"/>
      <c r="K14" s="60"/>
      <c r="L14" s="63" t="str">
        <f t="shared" ref="L14:L15" si="4">"("&amp; C11&amp;")"&amp;D14&amp;"_"&amp;E14</f>
        <v>(23629)นายมูฮำหมัดฟีรัส มะและ_ชาย</v>
      </c>
      <c r="M14" s="64"/>
      <c r="N14" s="65"/>
      <c r="O14" s="66"/>
      <c r="P14" s="66"/>
      <c r="Q14" s="66"/>
      <c r="R14" s="66"/>
      <c r="S14" s="66"/>
      <c r="T14" s="66"/>
      <c r="U14" s="66"/>
      <c r="V14" s="66"/>
      <c r="W14" s="67"/>
      <c r="X14" s="66"/>
      <c r="Y14" s="68"/>
      <c r="Z14" s="69"/>
      <c r="AA14" s="70"/>
      <c r="AB14" s="71"/>
      <c r="AC14" s="60"/>
      <c r="AD14" s="72"/>
      <c r="AE14" s="73"/>
      <c r="AF14" s="73"/>
    </row>
    <row r="15" ht="24.0" customHeight="1">
      <c r="A15" s="48" t="s">
        <v>11387</v>
      </c>
      <c r="B15" s="58" t="s">
        <v>838</v>
      </c>
      <c r="C15" s="58" t="s">
        <v>10255</v>
      </c>
      <c r="D15" s="59" t="s">
        <v>9767</v>
      </c>
      <c r="E15" s="60" t="str">
        <f>IFERROR(__xludf.DUMMYFUNCTION("""COMPUTED_VALUE"""),"ชาย")</f>
        <v>ชาย</v>
      </c>
      <c r="F15" s="61" t="s">
        <v>11421</v>
      </c>
      <c r="G15" s="60"/>
      <c r="H15" s="60"/>
      <c r="I15" s="62" t="s">
        <v>10255</v>
      </c>
      <c r="J15" s="60"/>
      <c r="K15" s="60"/>
      <c r="L15" s="63" t="str">
        <f t="shared" si="4"/>
        <v>(22789)นายบุสรอ วอเห็ง_ชาย</v>
      </c>
      <c r="M15" s="64"/>
      <c r="N15" s="65"/>
      <c r="O15" s="66"/>
      <c r="P15" s="66"/>
      <c r="Q15" s="66"/>
      <c r="R15" s="66"/>
      <c r="S15" s="66"/>
      <c r="T15" s="66"/>
      <c r="U15" s="66"/>
      <c r="V15" s="66"/>
      <c r="W15" s="67"/>
      <c r="X15" s="66"/>
      <c r="Y15" s="68"/>
      <c r="Z15" s="69"/>
      <c r="AA15" s="70"/>
      <c r="AB15" s="71"/>
      <c r="AC15" s="60"/>
      <c r="AD15" s="72"/>
      <c r="AE15" s="73"/>
      <c r="AF15" s="73"/>
    </row>
    <row r="16" ht="24.0" customHeight="1">
      <c r="A16" s="48" t="s">
        <v>11387</v>
      </c>
      <c r="B16" s="58" t="s">
        <v>840</v>
      </c>
      <c r="C16" s="58" t="s">
        <v>10616</v>
      </c>
      <c r="D16" s="59" t="s">
        <v>10256</v>
      </c>
      <c r="E16" s="60" t="str">
        <f>IFERROR(__xludf.DUMMYFUNCTION("""COMPUTED_VALUE"""),"ชาย")</f>
        <v>ชาย</v>
      </c>
      <c r="F16" s="60"/>
      <c r="G16" s="60"/>
      <c r="H16" s="60"/>
      <c r="I16" s="62" t="s">
        <v>10616</v>
      </c>
      <c r="J16" s="60"/>
      <c r="K16" s="60"/>
      <c r="L16" s="63" t="str">
        <f>"("&amp; #REF!&amp;")"&amp;D16&amp;"_"&amp;E16</f>
        <v>#REF!</v>
      </c>
      <c r="M16" s="64"/>
      <c r="N16" s="65"/>
      <c r="O16" s="66"/>
      <c r="P16" s="66"/>
      <c r="Q16" s="66"/>
      <c r="R16" s="66"/>
      <c r="S16" s="66"/>
      <c r="T16" s="66"/>
      <c r="U16" s="66"/>
      <c r="V16" s="66"/>
      <c r="W16" s="67"/>
      <c r="X16" s="66"/>
      <c r="Y16" s="68"/>
      <c r="Z16" s="69"/>
      <c r="AA16" s="70"/>
      <c r="AB16" s="71"/>
      <c r="AC16" s="60"/>
      <c r="AD16" s="72"/>
      <c r="AE16" s="73"/>
      <c r="AF16" s="73"/>
    </row>
    <row r="17" ht="24.0" customHeight="1">
      <c r="A17" s="48" t="s">
        <v>11387</v>
      </c>
      <c r="B17" s="58" t="s">
        <v>842</v>
      </c>
      <c r="C17" s="58" t="s">
        <v>11422</v>
      </c>
      <c r="D17" s="59" t="s">
        <v>10617</v>
      </c>
      <c r="E17" s="60" t="str">
        <f>IFERROR(__xludf.DUMMYFUNCTION("""COMPUTED_VALUE"""),"ชาย")</f>
        <v>ชาย</v>
      </c>
      <c r="F17" s="60"/>
      <c r="G17" s="60"/>
      <c r="H17" s="60"/>
      <c r="I17" s="62" t="s">
        <v>11422</v>
      </c>
      <c r="J17" s="60"/>
      <c r="K17" s="60"/>
      <c r="L17" s="63" t="str">
        <f>"("&amp; C13&amp;")"&amp;D17&amp;"_"&amp;E17</f>
        <v>(22104)นายอัฟนัน การี_ชาย</v>
      </c>
      <c r="M17" s="64"/>
      <c r="N17" s="65"/>
      <c r="O17" s="66"/>
      <c r="P17" s="66"/>
      <c r="Q17" s="66"/>
      <c r="R17" s="66"/>
      <c r="S17" s="66"/>
      <c r="T17" s="66"/>
      <c r="U17" s="66"/>
      <c r="V17" s="66"/>
      <c r="W17" s="67"/>
      <c r="X17" s="66"/>
      <c r="Y17" s="68"/>
      <c r="Z17" s="69"/>
      <c r="AA17" s="70"/>
      <c r="AB17" s="71"/>
      <c r="AC17" s="60"/>
      <c r="AD17" s="72"/>
      <c r="AE17" s="73"/>
      <c r="AF17" s="73"/>
    </row>
    <row r="18" ht="24.0" customHeight="1">
      <c r="A18" s="48" t="s">
        <v>11387</v>
      </c>
      <c r="B18" s="58" t="s">
        <v>844</v>
      </c>
      <c r="C18" s="58" t="s">
        <v>9625</v>
      </c>
      <c r="D18" s="59" t="s">
        <v>11423</v>
      </c>
      <c r="E18" s="60" t="str">
        <f>IFERROR(__xludf.DUMMYFUNCTION("""COMPUTED_VALUE"""),"ชาย")</f>
        <v>ชาย</v>
      </c>
      <c r="F18" s="60"/>
      <c r="G18" s="60"/>
      <c r="H18" s="60"/>
      <c r="I18" s="62" t="s">
        <v>9625</v>
      </c>
      <c r="J18" s="60"/>
      <c r="K18" s="60"/>
      <c r="L18" s="63" t="str">
        <f>"("&amp; #REF!&amp;")"&amp;D18&amp;"_"&amp;E18</f>
        <v>#REF!</v>
      </c>
      <c r="M18" s="64"/>
      <c r="N18" s="65"/>
      <c r="O18" s="66"/>
      <c r="P18" s="66"/>
      <c r="Q18" s="66"/>
      <c r="R18" s="66"/>
      <c r="S18" s="66"/>
      <c r="T18" s="66"/>
      <c r="U18" s="66"/>
      <c r="V18" s="66"/>
      <c r="W18" s="67"/>
      <c r="X18" s="66"/>
      <c r="Y18" s="68"/>
      <c r="Z18" s="69"/>
      <c r="AA18" s="70"/>
      <c r="AB18" s="71"/>
      <c r="AC18" s="60"/>
      <c r="AD18" s="72"/>
      <c r="AE18" s="73"/>
      <c r="AF18" s="73"/>
    </row>
    <row r="19" ht="24.0" customHeight="1">
      <c r="A19" s="48" t="s">
        <v>11387</v>
      </c>
      <c r="B19" s="58" t="s">
        <v>846</v>
      </c>
      <c r="C19" s="58" t="s">
        <v>9592</v>
      </c>
      <c r="D19" s="59" t="s">
        <v>9626</v>
      </c>
      <c r="E19" s="60" t="str">
        <f>IFERROR(__xludf.DUMMYFUNCTION("""COMPUTED_VALUE"""),"ชาย")</f>
        <v>ชาย</v>
      </c>
      <c r="F19" s="60"/>
      <c r="G19" s="60"/>
      <c r="H19" s="60"/>
      <c r="I19" s="62" t="s">
        <v>9592</v>
      </c>
      <c r="J19" s="60"/>
      <c r="K19" s="60"/>
      <c r="L19" s="63" t="str">
        <f>"("&amp; C14&amp;")"&amp;D19&amp;"_"&amp;E19</f>
        <v>(22364)นายอัสซุกรอน โรมรินทร์_ชาย</v>
      </c>
      <c r="M19" s="64"/>
      <c r="N19" s="65"/>
      <c r="O19" s="66"/>
      <c r="P19" s="66"/>
      <c r="Q19" s="66"/>
      <c r="R19" s="66"/>
      <c r="S19" s="66"/>
      <c r="T19" s="66"/>
      <c r="U19" s="66"/>
      <c r="V19" s="66"/>
      <c r="W19" s="67"/>
      <c r="X19" s="66"/>
      <c r="Y19" s="68"/>
      <c r="Z19" s="69"/>
      <c r="AA19" s="70"/>
      <c r="AB19" s="71"/>
      <c r="AC19" s="60"/>
      <c r="AD19" s="72"/>
      <c r="AE19" s="73"/>
      <c r="AF19" s="73"/>
    </row>
    <row r="20" ht="24.0" customHeight="1">
      <c r="A20" s="48" t="s">
        <v>11387</v>
      </c>
      <c r="B20" s="58" t="s">
        <v>848</v>
      </c>
      <c r="C20" s="58" t="s">
        <v>9666</v>
      </c>
      <c r="D20" s="59" t="s">
        <v>9593</v>
      </c>
      <c r="E20" s="60" t="str">
        <f>IFERROR(__xludf.DUMMYFUNCTION("""COMPUTED_VALUE"""),"ชาย")</f>
        <v>ชาย</v>
      </c>
      <c r="F20" s="60"/>
      <c r="G20" s="60"/>
      <c r="H20" s="60"/>
      <c r="I20" s="62" t="s">
        <v>9666</v>
      </c>
      <c r="J20" s="60"/>
      <c r="K20" s="60"/>
      <c r="L20" s="63" t="str">
        <f t="shared" ref="L20:L21" si="5">"("&amp; #REF!&amp;")"&amp;D20&amp;"_"&amp;E20</f>
        <v>#REF!</v>
      </c>
      <c r="M20" s="64"/>
      <c r="N20" s="65"/>
      <c r="O20" s="66"/>
      <c r="P20" s="66"/>
      <c r="Q20" s="66"/>
      <c r="R20" s="66"/>
      <c r="S20" s="66"/>
      <c r="T20" s="66"/>
      <c r="U20" s="66"/>
      <c r="V20" s="66"/>
      <c r="W20" s="67"/>
      <c r="X20" s="66"/>
      <c r="Y20" s="68"/>
      <c r="Z20" s="69"/>
      <c r="AA20" s="70"/>
      <c r="AB20" s="71"/>
      <c r="AC20" s="60"/>
      <c r="AD20" s="72"/>
      <c r="AE20" s="73"/>
      <c r="AF20" s="73"/>
    </row>
    <row r="21" ht="24.0" customHeight="1">
      <c r="A21" s="48" t="s">
        <v>11387</v>
      </c>
      <c r="B21" s="58" t="s">
        <v>850</v>
      </c>
      <c r="C21" s="58" t="s">
        <v>9672</v>
      </c>
      <c r="D21" s="59" t="s">
        <v>11424</v>
      </c>
      <c r="E21" s="60" t="str">
        <f>IFERROR(__xludf.DUMMYFUNCTION("""COMPUTED_VALUE"""),"ชาย")</f>
        <v>ชาย</v>
      </c>
      <c r="F21" s="60"/>
      <c r="G21" s="60"/>
      <c r="H21" s="60"/>
      <c r="I21" s="62" t="s">
        <v>9672</v>
      </c>
      <c r="J21" s="60"/>
      <c r="K21" s="60"/>
      <c r="L21" s="63" t="str">
        <f t="shared" si="5"/>
        <v>#REF!</v>
      </c>
      <c r="M21" s="64"/>
      <c r="N21" s="65"/>
      <c r="O21" s="66"/>
      <c r="P21" s="66"/>
      <c r="Q21" s="66"/>
      <c r="R21" s="66"/>
      <c r="S21" s="66"/>
      <c r="T21" s="66"/>
      <c r="U21" s="66"/>
      <c r="V21" s="66"/>
      <c r="W21" s="67"/>
      <c r="X21" s="66"/>
      <c r="Y21" s="68"/>
      <c r="Z21" s="69"/>
      <c r="AA21" s="70"/>
      <c r="AB21" s="71"/>
      <c r="AC21" s="60"/>
      <c r="AD21" s="72"/>
      <c r="AE21" s="73"/>
      <c r="AF21" s="73"/>
    </row>
    <row r="22" ht="24.0" customHeight="1">
      <c r="A22" s="48" t="s">
        <v>11387</v>
      </c>
      <c r="B22" s="58" t="s">
        <v>950</v>
      </c>
      <c r="C22" s="58" t="s">
        <v>9684</v>
      </c>
      <c r="D22" s="59" t="s">
        <v>9667</v>
      </c>
      <c r="E22" s="60" t="str">
        <f>IFERROR(__xludf.DUMMYFUNCTION("""COMPUTED_VALUE"""),"ชาย")</f>
        <v>ชาย</v>
      </c>
      <c r="F22" s="60"/>
      <c r="G22" s="60"/>
      <c r="H22" s="60"/>
      <c r="I22" s="62" t="s">
        <v>9684</v>
      </c>
      <c r="J22" s="60"/>
      <c r="K22" s="60"/>
      <c r="L22" s="63" t="str">
        <f t="shared" ref="L22:L23" si="6">"("&amp; C15&amp;")"&amp;D22&amp;"_"&amp;E22</f>
        <v>(22945)นายวราวีย์ นิจิ_ชาย</v>
      </c>
      <c r="M22" s="64"/>
      <c r="N22" s="65"/>
      <c r="O22" s="66"/>
      <c r="P22" s="66"/>
      <c r="Q22" s="66"/>
      <c r="R22" s="66"/>
      <c r="S22" s="66"/>
      <c r="T22" s="66"/>
      <c r="U22" s="66"/>
      <c r="V22" s="66"/>
      <c r="W22" s="67"/>
      <c r="X22" s="66"/>
      <c r="Y22" s="68"/>
      <c r="Z22" s="69"/>
      <c r="AA22" s="70"/>
      <c r="AB22" s="71"/>
      <c r="AC22" s="60"/>
      <c r="AD22" s="72"/>
      <c r="AE22" s="73"/>
      <c r="AF22" s="73"/>
    </row>
    <row r="23" ht="24.0" customHeight="1">
      <c r="A23" s="48" t="s">
        <v>11387</v>
      </c>
      <c r="B23" s="58" t="s">
        <v>853</v>
      </c>
      <c r="C23" s="58" t="s">
        <v>11425</v>
      </c>
      <c r="D23" s="59" t="s">
        <v>9673</v>
      </c>
      <c r="E23" s="60" t="str">
        <f>IFERROR(__xludf.DUMMYFUNCTION("""COMPUTED_VALUE"""),"ชาย")</f>
        <v>ชาย</v>
      </c>
      <c r="F23" s="60"/>
      <c r="G23" s="60"/>
      <c r="H23" s="60"/>
      <c r="I23" s="62" t="s">
        <v>11425</v>
      </c>
      <c r="J23" s="60"/>
      <c r="K23" s="60"/>
      <c r="L23" s="63" t="str">
        <f t="shared" si="6"/>
        <v>(22983)นายณอิฟ กิตติชัย_ชาย</v>
      </c>
      <c r="M23" s="64"/>
      <c r="N23" s="65"/>
      <c r="O23" s="66"/>
      <c r="P23" s="66"/>
      <c r="Q23" s="66"/>
      <c r="R23" s="66"/>
      <c r="S23" s="66"/>
      <c r="T23" s="66"/>
      <c r="U23" s="66"/>
      <c r="V23" s="66"/>
      <c r="W23" s="67"/>
      <c r="X23" s="66"/>
      <c r="Y23" s="68"/>
      <c r="Z23" s="69"/>
      <c r="AA23" s="70"/>
      <c r="AB23" s="71"/>
      <c r="AC23" s="60"/>
      <c r="AD23" s="72"/>
      <c r="AE23" s="73"/>
      <c r="AF23" s="73"/>
    </row>
    <row r="24" ht="24.0" customHeight="1">
      <c r="A24" s="48" t="s">
        <v>11387</v>
      </c>
      <c r="B24" s="58" t="s">
        <v>855</v>
      </c>
      <c r="C24" s="58" t="s">
        <v>11426</v>
      </c>
      <c r="D24" s="59" t="s">
        <v>11427</v>
      </c>
      <c r="E24" s="60" t="str">
        <f>IFERROR(__xludf.DUMMYFUNCTION("""COMPUTED_VALUE"""),"ชาย")</f>
        <v>ชาย</v>
      </c>
      <c r="F24" s="60"/>
      <c r="G24" s="60"/>
      <c r="H24" s="60"/>
      <c r="I24" s="62" t="s">
        <v>11426</v>
      </c>
      <c r="J24" s="60"/>
      <c r="K24" s="60"/>
      <c r="L24" s="63" t="str">
        <f>"("&amp; #REF!&amp;")"&amp;D24&amp;"_"&amp;E24</f>
        <v>#REF!</v>
      </c>
      <c r="M24" s="64"/>
      <c r="N24" s="65"/>
      <c r="O24" s="66"/>
      <c r="P24" s="66"/>
      <c r="Q24" s="66"/>
      <c r="R24" s="66"/>
      <c r="S24" s="66"/>
      <c r="T24" s="66"/>
      <c r="U24" s="66"/>
      <c r="V24" s="66"/>
      <c r="W24" s="67"/>
      <c r="X24" s="66"/>
      <c r="Y24" s="68"/>
      <c r="Z24" s="69"/>
      <c r="AA24" s="70"/>
      <c r="AB24" s="71"/>
      <c r="AC24" s="60"/>
      <c r="AD24" s="72"/>
      <c r="AE24" s="73"/>
      <c r="AF24" s="73"/>
    </row>
    <row r="25" ht="24.0" customHeight="1">
      <c r="A25" s="48" t="s">
        <v>11387</v>
      </c>
      <c r="B25" s="58" t="s">
        <v>793</v>
      </c>
      <c r="C25" s="58" t="s">
        <v>9659</v>
      </c>
      <c r="D25" s="59" t="s">
        <v>9685</v>
      </c>
      <c r="E25" s="60" t="str">
        <f>IFERROR(__xludf.DUMMYFUNCTION("""COMPUTED_VALUE"""),"ชาย")</f>
        <v>ชาย</v>
      </c>
      <c r="F25" s="60"/>
      <c r="G25" s="60"/>
      <c r="H25" s="60"/>
      <c r="I25" s="62" t="s">
        <v>9659</v>
      </c>
      <c r="J25" s="60"/>
      <c r="K25" s="60"/>
      <c r="L25" s="63" t="str">
        <f t="shared" ref="L25:L33" si="7">"("&amp; C17&amp;")"&amp;D25&amp;"_"&amp;E25</f>
        <v>(24464)นายอับดุลกอเดร์ เส็นสะนา_ชาย</v>
      </c>
      <c r="M25" s="64"/>
      <c r="N25" s="65"/>
      <c r="O25" s="66"/>
      <c r="P25" s="66"/>
      <c r="Q25" s="66"/>
      <c r="R25" s="66"/>
      <c r="S25" s="66"/>
      <c r="T25" s="66"/>
      <c r="U25" s="66"/>
      <c r="V25" s="66"/>
      <c r="W25" s="67"/>
      <c r="X25" s="66"/>
      <c r="Y25" s="68"/>
      <c r="Z25" s="69"/>
      <c r="AA25" s="70"/>
      <c r="AB25" s="71"/>
      <c r="AC25" s="60"/>
      <c r="AD25" s="72"/>
      <c r="AE25" s="73"/>
      <c r="AF25" s="73"/>
    </row>
    <row r="26" ht="24.0" customHeight="1">
      <c r="A26" s="48" t="s">
        <v>11387</v>
      </c>
      <c r="B26" s="58" t="s">
        <v>752</v>
      </c>
      <c r="C26" s="58" t="s">
        <v>11428</v>
      </c>
      <c r="D26" s="59" t="s">
        <v>11429</v>
      </c>
      <c r="E26" s="60" t="str">
        <f>IFERROR(__xludf.DUMMYFUNCTION("""COMPUTED_VALUE"""),"ชาย")</f>
        <v>ชาย</v>
      </c>
      <c r="F26" s="60"/>
      <c r="G26" s="60"/>
      <c r="H26" s="60"/>
      <c r="I26" s="62" t="s">
        <v>11428</v>
      </c>
      <c r="J26" s="60"/>
      <c r="K26" s="60"/>
      <c r="L26" s="63" t="str">
        <f t="shared" si="7"/>
        <v>(24095)นายอิลฟาน สาหลำ_ชาย</v>
      </c>
      <c r="M26" s="64"/>
      <c r="N26" s="65"/>
      <c r="O26" s="66"/>
      <c r="P26" s="66"/>
      <c r="Q26" s="66"/>
      <c r="R26" s="66"/>
      <c r="S26" s="66"/>
      <c r="T26" s="66"/>
      <c r="U26" s="66"/>
      <c r="V26" s="66"/>
      <c r="W26" s="67"/>
      <c r="X26" s="66"/>
      <c r="Y26" s="68"/>
      <c r="Z26" s="69"/>
      <c r="AA26" s="70"/>
      <c r="AB26" s="71"/>
      <c r="AC26" s="60"/>
      <c r="AD26" s="72"/>
      <c r="AE26" s="73"/>
      <c r="AF26" s="73"/>
    </row>
    <row r="27" ht="24.0" customHeight="1">
      <c r="A27" s="48" t="s">
        <v>11387</v>
      </c>
      <c r="B27" s="58" t="s">
        <v>857</v>
      </c>
      <c r="C27" s="74" t="s">
        <v>11430</v>
      </c>
      <c r="D27" s="59" t="s">
        <v>11431</v>
      </c>
      <c r="E27" s="60" t="str">
        <f>IFERROR(__xludf.DUMMYFUNCTION("""COMPUTED_VALUE"""),"ชาย")</f>
        <v>ชาย</v>
      </c>
      <c r="F27" s="60"/>
      <c r="G27" s="60"/>
      <c r="H27" s="60"/>
      <c r="I27" s="62" t="s">
        <v>11430</v>
      </c>
      <c r="J27" s="60"/>
      <c r="K27" s="60"/>
      <c r="L27" s="63" t="str">
        <f t="shared" si="7"/>
        <v>(21978)นายอาฟานดี มณีหิยา_ชาย</v>
      </c>
      <c r="M27" s="64"/>
      <c r="N27" s="65"/>
      <c r="O27" s="66"/>
      <c r="P27" s="66"/>
      <c r="Q27" s="66"/>
      <c r="R27" s="66"/>
      <c r="S27" s="66"/>
      <c r="T27" s="66"/>
      <c r="U27" s="66"/>
      <c r="V27" s="66"/>
      <c r="W27" s="67"/>
      <c r="X27" s="66"/>
      <c r="Y27" s="68"/>
      <c r="Z27" s="69"/>
      <c r="AA27" s="70"/>
      <c r="AB27" s="71"/>
      <c r="AC27" s="60"/>
      <c r="AD27" s="72"/>
      <c r="AE27" s="73"/>
      <c r="AF27" s="73"/>
    </row>
    <row r="28" ht="24.0" customHeight="1">
      <c r="A28" s="48" t="s">
        <v>11387</v>
      </c>
      <c r="B28" s="58" t="s">
        <v>860</v>
      </c>
      <c r="C28" s="74" t="s">
        <v>11432</v>
      </c>
      <c r="D28" s="59" t="s">
        <v>9660</v>
      </c>
      <c r="E28" s="60" t="str">
        <f>IFERROR(__xludf.DUMMYFUNCTION("""COMPUTED_VALUE"""),"ชาย")</f>
        <v>ชาย</v>
      </c>
      <c r="F28" s="60"/>
      <c r="G28" s="60"/>
      <c r="H28" s="60"/>
      <c r="I28" s="62" t="s">
        <v>11432</v>
      </c>
      <c r="J28" s="60"/>
      <c r="K28" s="60"/>
      <c r="L28" s="63" t="str">
        <f t="shared" si="7"/>
        <v>(22963)นายบาซอรี มะแซ_ชาย</v>
      </c>
      <c r="M28" s="64"/>
      <c r="N28" s="65"/>
      <c r="O28" s="66"/>
      <c r="P28" s="66"/>
      <c r="Q28" s="66"/>
      <c r="R28" s="66"/>
      <c r="S28" s="66"/>
      <c r="T28" s="66"/>
      <c r="U28" s="66"/>
      <c r="V28" s="66"/>
      <c r="W28" s="67"/>
      <c r="X28" s="66"/>
      <c r="Y28" s="68"/>
      <c r="Z28" s="69"/>
      <c r="AA28" s="70"/>
      <c r="AB28" s="71"/>
      <c r="AC28" s="60"/>
      <c r="AD28" s="72"/>
      <c r="AE28" s="73"/>
      <c r="AF28" s="73"/>
    </row>
    <row r="29" ht="24.0" customHeight="1">
      <c r="A29" s="48" t="s">
        <v>11387</v>
      </c>
      <c r="B29" s="58" t="s">
        <v>862</v>
      </c>
      <c r="C29" s="74" t="s">
        <v>10276</v>
      </c>
      <c r="D29" s="59" t="s">
        <v>11433</v>
      </c>
      <c r="E29" s="60" t="str">
        <f>IFERROR(__xludf.DUMMYFUNCTION("""COMPUTED_VALUE"""),"ชาย")</f>
        <v>ชาย</v>
      </c>
      <c r="F29" s="60"/>
      <c r="G29" s="60"/>
      <c r="H29" s="60"/>
      <c r="I29" s="62" t="s">
        <v>10276</v>
      </c>
      <c r="J29" s="60"/>
      <c r="K29" s="60"/>
      <c r="L29" s="63" t="str">
        <f t="shared" si="7"/>
        <v>(23021)นายมุสตอฟา เจะปอ_ชาย</v>
      </c>
      <c r="M29" s="64"/>
      <c r="N29" s="65"/>
      <c r="O29" s="66"/>
      <c r="P29" s="66"/>
      <c r="Q29" s="66"/>
      <c r="R29" s="66"/>
      <c r="S29" s="66"/>
      <c r="T29" s="66"/>
      <c r="U29" s="66"/>
      <c r="V29" s="66"/>
      <c r="W29" s="67"/>
      <c r="X29" s="66"/>
      <c r="Y29" s="68"/>
      <c r="Z29" s="69"/>
      <c r="AA29" s="70"/>
      <c r="AB29" s="71"/>
      <c r="AC29" s="60"/>
      <c r="AD29" s="72"/>
      <c r="AE29" s="73"/>
      <c r="AF29" s="73"/>
    </row>
    <row r="30" ht="24.0" customHeight="1">
      <c r="A30" s="48" t="s">
        <v>11387</v>
      </c>
      <c r="B30" s="58" t="s">
        <v>865</v>
      </c>
      <c r="C30" s="74" t="s">
        <v>11434</v>
      </c>
      <c r="D30" s="59" t="s">
        <v>11435</v>
      </c>
      <c r="E30" s="60" t="str">
        <f>IFERROR(__xludf.DUMMYFUNCTION("""COMPUTED_VALUE"""),"ชาย")</f>
        <v>ชาย</v>
      </c>
      <c r="F30" s="60"/>
      <c r="G30" s="60"/>
      <c r="H30" s="60"/>
      <c r="I30" s="62" t="s">
        <v>11434</v>
      </c>
      <c r="J30" s="60"/>
      <c r="K30" s="60"/>
      <c r="L30" s="63" t="str">
        <f t="shared" si="7"/>
        <v>(23140)นายมาร์รอซ บือแน_ชาย</v>
      </c>
      <c r="M30" s="64"/>
      <c r="N30" s="65"/>
      <c r="O30" s="66"/>
      <c r="P30" s="66"/>
      <c r="Q30" s="66"/>
      <c r="R30" s="66"/>
      <c r="S30" s="66"/>
      <c r="T30" s="66"/>
      <c r="U30" s="66"/>
      <c r="V30" s="66"/>
      <c r="W30" s="67"/>
      <c r="X30" s="66"/>
      <c r="Y30" s="68"/>
      <c r="Z30" s="69"/>
      <c r="AA30" s="70"/>
      <c r="AB30" s="71"/>
      <c r="AC30" s="60"/>
      <c r="AD30" s="72"/>
      <c r="AE30" s="73"/>
      <c r="AF30" s="73"/>
    </row>
    <row r="31" ht="24.0" customHeight="1">
      <c r="A31" s="48" t="s">
        <v>11387</v>
      </c>
      <c r="B31" s="58" t="s">
        <v>764</v>
      </c>
      <c r="C31" s="74" t="s">
        <v>11436</v>
      </c>
      <c r="D31" s="59" t="s">
        <v>11437</v>
      </c>
      <c r="E31" s="60" t="str">
        <f>IFERROR(__xludf.DUMMYFUNCTION("""COMPUTED_VALUE"""),"ชาย")</f>
        <v>ชาย</v>
      </c>
      <c r="F31" s="60"/>
      <c r="G31" s="60"/>
      <c r="H31" s="60"/>
      <c r="I31" s="62" t="s">
        <v>11436</v>
      </c>
      <c r="J31" s="60"/>
      <c r="K31" s="60"/>
      <c r="L31" s="63" t="str">
        <f t="shared" si="7"/>
        <v>(22171)นายฮาซัน หยงสตาร์_ชาย</v>
      </c>
      <c r="M31" s="64"/>
      <c r="N31" s="65"/>
      <c r="O31" s="66"/>
      <c r="P31" s="66"/>
      <c r="Q31" s="66"/>
      <c r="R31" s="66"/>
      <c r="S31" s="66"/>
      <c r="T31" s="66"/>
      <c r="U31" s="66"/>
      <c r="V31" s="66"/>
      <c r="W31" s="67"/>
      <c r="X31" s="66"/>
      <c r="Y31" s="68"/>
      <c r="Z31" s="69"/>
      <c r="AA31" s="70"/>
      <c r="AB31" s="71"/>
      <c r="AC31" s="60"/>
      <c r="AD31" s="72"/>
      <c r="AE31" s="73"/>
      <c r="AF31" s="73"/>
    </row>
    <row r="32" ht="24.0" customHeight="1">
      <c r="A32" s="48" t="s">
        <v>11387</v>
      </c>
      <c r="B32" s="58"/>
      <c r="C32" s="74"/>
      <c r="D32" s="59" t="s">
        <v>10277</v>
      </c>
      <c r="E32" s="60" t="str">
        <f>IFERROR(__xludf.DUMMYFUNCTION("""COMPUTED_VALUE"""),"")</f>
        <v/>
      </c>
      <c r="F32" s="60"/>
      <c r="G32" s="60"/>
      <c r="H32" s="60"/>
      <c r="I32" s="62"/>
      <c r="J32" s="60"/>
      <c r="K32" s="60"/>
      <c r="L32" s="63" t="str">
        <f t="shared" si="7"/>
        <v>(22308)นายอามีรูน สะอะ_</v>
      </c>
      <c r="M32" s="64"/>
      <c r="N32" s="65"/>
      <c r="O32" s="66"/>
      <c r="P32" s="66"/>
      <c r="Q32" s="66"/>
      <c r="R32" s="66"/>
      <c r="S32" s="66"/>
      <c r="T32" s="66"/>
      <c r="U32" s="66"/>
      <c r="V32" s="66"/>
      <c r="W32" s="67"/>
      <c r="X32" s="66"/>
      <c r="Y32" s="68"/>
      <c r="Z32" s="69"/>
      <c r="AA32" s="70"/>
      <c r="AB32" s="71"/>
      <c r="AC32" s="60"/>
      <c r="AD32" s="72"/>
      <c r="AE32" s="73"/>
      <c r="AF32" s="73"/>
    </row>
    <row r="33" ht="24.0" customHeight="1">
      <c r="A33" s="48" t="s">
        <v>11387</v>
      </c>
      <c r="B33" s="58"/>
      <c r="C33" s="74"/>
      <c r="D33" s="59" t="s">
        <v>11438</v>
      </c>
      <c r="E33" s="60" t="str">
        <f>IFERROR(__xludf.DUMMYFUNCTION("""COMPUTED_VALUE"""),"")</f>
        <v/>
      </c>
      <c r="F33" s="60"/>
      <c r="G33" s="60"/>
      <c r="H33" s="60"/>
      <c r="I33" s="62"/>
      <c r="J33" s="60"/>
      <c r="K33" s="60"/>
      <c r="L33" s="63" t="str">
        <f t="shared" si="7"/>
        <v>(22905)นายมูฮำหมัดไซฟู อามะ_</v>
      </c>
      <c r="M33" s="64"/>
      <c r="N33" s="65"/>
      <c r="O33" s="66"/>
      <c r="P33" s="66"/>
      <c r="Q33" s="66"/>
      <c r="R33" s="66"/>
      <c r="S33" s="66"/>
      <c r="T33" s="66"/>
      <c r="U33" s="66"/>
      <c r="V33" s="66"/>
      <c r="W33" s="67"/>
      <c r="X33" s="66"/>
      <c r="Y33" s="68"/>
      <c r="Z33" s="69"/>
      <c r="AA33" s="70"/>
      <c r="AB33" s="71"/>
      <c r="AC33" s="60"/>
      <c r="AD33" s="72"/>
      <c r="AE33" s="73"/>
      <c r="AF33" s="73"/>
    </row>
    <row r="34" ht="24.0" customHeight="1">
      <c r="A34" s="48" t="s">
        <v>11387</v>
      </c>
      <c r="B34" s="58"/>
      <c r="C34" s="74"/>
      <c r="D34" s="59" t="s">
        <v>9664</v>
      </c>
      <c r="E34" s="60" t="str">
        <f>IFERROR(__xludf.DUMMYFUNCTION("""COMPUTED_VALUE"""),"")</f>
        <v/>
      </c>
      <c r="F34" s="60"/>
      <c r="G34" s="60"/>
      <c r="H34" s="60"/>
      <c r="I34" s="62"/>
      <c r="J34" s="60"/>
      <c r="K34" s="60"/>
      <c r="L34" s="63" t="str">
        <f t="shared" ref="L34:L35" si="8">"("&amp; #REF!&amp;")"&amp;D34&amp;"_"&amp;E34</f>
        <v>#REF!</v>
      </c>
      <c r="M34" s="64"/>
      <c r="N34" s="65"/>
      <c r="O34" s="66"/>
      <c r="P34" s="66"/>
      <c r="Q34" s="66"/>
      <c r="R34" s="66"/>
      <c r="S34" s="66"/>
      <c r="T34" s="66"/>
      <c r="U34" s="66"/>
      <c r="V34" s="66"/>
      <c r="W34" s="67"/>
      <c r="X34" s="66"/>
      <c r="Y34" s="68"/>
      <c r="Z34" s="69"/>
      <c r="AA34" s="70"/>
      <c r="AB34" s="71"/>
      <c r="AC34" s="60"/>
      <c r="AD34" s="72"/>
      <c r="AE34" s="73"/>
      <c r="AF34" s="73"/>
    </row>
    <row r="35" ht="24.0" customHeight="1">
      <c r="A35" s="48" t="s">
        <v>11387</v>
      </c>
      <c r="B35" s="58"/>
      <c r="C35" s="74"/>
      <c r="D35" s="59" t="s">
        <v>9642</v>
      </c>
      <c r="E35" s="60" t="str">
        <f>IFERROR(__xludf.DUMMYFUNCTION("""COMPUTED_VALUE"""),"")</f>
        <v/>
      </c>
      <c r="F35" s="60"/>
      <c r="G35" s="60"/>
      <c r="H35" s="60"/>
      <c r="I35" s="62"/>
      <c r="J35" s="60"/>
      <c r="K35" s="60"/>
      <c r="L35" s="63" t="str">
        <f t="shared" si="8"/>
        <v>#REF!</v>
      </c>
      <c r="M35" s="64"/>
      <c r="N35" s="65"/>
      <c r="O35" s="66"/>
      <c r="P35" s="66"/>
      <c r="Q35" s="66"/>
      <c r="R35" s="66"/>
      <c r="S35" s="66"/>
      <c r="T35" s="66"/>
      <c r="U35" s="66"/>
      <c r="V35" s="66"/>
      <c r="W35" s="67"/>
      <c r="X35" s="66"/>
      <c r="Y35" s="68"/>
      <c r="Z35" s="69"/>
      <c r="AA35" s="70"/>
      <c r="AB35" s="71"/>
      <c r="AC35" s="60"/>
      <c r="AD35" s="72"/>
      <c r="AE35" s="73"/>
      <c r="AF35" s="73"/>
    </row>
    <row r="36" ht="24.0" customHeight="1">
      <c r="A36" s="48" t="s">
        <v>11387</v>
      </c>
      <c r="B36" s="58"/>
      <c r="C36" s="74"/>
      <c r="D36" s="59" t="s">
        <v>9706</v>
      </c>
      <c r="E36" s="60" t="str">
        <f>IFERROR(__xludf.DUMMYFUNCTION("""COMPUTED_VALUE"""),"")</f>
        <v/>
      </c>
      <c r="F36" s="60"/>
      <c r="G36" s="60"/>
      <c r="H36" s="60"/>
      <c r="I36" s="62"/>
      <c r="J36" s="60"/>
      <c r="K36" s="60"/>
      <c r="L36" s="63" t="str">
        <f t="shared" ref="L36:L37" si="9">"("&amp; C26&amp;")"&amp;D36&amp;"_"&amp;E36</f>
        <v>(22366)นายพันธกานต์ เทือกเถาว์_</v>
      </c>
      <c r="M36" s="64"/>
      <c r="N36" s="65"/>
      <c r="O36" s="66"/>
      <c r="P36" s="66"/>
      <c r="Q36" s="66"/>
      <c r="R36" s="66"/>
      <c r="S36" s="66"/>
      <c r="T36" s="66"/>
      <c r="U36" s="66"/>
      <c r="V36" s="66"/>
      <c r="W36" s="67"/>
      <c r="X36" s="66"/>
      <c r="Y36" s="68"/>
      <c r="Z36" s="69"/>
      <c r="AA36" s="70"/>
      <c r="AB36" s="71"/>
      <c r="AC36" s="60"/>
      <c r="AD36" s="72"/>
      <c r="AE36" s="73"/>
      <c r="AF36" s="73"/>
    </row>
    <row r="37" ht="24.0" customHeight="1">
      <c r="A37" s="48" t="s">
        <v>11387</v>
      </c>
      <c r="B37" s="58"/>
      <c r="C37" s="74"/>
      <c r="D37" s="59" t="s">
        <v>11439</v>
      </c>
      <c r="E37" s="60" t="str">
        <f>IFERROR(__xludf.DUMMYFUNCTION("""COMPUTED_VALUE"""),"")</f>
        <v/>
      </c>
      <c r="F37" s="60"/>
      <c r="G37" s="60"/>
      <c r="H37" s="60"/>
      <c r="I37" s="62"/>
      <c r="J37" s="60"/>
      <c r="K37" s="60"/>
      <c r="L37" s="63" t="str">
        <f t="shared" si="9"/>
        <v>(22334)นายซุรกอรนัย สาและ_</v>
      </c>
      <c r="M37" s="64"/>
      <c r="N37" s="65"/>
      <c r="O37" s="66"/>
      <c r="P37" s="66"/>
      <c r="Q37" s="66"/>
      <c r="R37" s="66"/>
      <c r="S37" s="66"/>
      <c r="T37" s="66"/>
      <c r="U37" s="66"/>
      <c r="V37" s="66"/>
      <c r="W37" s="67"/>
      <c r="X37" s="66"/>
      <c r="Y37" s="68"/>
      <c r="Z37" s="69"/>
      <c r="AA37" s="70"/>
      <c r="AB37" s="71"/>
      <c r="AC37" s="60"/>
      <c r="AD37" s="72"/>
      <c r="AE37" s="73"/>
      <c r="AF37" s="73"/>
    </row>
    <row r="38" ht="24.0" customHeight="1">
      <c r="A38" s="48"/>
      <c r="B38" s="75"/>
      <c r="C38" s="76"/>
      <c r="D38" s="59"/>
      <c r="E38" s="60" t="str">
        <f>IFERROR(__xludf.DUMMYFUNCTION("""COMPUTED_VALUE"""),"")</f>
        <v/>
      </c>
      <c r="F38" s="60"/>
      <c r="G38" s="60"/>
      <c r="H38" s="60"/>
      <c r="I38" s="60"/>
      <c r="J38" s="60"/>
      <c r="K38" s="60"/>
      <c r="L38" s="63"/>
      <c r="M38" s="64"/>
      <c r="N38" s="65"/>
      <c r="O38" s="66"/>
      <c r="P38" s="66"/>
      <c r="Q38" s="66"/>
      <c r="R38" s="66"/>
      <c r="S38" s="66"/>
      <c r="T38" s="66"/>
      <c r="U38" s="66"/>
      <c r="V38" s="66"/>
      <c r="W38" s="67"/>
      <c r="X38" s="66"/>
      <c r="Y38" s="68"/>
      <c r="Z38" s="69"/>
      <c r="AA38" s="70"/>
      <c r="AB38" s="71"/>
      <c r="AC38" s="60"/>
      <c r="AD38" s="72"/>
      <c r="AE38" s="73"/>
      <c r="AF38" s="73"/>
    </row>
    <row r="39" ht="24.0" customHeight="1">
      <c r="A39" s="48" t="s">
        <v>11440</v>
      </c>
      <c r="B39" s="58" t="s">
        <v>807</v>
      </c>
      <c r="C39" s="62" t="s">
        <v>10240</v>
      </c>
      <c r="D39" s="59" t="s">
        <v>11441</v>
      </c>
      <c r="E39" s="60" t="str">
        <f>IFERROR(__xludf.DUMMYFUNCTION("""COMPUTED_VALUE"""),"หญิง")</f>
        <v>หญิง</v>
      </c>
      <c r="F39" s="60"/>
      <c r="G39" s="60"/>
      <c r="H39" s="60"/>
      <c r="I39" s="62" t="s">
        <v>10240</v>
      </c>
      <c r="J39" s="60"/>
      <c r="K39" s="60"/>
      <c r="L39" s="63" t="str">
        <f t="shared" ref="L39:L49" si="10">"("&amp; C39&amp;")"&amp;D39&amp;"_"&amp;E39</f>
        <v>(22742)นางสาวนุชอัยนี แหลหมันไทย_หญิง</v>
      </c>
      <c r="M39" s="77" t="s">
        <v>11442</v>
      </c>
      <c r="N39" s="78" t="s">
        <v>11443</v>
      </c>
      <c r="O39" s="79" t="s">
        <v>944</v>
      </c>
      <c r="P39" s="79" t="s">
        <v>944</v>
      </c>
      <c r="Q39" s="79">
        <v>14.0</v>
      </c>
      <c r="R39" s="79">
        <v>14.0</v>
      </c>
      <c r="S39" s="79">
        <v>14.0</v>
      </c>
      <c r="T39" s="79">
        <v>4.0</v>
      </c>
      <c r="U39" s="79">
        <v>15.0</v>
      </c>
      <c r="V39" s="79">
        <v>15.0</v>
      </c>
      <c r="W39" s="80">
        <v>11.0</v>
      </c>
      <c r="X39" s="79">
        <v>14.0</v>
      </c>
      <c r="Y39" s="80">
        <v>14.0</v>
      </c>
      <c r="Z39" s="79">
        <v>115.0</v>
      </c>
      <c r="AA39" s="81">
        <f t="shared" ref="AA39:AA77" si="11">RANK(Z39,$Z$39:$Z$87)</f>
        <v>1</v>
      </c>
      <c r="AB39" s="71" t="s">
        <v>11444</v>
      </c>
      <c r="AC39" s="60" t="s">
        <v>11445</v>
      </c>
      <c r="AD39" s="82" t="str">
        <f t="shared" ref="AD39:AD49" si="12">"https://azizstan.net/studentcarev4/Students/Profile?id="&amp;C39</f>
        <v>https://azizstan.net/studentcarev4/Students/Profile?id=22742</v>
      </c>
      <c r="AE39" s="73"/>
      <c r="AF39" s="73"/>
    </row>
    <row r="40" ht="24.0" customHeight="1">
      <c r="A40" s="48" t="s">
        <v>11440</v>
      </c>
      <c r="B40" s="58" t="s">
        <v>116</v>
      </c>
      <c r="C40" s="62" t="s">
        <v>10237</v>
      </c>
      <c r="D40" s="59" t="s">
        <v>11446</v>
      </c>
      <c r="E40" s="60" t="str">
        <f>IFERROR(__xludf.DUMMYFUNCTION("""COMPUTED_VALUE"""),"หญิง")</f>
        <v>หญิง</v>
      </c>
      <c r="F40" s="60"/>
      <c r="G40" s="60"/>
      <c r="H40" s="60"/>
      <c r="I40" s="62" t="s">
        <v>10237</v>
      </c>
      <c r="J40" s="60"/>
      <c r="K40" s="60"/>
      <c r="L40" s="63" t="str">
        <f t="shared" si="10"/>
        <v>(22740)นางสาวฟิรฮานา อุปมา_หญิง</v>
      </c>
      <c r="M40" s="83" t="s">
        <v>11442</v>
      </c>
      <c r="N40" s="84" t="s">
        <v>11447</v>
      </c>
      <c r="O40" s="60" t="s">
        <v>944</v>
      </c>
      <c r="P40" s="60" t="s">
        <v>944</v>
      </c>
      <c r="Q40" s="60">
        <v>13.0</v>
      </c>
      <c r="R40" s="60">
        <v>11.0</v>
      </c>
      <c r="S40" s="60">
        <v>13.0</v>
      </c>
      <c r="T40" s="60">
        <v>5.0</v>
      </c>
      <c r="U40" s="60">
        <v>15.0</v>
      </c>
      <c r="V40" s="60">
        <v>15.0</v>
      </c>
      <c r="W40" s="48">
        <v>14.0</v>
      </c>
      <c r="X40" s="60">
        <v>13.0</v>
      </c>
      <c r="Y40" s="48">
        <v>15.0</v>
      </c>
      <c r="Z40" s="60">
        <v>114.0</v>
      </c>
      <c r="AA40" s="85">
        <f t="shared" si="11"/>
        <v>2</v>
      </c>
      <c r="AB40" s="71" t="s">
        <v>11444</v>
      </c>
      <c r="AC40" s="60" t="s">
        <v>11445</v>
      </c>
      <c r="AD40" s="82" t="str">
        <f t="shared" si="12"/>
        <v>https://azizstan.net/studentcarev4/Students/Profile?id=22740</v>
      </c>
      <c r="AE40" s="47"/>
      <c r="AF40" s="47"/>
    </row>
    <row r="41" ht="24.0" customHeight="1">
      <c r="A41" s="48" t="s">
        <v>11440</v>
      </c>
      <c r="B41" s="58" t="s">
        <v>123</v>
      </c>
      <c r="C41" s="62" t="s">
        <v>72</v>
      </c>
      <c r="D41" s="59" t="s">
        <v>11448</v>
      </c>
      <c r="E41" s="60" t="str">
        <f>IFERROR(__xludf.DUMMYFUNCTION("""COMPUTED_VALUE"""),"หญิง")</f>
        <v>หญิง</v>
      </c>
      <c r="F41" s="60"/>
      <c r="G41" s="60"/>
      <c r="H41" s="60"/>
      <c r="I41" s="62" t="s">
        <v>72</v>
      </c>
      <c r="J41" s="60"/>
      <c r="K41" s="60"/>
      <c r="L41" s="63" t="str">
        <f t="shared" si="10"/>
        <v>(25982)นางสาวกูฟาราเดียร์ รงโซะ_หญิง</v>
      </c>
      <c r="M41" s="83" t="s">
        <v>11449</v>
      </c>
      <c r="N41" s="84" t="s">
        <v>11450</v>
      </c>
      <c r="O41" s="60" t="s">
        <v>944</v>
      </c>
      <c r="P41" s="60" t="s">
        <v>944</v>
      </c>
      <c r="Q41" s="60">
        <v>14.0</v>
      </c>
      <c r="R41" s="60">
        <v>14.0</v>
      </c>
      <c r="S41" s="60">
        <v>14.0</v>
      </c>
      <c r="T41" s="60">
        <v>2.0</v>
      </c>
      <c r="U41" s="60">
        <v>15.0</v>
      </c>
      <c r="V41" s="60">
        <v>15.0</v>
      </c>
      <c r="W41" s="48">
        <v>14.0</v>
      </c>
      <c r="X41" s="60">
        <v>14.0</v>
      </c>
      <c r="Y41" s="48">
        <v>12.0</v>
      </c>
      <c r="Z41" s="60">
        <v>114.0</v>
      </c>
      <c r="AA41" s="85">
        <f t="shared" si="11"/>
        <v>2</v>
      </c>
      <c r="AB41" s="71" t="s">
        <v>11444</v>
      </c>
      <c r="AC41" s="60" t="s">
        <v>11445</v>
      </c>
      <c r="AD41" s="82" t="str">
        <f t="shared" si="12"/>
        <v>https://azizstan.net/studentcarev4/Students/Profile?id=25982</v>
      </c>
      <c r="AE41" s="47"/>
      <c r="AF41" s="47"/>
    </row>
    <row r="42" ht="24.0" customHeight="1">
      <c r="A42" s="48" t="s">
        <v>11440</v>
      </c>
      <c r="B42" s="58" t="s">
        <v>131</v>
      </c>
      <c r="C42" s="62" t="s">
        <v>10282</v>
      </c>
      <c r="D42" s="59" t="s">
        <v>11451</v>
      </c>
      <c r="E42" s="60" t="str">
        <f>IFERROR(__xludf.DUMMYFUNCTION("""COMPUTED_VALUE"""),"หญิง")</f>
        <v>หญิง</v>
      </c>
      <c r="F42" s="60"/>
      <c r="G42" s="60"/>
      <c r="H42" s="60"/>
      <c r="I42" s="62" t="s">
        <v>10282</v>
      </c>
      <c r="J42" s="60"/>
      <c r="K42" s="60"/>
      <c r="L42" s="63" t="str">
        <f t="shared" si="10"/>
        <v>(23159)นางสาวเอมี่ฟาตีฮะห์ ซามารูดิน_หญิง</v>
      </c>
      <c r="M42" s="83" t="s">
        <v>11452</v>
      </c>
      <c r="N42" s="84" t="s">
        <v>11453</v>
      </c>
      <c r="O42" s="60" t="s">
        <v>944</v>
      </c>
      <c r="P42" s="60" t="s">
        <v>944</v>
      </c>
      <c r="Q42" s="60">
        <v>15.0</v>
      </c>
      <c r="R42" s="60">
        <v>12.0</v>
      </c>
      <c r="S42" s="60">
        <v>15.0</v>
      </c>
      <c r="T42" s="60">
        <v>3.0</v>
      </c>
      <c r="U42" s="60">
        <v>15.0</v>
      </c>
      <c r="V42" s="60">
        <v>13.0</v>
      </c>
      <c r="W42" s="48">
        <v>11.0</v>
      </c>
      <c r="X42" s="60">
        <v>14.0</v>
      </c>
      <c r="Y42" s="48">
        <v>15.0</v>
      </c>
      <c r="Z42" s="60">
        <v>113.0</v>
      </c>
      <c r="AA42" s="85">
        <f t="shared" si="11"/>
        <v>4</v>
      </c>
      <c r="AB42" s="71" t="s">
        <v>11444</v>
      </c>
      <c r="AC42" s="86" t="s">
        <v>11454</v>
      </c>
      <c r="AD42" s="82" t="str">
        <f t="shared" si="12"/>
        <v>https://azizstan.net/studentcarev4/Students/Profile?id=23159</v>
      </c>
      <c r="AE42" s="47"/>
      <c r="AF42" s="47"/>
    </row>
    <row r="43" ht="24.0" customHeight="1">
      <c r="A43" s="48" t="s">
        <v>11440</v>
      </c>
      <c r="B43" s="58" t="s">
        <v>137</v>
      </c>
      <c r="C43" s="75" t="s">
        <v>9902</v>
      </c>
      <c r="D43" s="59" t="s">
        <v>11455</v>
      </c>
      <c r="E43" s="60" t="str">
        <f>IFERROR(__xludf.DUMMYFUNCTION("""COMPUTED_VALUE"""),"หญิง")</f>
        <v>หญิง</v>
      </c>
      <c r="F43" s="60"/>
      <c r="G43" s="60"/>
      <c r="H43" s="60"/>
      <c r="I43" s="62" t="s">
        <v>9902</v>
      </c>
      <c r="J43" s="60"/>
      <c r="K43" s="60"/>
      <c r="L43" s="63" t="str">
        <f t="shared" si="10"/>
        <v>(22960)นางสาวอัสมะฮ์ หมะอุเส็น_หญิง</v>
      </c>
      <c r="M43" s="83" t="s">
        <v>11393</v>
      </c>
      <c r="N43" s="84" t="s">
        <v>11456</v>
      </c>
      <c r="O43" s="60" t="s">
        <v>944</v>
      </c>
      <c r="P43" s="60" t="s">
        <v>944</v>
      </c>
      <c r="Q43" s="60">
        <v>13.0</v>
      </c>
      <c r="R43" s="60">
        <v>15.0</v>
      </c>
      <c r="S43" s="60">
        <v>13.0</v>
      </c>
      <c r="T43" s="60">
        <v>5.0</v>
      </c>
      <c r="U43" s="60">
        <v>15.0</v>
      </c>
      <c r="V43" s="60">
        <v>15.0</v>
      </c>
      <c r="W43" s="48">
        <v>11.0</v>
      </c>
      <c r="X43" s="60">
        <v>11.0</v>
      </c>
      <c r="Y43" s="48">
        <v>14.0</v>
      </c>
      <c r="Z43" s="60">
        <v>112.0</v>
      </c>
      <c r="AA43" s="85">
        <f t="shared" si="11"/>
        <v>5</v>
      </c>
      <c r="AB43" s="71" t="s">
        <v>11444</v>
      </c>
      <c r="AC43" s="60" t="s">
        <v>11454</v>
      </c>
      <c r="AD43" s="82" t="str">
        <f t="shared" si="12"/>
        <v>https://azizstan.net/studentcarev4/Students/Profile?id=22960</v>
      </c>
      <c r="AE43" s="47"/>
      <c r="AF43" s="47"/>
    </row>
    <row r="44" ht="24.0" customHeight="1">
      <c r="A44" s="48" t="s">
        <v>11440</v>
      </c>
      <c r="B44" s="58" t="s">
        <v>144</v>
      </c>
      <c r="C44" s="62" t="s">
        <v>10041</v>
      </c>
      <c r="D44" s="59" t="s">
        <v>11457</v>
      </c>
      <c r="E44" s="60" t="str">
        <f>IFERROR(__xludf.DUMMYFUNCTION("""COMPUTED_VALUE"""),"หญิง")</f>
        <v>หญิง</v>
      </c>
      <c r="F44" s="60"/>
      <c r="G44" s="60"/>
      <c r="H44" s="60"/>
      <c r="I44" s="62" t="s">
        <v>10041</v>
      </c>
      <c r="J44" s="60"/>
      <c r="K44" s="60"/>
      <c r="L44" s="63" t="str">
        <f t="shared" si="10"/>
        <v>(22961)นางสาวซัซวานา เจ๊ะดาโอะ_หญิง</v>
      </c>
      <c r="M44" s="83" t="s">
        <v>11452</v>
      </c>
      <c r="N44" s="84" t="s">
        <v>11458</v>
      </c>
      <c r="O44" s="60" t="s">
        <v>944</v>
      </c>
      <c r="P44" s="60" t="s">
        <v>944</v>
      </c>
      <c r="Q44" s="60">
        <v>15.0</v>
      </c>
      <c r="R44" s="60">
        <v>13.0</v>
      </c>
      <c r="S44" s="60">
        <v>13.0</v>
      </c>
      <c r="T44" s="60">
        <v>3.0</v>
      </c>
      <c r="U44" s="60">
        <v>15.0</v>
      </c>
      <c r="V44" s="60">
        <v>15.0</v>
      </c>
      <c r="W44" s="48">
        <v>11.0</v>
      </c>
      <c r="X44" s="48">
        <v>13.0</v>
      </c>
      <c r="Y44" s="48">
        <v>14.0</v>
      </c>
      <c r="Z44" s="60">
        <v>112.0</v>
      </c>
      <c r="AA44" s="85">
        <f t="shared" si="11"/>
        <v>5</v>
      </c>
      <c r="AB44" s="71" t="s">
        <v>11444</v>
      </c>
      <c r="AC44" s="60" t="s">
        <v>11454</v>
      </c>
      <c r="AD44" s="82" t="str">
        <f t="shared" si="12"/>
        <v>https://azizstan.net/studentcarev4/Students/Profile?id=22961</v>
      </c>
      <c r="AE44" s="47"/>
      <c r="AF44" s="47"/>
    </row>
    <row r="45" ht="24.0" customHeight="1">
      <c r="A45" s="48" t="s">
        <v>11440</v>
      </c>
      <c r="B45" s="58" t="s">
        <v>148</v>
      </c>
      <c r="C45" s="75" t="s">
        <v>11459</v>
      </c>
      <c r="D45" s="59" t="s">
        <v>11460</v>
      </c>
      <c r="E45" s="60" t="str">
        <f>IFERROR(__xludf.DUMMYFUNCTION("""COMPUTED_VALUE"""),"หญิง")</f>
        <v>หญิง</v>
      </c>
      <c r="F45" s="60"/>
      <c r="G45" s="60"/>
      <c r="H45" s="60"/>
      <c r="I45" s="62" t="s">
        <v>11459</v>
      </c>
      <c r="J45" s="60"/>
      <c r="K45" s="60"/>
      <c r="L45" s="63" t="str">
        <f t="shared" si="10"/>
        <v>(23529)นางสาวมานาล บาฮะ_หญิง</v>
      </c>
      <c r="M45" s="83" t="s">
        <v>11461</v>
      </c>
      <c r="N45" s="84" t="s">
        <v>11462</v>
      </c>
      <c r="O45" s="60" t="s">
        <v>944</v>
      </c>
      <c r="P45" s="60" t="s">
        <v>944</v>
      </c>
      <c r="Q45" s="60">
        <v>11.0</v>
      </c>
      <c r="R45" s="60">
        <v>12.0</v>
      </c>
      <c r="S45" s="60">
        <v>15.0</v>
      </c>
      <c r="T45" s="60">
        <v>5.0</v>
      </c>
      <c r="U45" s="60">
        <v>15.0</v>
      </c>
      <c r="V45" s="60">
        <v>14.0</v>
      </c>
      <c r="W45" s="48">
        <v>13.0</v>
      </c>
      <c r="X45" s="60">
        <v>11.0</v>
      </c>
      <c r="Y45" s="48">
        <v>15.0</v>
      </c>
      <c r="Z45" s="60">
        <v>111.0</v>
      </c>
      <c r="AA45" s="85">
        <f t="shared" si="11"/>
        <v>7</v>
      </c>
      <c r="AB45" s="71" t="s">
        <v>11444</v>
      </c>
      <c r="AC45" s="60" t="s">
        <v>11454</v>
      </c>
      <c r="AD45" s="82" t="str">
        <f t="shared" si="12"/>
        <v>https://azizstan.net/studentcarev4/Students/Profile?id=23529</v>
      </c>
      <c r="AE45" s="47"/>
      <c r="AF45" s="47"/>
    </row>
    <row r="46" ht="24.0" customHeight="1">
      <c r="A46" s="48" t="s">
        <v>11440</v>
      </c>
      <c r="B46" s="58" t="s">
        <v>151</v>
      </c>
      <c r="C46" s="62" t="s">
        <v>898</v>
      </c>
      <c r="D46" s="59" t="s">
        <v>11463</v>
      </c>
      <c r="E46" s="60" t="str">
        <f>IFERROR(__xludf.DUMMYFUNCTION("""COMPUTED_VALUE"""),"หญิง")</f>
        <v>หญิง</v>
      </c>
      <c r="F46" s="60"/>
      <c r="G46" s="60"/>
      <c r="H46" s="60"/>
      <c r="I46" s="62" t="s">
        <v>898</v>
      </c>
      <c r="J46" s="60"/>
      <c r="K46" s="60"/>
      <c r="L46" s="63" t="str">
        <f t="shared" si="10"/>
        <v>(23388)นางสาวสุพัตรา กูนิง_หญิง</v>
      </c>
      <c r="M46" s="83" t="s">
        <v>11442</v>
      </c>
      <c r="N46" s="84" t="s">
        <v>11464</v>
      </c>
      <c r="O46" s="60" t="s">
        <v>944</v>
      </c>
      <c r="P46" s="60" t="s">
        <v>944</v>
      </c>
      <c r="Q46" s="60">
        <v>14.0</v>
      </c>
      <c r="R46" s="60">
        <v>15.0</v>
      </c>
      <c r="S46" s="60">
        <v>11.0</v>
      </c>
      <c r="T46" s="60">
        <v>3.0</v>
      </c>
      <c r="U46" s="60">
        <v>15.0</v>
      </c>
      <c r="V46" s="60">
        <v>14.0</v>
      </c>
      <c r="W46" s="48">
        <v>11.0</v>
      </c>
      <c r="X46" s="60">
        <v>14.0</v>
      </c>
      <c r="Y46" s="48">
        <v>14.0</v>
      </c>
      <c r="Z46" s="60">
        <v>111.0</v>
      </c>
      <c r="AA46" s="85">
        <f t="shared" si="11"/>
        <v>7</v>
      </c>
      <c r="AB46" s="71" t="s">
        <v>11444</v>
      </c>
      <c r="AC46" s="60" t="s">
        <v>11454</v>
      </c>
      <c r="AD46" s="82" t="str">
        <f t="shared" si="12"/>
        <v>https://azizstan.net/studentcarev4/Students/Profile?id=23388</v>
      </c>
      <c r="AE46" s="47"/>
      <c r="AF46" s="47"/>
    </row>
    <row r="47" ht="24.0" customHeight="1">
      <c r="A47" s="48" t="s">
        <v>11440</v>
      </c>
      <c r="B47" s="58" t="s">
        <v>734</v>
      </c>
      <c r="C47" s="75" t="s">
        <v>40</v>
      </c>
      <c r="D47" s="59" t="s">
        <v>11465</v>
      </c>
      <c r="E47" s="60" t="str">
        <f>IFERROR(__xludf.DUMMYFUNCTION("""COMPUTED_VALUE"""),"หญิง")</f>
        <v>หญิง</v>
      </c>
      <c r="F47" s="60"/>
      <c r="G47" s="60"/>
      <c r="H47" s="60"/>
      <c r="I47" s="62" t="s">
        <v>40</v>
      </c>
      <c r="J47" s="60"/>
      <c r="K47" s="60"/>
      <c r="L47" s="63" t="str">
        <f t="shared" si="10"/>
        <v>(23358)นางสาวนุรฮามีมี กุโน_หญิง</v>
      </c>
      <c r="M47" s="83" t="s">
        <v>11421</v>
      </c>
      <c r="N47" s="84" t="s">
        <v>11466</v>
      </c>
      <c r="O47" s="60" t="s">
        <v>944</v>
      </c>
      <c r="P47" s="60" t="s">
        <v>944</v>
      </c>
      <c r="Q47" s="60">
        <v>13.0</v>
      </c>
      <c r="R47" s="60">
        <v>13.0</v>
      </c>
      <c r="S47" s="60">
        <v>10.0</v>
      </c>
      <c r="T47" s="60">
        <v>3.0</v>
      </c>
      <c r="U47" s="60">
        <v>15.0</v>
      </c>
      <c r="V47" s="60">
        <v>15.0</v>
      </c>
      <c r="W47" s="48">
        <v>13.0</v>
      </c>
      <c r="X47" s="60">
        <v>13.0</v>
      </c>
      <c r="Y47" s="48">
        <v>14.0</v>
      </c>
      <c r="Z47" s="60">
        <v>109.0</v>
      </c>
      <c r="AA47" s="85">
        <f t="shared" si="11"/>
        <v>9</v>
      </c>
      <c r="AB47" s="71" t="s">
        <v>11444</v>
      </c>
      <c r="AC47" s="60" t="s">
        <v>11454</v>
      </c>
      <c r="AD47" s="82" t="str">
        <f t="shared" si="12"/>
        <v>https://azizstan.net/studentcarev4/Students/Profile?id=23358</v>
      </c>
      <c r="AE47" s="47"/>
      <c r="AF47" s="47"/>
    </row>
    <row r="48" ht="24.0" customHeight="1">
      <c r="A48" s="48" t="s">
        <v>11440</v>
      </c>
      <c r="B48" s="58" t="s">
        <v>831</v>
      </c>
      <c r="C48" s="75" t="s">
        <v>10288</v>
      </c>
      <c r="D48" s="59" t="s">
        <v>11467</v>
      </c>
      <c r="E48" s="60" t="str">
        <f>IFERROR(__xludf.DUMMYFUNCTION("""COMPUTED_VALUE"""),"หญิง")</f>
        <v>หญิง</v>
      </c>
      <c r="F48" s="60"/>
      <c r="G48" s="60"/>
      <c r="H48" s="60"/>
      <c r="I48" s="62" t="s">
        <v>10288</v>
      </c>
      <c r="J48" s="60"/>
      <c r="K48" s="60"/>
      <c r="L48" s="63" t="str">
        <f t="shared" si="10"/>
        <v>(24693)นางสาวนันทิตา มุสตาฟา_หญิง</v>
      </c>
      <c r="M48" s="87" t="s">
        <v>11393</v>
      </c>
      <c r="N48" s="84" t="s">
        <v>11468</v>
      </c>
      <c r="O48" s="60" t="s">
        <v>944</v>
      </c>
      <c r="P48" s="60" t="s">
        <v>944</v>
      </c>
      <c r="Q48" s="60">
        <v>12.0</v>
      </c>
      <c r="R48" s="60">
        <v>12.0</v>
      </c>
      <c r="S48" s="60">
        <v>12.0</v>
      </c>
      <c r="T48" s="60">
        <v>3.0</v>
      </c>
      <c r="U48" s="60">
        <v>15.0</v>
      </c>
      <c r="V48" s="60">
        <v>14.0</v>
      </c>
      <c r="W48" s="48">
        <v>11.0</v>
      </c>
      <c r="X48" s="60">
        <v>14.0</v>
      </c>
      <c r="Y48" s="48">
        <v>14.0</v>
      </c>
      <c r="Z48" s="60">
        <v>107.0</v>
      </c>
      <c r="AA48" s="85">
        <f t="shared" si="11"/>
        <v>10</v>
      </c>
      <c r="AB48" s="71" t="s">
        <v>11444</v>
      </c>
      <c r="AC48" s="60" t="s">
        <v>11454</v>
      </c>
      <c r="AD48" s="82" t="str">
        <f t="shared" si="12"/>
        <v>https://azizstan.net/studentcarev4/Students/Profile?id=24693</v>
      </c>
      <c r="AE48" s="47"/>
      <c r="AF48" s="47"/>
    </row>
    <row r="49" ht="24.0" customHeight="1">
      <c r="A49" s="48" t="s">
        <v>11440</v>
      </c>
      <c r="B49" s="58" t="s">
        <v>833</v>
      </c>
      <c r="C49" s="62" t="s">
        <v>10270</v>
      </c>
      <c r="D49" s="59" t="s">
        <v>11469</v>
      </c>
      <c r="E49" s="60" t="str">
        <f>IFERROR(__xludf.DUMMYFUNCTION("""COMPUTED_VALUE"""),"หญิง")</f>
        <v>หญิง</v>
      </c>
      <c r="F49" s="60"/>
      <c r="G49" s="60"/>
      <c r="H49" s="60"/>
      <c r="I49" s="62" t="s">
        <v>10270</v>
      </c>
      <c r="J49" s="60"/>
      <c r="K49" s="60"/>
      <c r="L49" s="63" t="str">
        <f t="shared" si="10"/>
        <v>(23019)นางสาวนูรอามาลีนา เมาตี_หญิง</v>
      </c>
      <c r="M49" s="83" t="s">
        <v>11470</v>
      </c>
      <c r="N49" s="84" t="s">
        <v>11471</v>
      </c>
      <c r="O49" s="60" t="s">
        <v>944</v>
      </c>
      <c r="P49" s="60" t="s">
        <v>944</v>
      </c>
      <c r="Q49" s="60">
        <v>11.0</v>
      </c>
      <c r="R49" s="60">
        <v>12.0</v>
      </c>
      <c r="S49" s="60">
        <v>15.0</v>
      </c>
      <c r="T49" s="60">
        <v>2.0</v>
      </c>
      <c r="U49" s="60">
        <v>15.0</v>
      </c>
      <c r="V49" s="60">
        <v>15.0</v>
      </c>
      <c r="W49" s="48">
        <v>12.0</v>
      </c>
      <c r="X49" s="60">
        <v>12.0</v>
      </c>
      <c r="Y49" s="48">
        <v>12.0</v>
      </c>
      <c r="Z49" s="60">
        <v>106.0</v>
      </c>
      <c r="AA49" s="85">
        <f t="shared" si="11"/>
        <v>11</v>
      </c>
      <c r="AB49" s="71" t="s">
        <v>11444</v>
      </c>
      <c r="AC49" s="60" t="s">
        <v>11454</v>
      </c>
      <c r="AD49" s="82" t="str">
        <f t="shared" si="12"/>
        <v>https://azizstan.net/studentcarev4/Students/Profile?id=23019</v>
      </c>
      <c r="AE49" s="47"/>
      <c r="AF49" s="47"/>
    </row>
    <row r="50" ht="24.0" customHeight="1">
      <c r="A50" s="48" t="s">
        <v>11440</v>
      </c>
      <c r="B50" s="58" t="s">
        <v>811</v>
      </c>
      <c r="C50" s="75" t="s">
        <v>10595</v>
      </c>
      <c r="D50" s="59" t="s">
        <v>11472</v>
      </c>
      <c r="E50" s="60" t="str">
        <f>IFERROR(__xludf.DUMMYFUNCTION("""COMPUTED_VALUE"""),"หญิง")</f>
        <v>หญิง</v>
      </c>
      <c r="F50" s="60"/>
      <c r="G50" s="60"/>
      <c r="H50" s="60"/>
      <c r="I50" s="62" t="s">
        <v>10595</v>
      </c>
      <c r="J50" s="60"/>
      <c r="K50" s="60"/>
      <c r="L50" s="63" t="str">
        <f>"("&amp; #REF!&amp;")"&amp;D50&amp;"_"&amp;E50</f>
        <v>#REF!</v>
      </c>
      <c r="M50" s="83" t="s">
        <v>11470</v>
      </c>
      <c r="N50" s="84" t="s">
        <v>11473</v>
      </c>
      <c r="O50" s="60" t="s">
        <v>944</v>
      </c>
      <c r="P50" s="60" t="s">
        <v>944</v>
      </c>
      <c r="Q50" s="60">
        <v>13.0</v>
      </c>
      <c r="R50" s="60">
        <v>12.0</v>
      </c>
      <c r="S50" s="60">
        <v>13.0</v>
      </c>
      <c r="T50" s="60">
        <v>5.0</v>
      </c>
      <c r="U50" s="60">
        <v>15.0</v>
      </c>
      <c r="V50" s="60">
        <v>13.0</v>
      </c>
      <c r="W50" s="48">
        <v>11.0</v>
      </c>
      <c r="X50" s="60">
        <v>12.0</v>
      </c>
      <c r="Y50" s="48">
        <v>12.0</v>
      </c>
      <c r="Z50" s="60">
        <v>106.0</v>
      </c>
      <c r="AA50" s="85">
        <f t="shared" si="11"/>
        <v>11</v>
      </c>
      <c r="AB50" s="71" t="s">
        <v>11444</v>
      </c>
      <c r="AC50" s="60" t="s">
        <v>11454</v>
      </c>
      <c r="AD50" s="72" t="str">
        <f>"https://azizstan.net/studentcarev4/Students/Profile?id="&amp;#REF!</f>
        <v>#REF!</v>
      </c>
      <c r="AE50" s="47"/>
      <c r="AF50" s="47"/>
    </row>
    <row r="51" ht="24.0" customHeight="1">
      <c r="A51" s="48" t="s">
        <v>11440</v>
      </c>
      <c r="B51" s="58" t="s">
        <v>838</v>
      </c>
      <c r="C51" s="75" t="s">
        <v>10232</v>
      </c>
      <c r="D51" s="59" t="s">
        <v>11474</v>
      </c>
      <c r="E51" s="60" t="str">
        <f>IFERROR(__xludf.DUMMYFUNCTION("""COMPUTED_VALUE"""),"หญิง")</f>
        <v>หญิง</v>
      </c>
      <c r="F51" s="60"/>
      <c r="G51" s="60"/>
      <c r="H51" s="60"/>
      <c r="I51" s="62" t="s">
        <v>10232</v>
      </c>
      <c r="J51" s="60"/>
      <c r="K51" s="60"/>
      <c r="L51" s="63" t="str">
        <f t="shared" ref="L51:L92" si="13">"("&amp; C50&amp;")"&amp;D51&amp;"_"&amp;E51</f>
        <v>(22788)นางสาวนุรนัสรีณา เจ๊ะแว_หญิง</v>
      </c>
      <c r="M51" s="83" t="s">
        <v>11442</v>
      </c>
      <c r="N51" s="84" t="s">
        <v>11475</v>
      </c>
      <c r="O51" s="60" t="s">
        <v>944</v>
      </c>
      <c r="P51" s="60" t="s">
        <v>944</v>
      </c>
      <c r="Q51" s="60">
        <v>14.0</v>
      </c>
      <c r="R51" s="60">
        <v>11.0</v>
      </c>
      <c r="S51" s="60">
        <v>7.0</v>
      </c>
      <c r="T51" s="60">
        <v>3.0</v>
      </c>
      <c r="U51" s="60">
        <v>14.0</v>
      </c>
      <c r="V51" s="60">
        <v>15.0</v>
      </c>
      <c r="W51" s="48">
        <v>13.0</v>
      </c>
      <c r="X51" s="60">
        <v>13.0</v>
      </c>
      <c r="Y51" s="48">
        <v>15.0</v>
      </c>
      <c r="Z51" s="60">
        <v>105.0</v>
      </c>
      <c r="AA51" s="85">
        <f t="shared" si="11"/>
        <v>13</v>
      </c>
      <c r="AB51" s="71" t="s">
        <v>11444</v>
      </c>
      <c r="AC51" s="60" t="s">
        <v>11454</v>
      </c>
      <c r="AD51" s="82" t="str">
        <f t="shared" ref="AD51:AD87" si="14">"https://azizstan.net/studentcarev4/Students/Profile?id="&amp;C50</f>
        <v>https://azizstan.net/studentcarev4/Students/Profile?id=22788</v>
      </c>
      <c r="AE51" s="47"/>
      <c r="AF51" s="47"/>
    </row>
    <row r="52" ht="24.0" customHeight="1">
      <c r="A52" s="48" t="s">
        <v>11440</v>
      </c>
      <c r="B52" s="58" t="s">
        <v>840</v>
      </c>
      <c r="C52" s="75" t="s">
        <v>10400</v>
      </c>
      <c r="D52" s="59" t="s">
        <v>11476</v>
      </c>
      <c r="E52" s="60" t="str">
        <f>IFERROR(__xludf.DUMMYFUNCTION("""COMPUTED_VALUE"""),"หญิง")</f>
        <v>หญิง</v>
      </c>
      <c r="F52" s="60"/>
      <c r="G52" s="60"/>
      <c r="H52" s="60"/>
      <c r="I52" s="62" t="s">
        <v>10400</v>
      </c>
      <c r="J52" s="60"/>
      <c r="K52" s="60"/>
      <c r="L52" s="63" t="str">
        <f t="shared" si="13"/>
        <v>(22696)นางสาวซะห์เร๊าะห์ รือแม_หญิง</v>
      </c>
      <c r="M52" s="83" t="s">
        <v>11393</v>
      </c>
      <c r="N52" s="84" t="s">
        <v>11477</v>
      </c>
      <c r="O52" s="60" t="s">
        <v>944</v>
      </c>
      <c r="P52" s="60" t="s">
        <v>944</v>
      </c>
      <c r="Q52" s="60">
        <v>12.0</v>
      </c>
      <c r="R52" s="60">
        <v>11.0</v>
      </c>
      <c r="S52" s="60">
        <v>13.0</v>
      </c>
      <c r="T52" s="60">
        <v>3.0</v>
      </c>
      <c r="U52" s="60">
        <v>15.0</v>
      </c>
      <c r="V52" s="60">
        <v>13.0</v>
      </c>
      <c r="W52" s="48">
        <v>11.0</v>
      </c>
      <c r="X52" s="60">
        <v>13.0</v>
      </c>
      <c r="Y52" s="48">
        <v>14.0</v>
      </c>
      <c r="Z52" s="60">
        <v>105.0</v>
      </c>
      <c r="AA52" s="85">
        <f t="shared" si="11"/>
        <v>13</v>
      </c>
      <c r="AB52" s="71" t="s">
        <v>11444</v>
      </c>
      <c r="AC52" s="60" t="s">
        <v>11454</v>
      </c>
      <c r="AD52" s="82" t="str">
        <f t="shared" si="14"/>
        <v>https://azizstan.net/studentcarev4/Students/Profile?id=22696</v>
      </c>
      <c r="AE52" s="47"/>
      <c r="AF52" s="47"/>
    </row>
    <row r="53" ht="24.0" customHeight="1">
      <c r="A53" s="48" t="s">
        <v>11440</v>
      </c>
      <c r="B53" s="58" t="s">
        <v>842</v>
      </c>
      <c r="C53" s="62" t="s">
        <v>10136</v>
      </c>
      <c r="D53" s="59" t="s">
        <v>11478</v>
      </c>
      <c r="E53" s="60" t="str">
        <f>IFERROR(__xludf.DUMMYFUNCTION("""COMPUTED_VALUE"""),"หญิง")</f>
        <v>หญิง</v>
      </c>
      <c r="F53" s="60"/>
      <c r="G53" s="60"/>
      <c r="H53" s="60"/>
      <c r="I53" s="62" t="s">
        <v>10136</v>
      </c>
      <c r="J53" s="60"/>
      <c r="K53" s="60"/>
      <c r="L53" s="63" t="str">
        <f t="shared" si="13"/>
        <v>(24684)นางสาวจัสมิน เบ็ญอาหลี_หญิง</v>
      </c>
      <c r="M53" s="83" t="s">
        <v>11442</v>
      </c>
      <c r="N53" s="84" t="s">
        <v>11479</v>
      </c>
      <c r="O53" s="60" t="s">
        <v>944</v>
      </c>
      <c r="P53" s="60" t="s">
        <v>944</v>
      </c>
      <c r="Q53" s="60">
        <v>11.0</v>
      </c>
      <c r="R53" s="60">
        <v>12.0</v>
      </c>
      <c r="S53" s="60">
        <v>12.0</v>
      </c>
      <c r="T53" s="60">
        <v>3.0</v>
      </c>
      <c r="U53" s="60">
        <v>15.0</v>
      </c>
      <c r="V53" s="60">
        <v>12.0</v>
      </c>
      <c r="W53" s="48">
        <v>11.0</v>
      </c>
      <c r="X53" s="60">
        <v>14.0</v>
      </c>
      <c r="Y53" s="48">
        <v>14.0</v>
      </c>
      <c r="Z53" s="60">
        <v>104.0</v>
      </c>
      <c r="AA53" s="85">
        <f t="shared" si="11"/>
        <v>15</v>
      </c>
      <c r="AB53" s="71" t="s">
        <v>11444</v>
      </c>
      <c r="AC53" s="60" t="s">
        <v>11454</v>
      </c>
      <c r="AD53" s="82" t="str">
        <f t="shared" si="14"/>
        <v>https://azizstan.net/studentcarev4/Students/Profile?id=24684</v>
      </c>
      <c r="AE53" s="47"/>
      <c r="AF53" s="47"/>
    </row>
    <row r="54" ht="24.0" customHeight="1">
      <c r="A54" s="48" t="s">
        <v>11440</v>
      </c>
      <c r="B54" s="58" t="s">
        <v>844</v>
      </c>
      <c r="C54" s="62" t="s">
        <v>10196</v>
      </c>
      <c r="D54" s="59" t="s">
        <v>11480</v>
      </c>
      <c r="E54" s="60" t="str">
        <f>IFERROR(__xludf.DUMMYFUNCTION("""COMPUTED_VALUE"""),"หญิง")</f>
        <v>หญิง</v>
      </c>
      <c r="F54" s="60"/>
      <c r="G54" s="60"/>
      <c r="H54" s="60"/>
      <c r="I54" s="62" t="s">
        <v>10196</v>
      </c>
      <c r="J54" s="60"/>
      <c r="K54" s="60"/>
      <c r="L54" s="63" t="str">
        <f t="shared" si="13"/>
        <v>(22668)นางสาวอะรีนา ลาไหน_หญิง</v>
      </c>
      <c r="M54" s="83" t="s">
        <v>11449</v>
      </c>
      <c r="N54" s="84" t="s">
        <v>11481</v>
      </c>
      <c r="O54" s="60" t="s">
        <v>944</v>
      </c>
      <c r="P54" s="60" t="s">
        <v>944</v>
      </c>
      <c r="Q54" s="60">
        <v>13.0</v>
      </c>
      <c r="R54" s="60">
        <v>11.0</v>
      </c>
      <c r="S54" s="60">
        <v>12.0</v>
      </c>
      <c r="T54" s="60">
        <v>2.0</v>
      </c>
      <c r="U54" s="60">
        <v>14.0</v>
      </c>
      <c r="V54" s="60">
        <v>14.0</v>
      </c>
      <c r="W54" s="48">
        <v>11.0</v>
      </c>
      <c r="X54" s="60">
        <v>11.0</v>
      </c>
      <c r="Y54" s="48">
        <v>14.0</v>
      </c>
      <c r="Z54" s="60">
        <v>102.0</v>
      </c>
      <c r="AA54" s="85">
        <f t="shared" si="11"/>
        <v>16</v>
      </c>
      <c r="AB54" s="71" t="s">
        <v>11444</v>
      </c>
      <c r="AC54" s="60" t="s">
        <v>11454</v>
      </c>
      <c r="AD54" s="82" t="str">
        <f t="shared" si="14"/>
        <v>https://azizstan.net/studentcarev4/Students/Profile?id=22668</v>
      </c>
      <c r="AE54" s="47"/>
      <c r="AF54" s="47"/>
    </row>
    <row r="55" ht="24.0" customHeight="1">
      <c r="A55" s="48" t="s">
        <v>11440</v>
      </c>
      <c r="B55" s="58" t="s">
        <v>846</v>
      </c>
      <c r="C55" s="75" t="s">
        <v>900</v>
      </c>
      <c r="D55" s="59" t="s">
        <v>11482</v>
      </c>
      <c r="E55" s="60" t="str">
        <f>IFERROR(__xludf.DUMMYFUNCTION("""COMPUTED_VALUE"""),"หญิง")</f>
        <v>หญิง</v>
      </c>
      <c r="F55" s="60"/>
      <c r="G55" s="60"/>
      <c r="H55" s="60"/>
      <c r="I55" s="62" t="s">
        <v>900</v>
      </c>
      <c r="J55" s="60"/>
      <c r="K55" s="60"/>
      <c r="L55" s="63" t="str">
        <f t="shared" si="13"/>
        <v>(23040)นางสาวนูรอามาลียา เมาตี_หญิง</v>
      </c>
      <c r="M55" s="83" t="s">
        <v>11470</v>
      </c>
      <c r="N55" s="84" t="s">
        <v>11483</v>
      </c>
      <c r="O55" s="60" t="s">
        <v>944</v>
      </c>
      <c r="P55" s="60" t="s">
        <v>944</v>
      </c>
      <c r="Q55" s="60">
        <v>13.0</v>
      </c>
      <c r="R55" s="60">
        <v>14.0</v>
      </c>
      <c r="S55" s="60">
        <v>13.0</v>
      </c>
      <c r="T55" s="60">
        <v>2.0</v>
      </c>
      <c r="U55" s="60">
        <v>15.0</v>
      </c>
      <c r="V55" s="60">
        <v>15.0</v>
      </c>
      <c r="W55" s="48">
        <v>12.0</v>
      </c>
      <c r="X55" s="60">
        <v>7.0</v>
      </c>
      <c r="Y55" s="48">
        <v>11.0</v>
      </c>
      <c r="Z55" s="60">
        <v>102.0</v>
      </c>
      <c r="AA55" s="85">
        <f t="shared" si="11"/>
        <v>16</v>
      </c>
      <c r="AB55" s="71" t="s">
        <v>11444</v>
      </c>
      <c r="AC55" s="60" t="s">
        <v>11454</v>
      </c>
      <c r="AD55" s="82" t="str">
        <f t="shared" si="14"/>
        <v>https://azizstan.net/studentcarev4/Students/Profile?id=23040</v>
      </c>
      <c r="AE55" s="47"/>
      <c r="AF55" s="47"/>
    </row>
    <row r="56" ht="24.0" customHeight="1">
      <c r="A56" s="48" t="s">
        <v>11440</v>
      </c>
      <c r="B56" s="58" t="s">
        <v>848</v>
      </c>
      <c r="C56" s="75" t="s">
        <v>893</v>
      </c>
      <c r="D56" s="59" t="s">
        <v>11484</v>
      </c>
      <c r="E56" s="60" t="str">
        <f>IFERROR(__xludf.DUMMYFUNCTION("""COMPUTED_VALUE"""),"หญิง")</f>
        <v>หญิง</v>
      </c>
      <c r="F56" s="60"/>
      <c r="G56" s="60"/>
      <c r="H56" s="60"/>
      <c r="I56" s="62" t="s">
        <v>893</v>
      </c>
      <c r="J56" s="60"/>
      <c r="K56" s="60"/>
      <c r="L56" s="63" t="str">
        <f t="shared" si="13"/>
        <v>(23451)นางสาวสิรัญยา พันธุสะ_หญิง</v>
      </c>
      <c r="M56" s="83" t="s">
        <v>11421</v>
      </c>
      <c r="N56" s="84" t="s">
        <v>11485</v>
      </c>
      <c r="O56" s="60" t="s">
        <v>944</v>
      </c>
      <c r="P56" s="60" t="s">
        <v>944</v>
      </c>
      <c r="Q56" s="60">
        <v>14.0</v>
      </c>
      <c r="R56" s="60">
        <v>12.0</v>
      </c>
      <c r="S56" s="60">
        <v>11.0</v>
      </c>
      <c r="T56" s="60">
        <v>2.0</v>
      </c>
      <c r="U56" s="60">
        <v>14.0</v>
      </c>
      <c r="V56" s="60">
        <v>13.0</v>
      </c>
      <c r="W56" s="48">
        <v>11.0</v>
      </c>
      <c r="X56" s="60">
        <v>13.0</v>
      </c>
      <c r="Y56" s="48">
        <v>12.0</v>
      </c>
      <c r="Z56" s="60">
        <v>102.0</v>
      </c>
      <c r="AA56" s="85">
        <f t="shared" si="11"/>
        <v>16</v>
      </c>
      <c r="AB56" s="71" t="s">
        <v>11444</v>
      </c>
      <c r="AC56" s="60" t="s">
        <v>11454</v>
      </c>
      <c r="AD56" s="82" t="str">
        <f t="shared" si="14"/>
        <v>https://azizstan.net/studentcarev4/Students/Profile?id=23451</v>
      </c>
      <c r="AE56" s="47"/>
      <c r="AF56" s="47"/>
    </row>
    <row r="57" ht="24.0" customHeight="1">
      <c r="A57" s="48" t="s">
        <v>11440</v>
      </c>
      <c r="B57" s="58" t="s">
        <v>850</v>
      </c>
      <c r="C57" s="75" t="s">
        <v>10385</v>
      </c>
      <c r="D57" s="59" t="s">
        <v>11486</v>
      </c>
      <c r="E57" s="60" t="str">
        <f>IFERROR(__xludf.DUMMYFUNCTION("""COMPUTED_VALUE"""),"หญิง")</f>
        <v>หญิง</v>
      </c>
      <c r="F57" s="60"/>
      <c r="G57" s="60"/>
      <c r="H57" s="60"/>
      <c r="I57" s="62" t="s">
        <v>10385</v>
      </c>
      <c r="J57" s="60"/>
      <c r="K57" s="60"/>
      <c r="L57" s="63" t="str">
        <f t="shared" si="13"/>
        <v>(23845)นางสาวซาบีเราะห์ มะดีเยาะ_หญิง</v>
      </c>
      <c r="M57" s="83" t="s">
        <v>11470</v>
      </c>
      <c r="N57" s="84" t="s">
        <v>11487</v>
      </c>
      <c r="O57" s="60" t="s">
        <v>944</v>
      </c>
      <c r="P57" s="60" t="s">
        <v>944</v>
      </c>
      <c r="Q57" s="60">
        <v>13.0</v>
      </c>
      <c r="R57" s="60">
        <v>13.0</v>
      </c>
      <c r="S57" s="60">
        <v>14.0</v>
      </c>
      <c r="T57" s="60">
        <v>2.0</v>
      </c>
      <c r="U57" s="60">
        <v>15.0</v>
      </c>
      <c r="V57" s="60">
        <v>13.0</v>
      </c>
      <c r="W57" s="48">
        <v>13.0</v>
      </c>
      <c r="X57" s="60">
        <v>5.0</v>
      </c>
      <c r="Y57" s="48">
        <v>13.0</v>
      </c>
      <c r="Z57" s="60">
        <v>101.0</v>
      </c>
      <c r="AA57" s="85">
        <f t="shared" si="11"/>
        <v>19</v>
      </c>
      <c r="AB57" s="71" t="s">
        <v>11444</v>
      </c>
      <c r="AC57" s="60" t="s">
        <v>11454</v>
      </c>
      <c r="AD57" s="82" t="str">
        <f t="shared" si="14"/>
        <v>https://azizstan.net/studentcarev4/Students/Profile?id=23845</v>
      </c>
      <c r="AE57" s="47"/>
      <c r="AF57" s="47"/>
    </row>
    <row r="58" ht="24.0" customHeight="1">
      <c r="A58" s="48" t="s">
        <v>11440</v>
      </c>
      <c r="B58" s="58" t="s">
        <v>950</v>
      </c>
      <c r="C58" s="62" t="s">
        <v>10331</v>
      </c>
      <c r="D58" s="59" t="s">
        <v>11488</v>
      </c>
      <c r="E58" s="60" t="str">
        <f>IFERROR(__xludf.DUMMYFUNCTION("""COMPUTED_VALUE"""),"หญิง")</f>
        <v>หญิง</v>
      </c>
      <c r="F58" s="60"/>
      <c r="G58" s="60"/>
      <c r="H58" s="60"/>
      <c r="I58" s="62" t="s">
        <v>10331</v>
      </c>
      <c r="J58" s="60"/>
      <c r="K58" s="60"/>
      <c r="L58" s="63" t="str">
        <f t="shared" si="13"/>
        <v>(23137)นางสาวนูรีซัน อาบ๊ะ_หญิง</v>
      </c>
      <c r="M58" s="83" t="s">
        <v>11489</v>
      </c>
      <c r="N58" s="84" t="s">
        <v>11490</v>
      </c>
      <c r="O58" s="60" t="s">
        <v>944</v>
      </c>
      <c r="P58" s="60" t="s">
        <v>944</v>
      </c>
      <c r="Q58" s="60">
        <v>11.0</v>
      </c>
      <c r="R58" s="60">
        <v>9.0</v>
      </c>
      <c r="S58" s="60">
        <v>13.0</v>
      </c>
      <c r="T58" s="60">
        <v>2.0</v>
      </c>
      <c r="U58" s="60">
        <v>12.0</v>
      </c>
      <c r="V58" s="60">
        <v>14.0</v>
      </c>
      <c r="W58" s="48">
        <v>14.0</v>
      </c>
      <c r="X58" s="60">
        <v>14.0</v>
      </c>
      <c r="Y58" s="48">
        <v>12.0</v>
      </c>
      <c r="Z58" s="60">
        <v>101.0</v>
      </c>
      <c r="AA58" s="85">
        <f t="shared" si="11"/>
        <v>19</v>
      </c>
      <c r="AB58" s="71" t="s">
        <v>11444</v>
      </c>
      <c r="AC58" s="60" t="s">
        <v>11454</v>
      </c>
      <c r="AD58" s="82" t="str">
        <f t="shared" si="14"/>
        <v>https://azizstan.net/studentcarev4/Students/Profile?id=23137</v>
      </c>
      <c r="AE58" s="47"/>
      <c r="AF58" s="47"/>
    </row>
    <row r="59" ht="24.0" customHeight="1">
      <c r="A59" s="48" t="s">
        <v>11440</v>
      </c>
      <c r="B59" s="58" t="s">
        <v>853</v>
      </c>
      <c r="C59" s="75" t="s">
        <v>9938</v>
      </c>
      <c r="D59" s="59" t="s">
        <v>11491</v>
      </c>
      <c r="E59" s="60" t="str">
        <f>IFERROR(__xludf.DUMMYFUNCTION("""COMPUTED_VALUE"""),"หญิง")</f>
        <v>หญิง</v>
      </c>
      <c r="F59" s="60"/>
      <c r="G59" s="60"/>
      <c r="H59" s="60"/>
      <c r="I59" s="62" t="s">
        <v>9938</v>
      </c>
      <c r="J59" s="60"/>
      <c r="K59" s="60"/>
      <c r="L59" s="63" t="str">
        <f t="shared" si="13"/>
        <v>(22777)นางสาวซิลมี ปะจู_หญิง</v>
      </c>
      <c r="M59" s="83" t="s">
        <v>11449</v>
      </c>
      <c r="N59" s="84" t="s">
        <v>11492</v>
      </c>
      <c r="O59" s="60" t="s">
        <v>944</v>
      </c>
      <c r="P59" s="60" t="s">
        <v>944</v>
      </c>
      <c r="Q59" s="60">
        <v>13.0</v>
      </c>
      <c r="R59" s="60">
        <v>14.0</v>
      </c>
      <c r="S59" s="60">
        <v>14.0</v>
      </c>
      <c r="T59" s="60">
        <v>2.0</v>
      </c>
      <c r="U59" s="60">
        <v>15.0</v>
      </c>
      <c r="V59" s="60">
        <v>13.0</v>
      </c>
      <c r="W59" s="48">
        <v>11.0</v>
      </c>
      <c r="X59" s="60">
        <v>5.0</v>
      </c>
      <c r="Y59" s="48">
        <v>13.0</v>
      </c>
      <c r="Z59" s="60">
        <v>100.0</v>
      </c>
      <c r="AA59" s="85">
        <f t="shared" si="11"/>
        <v>21</v>
      </c>
      <c r="AB59" s="71" t="s">
        <v>11444</v>
      </c>
      <c r="AC59" s="60" t="s">
        <v>11454</v>
      </c>
      <c r="AD59" s="82" t="str">
        <f t="shared" si="14"/>
        <v>https://azizstan.net/studentcarev4/Students/Profile?id=22777</v>
      </c>
      <c r="AE59" s="47"/>
      <c r="AF59" s="47"/>
    </row>
    <row r="60" ht="24.0" customHeight="1">
      <c r="A60" s="48" t="s">
        <v>11440</v>
      </c>
      <c r="B60" s="58" t="s">
        <v>855</v>
      </c>
      <c r="C60" s="75" t="s">
        <v>9872</v>
      </c>
      <c r="D60" s="59" t="s">
        <v>11493</v>
      </c>
      <c r="E60" s="60" t="str">
        <f>IFERROR(__xludf.DUMMYFUNCTION("""COMPUTED_VALUE"""),"หญิง")</f>
        <v>หญิง</v>
      </c>
      <c r="F60" s="60"/>
      <c r="G60" s="60"/>
      <c r="H60" s="60"/>
      <c r="I60" s="62" t="s">
        <v>9872</v>
      </c>
      <c r="J60" s="60"/>
      <c r="K60" s="60"/>
      <c r="L60" s="63" t="str">
        <f t="shared" si="13"/>
        <v>(23315)นางสาวโรสนานิง อ่อนเวียง_หญิง</v>
      </c>
      <c r="M60" s="83" t="s">
        <v>11442</v>
      </c>
      <c r="N60" s="84" t="s">
        <v>11494</v>
      </c>
      <c r="O60" s="60" t="s">
        <v>944</v>
      </c>
      <c r="P60" s="60" t="s">
        <v>944</v>
      </c>
      <c r="Q60" s="60">
        <v>13.0</v>
      </c>
      <c r="R60" s="60">
        <v>11.0</v>
      </c>
      <c r="S60" s="60">
        <v>13.0</v>
      </c>
      <c r="T60" s="60">
        <v>2.0</v>
      </c>
      <c r="U60" s="60">
        <v>15.0</v>
      </c>
      <c r="V60" s="60">
        <v>14.0</v>
      </c>
      <c r="W60" s="48">
        <v>14.0</v>
      </c>
      <c r="X60" s="60">
        <v>5.0</v>
      </c>
      <c r="Y60" s="48">
        <v>13.0</v>
      </c>
      <c r="Z60" s="60">
        <v>100.0</v>
      </c>
      <c r="AA60" s="85">
        <f t="shared" si="11"/>
        <v>21</v>
      </c>
      <c r="AB60" s="71" t="s">
        <v>11444</v>
      </c>
      <c r="AC60" s="60" t="s">
        <v>11454</v>
      </c>
      <c r="AD60" s="82" t="str">
        <f t="shared" si="14"/>
        <v>https://azizstan.net/studentcarev4/Students/Profile?id=23315</v>
      </c>
      <c r="AE60" s="47"/>
      <c r="AF60" s="47"/>
    </row>
    <row r="61" ht="24.0" customHeight="1">
      <c r="A61" s="48" t="s">
        <v>11440</v>
      </c>
      <c r="B61" s="58" t="s">
        <v>793</v>
      </c>
      <c r="C61" s="62" t="s">
        <v>10044</v>
      </c>
      <c r="D61" s="59" t="s">
        <v>11495</v>
      </c>
      <c r="E61" s="60" t="str">
        <f>IFERROR(__xludf.DUMMYFUNCTION("""COMPUTED_VALUE"""),"หญิง")</f>
        <v>หญิง</v>
      </c>
      <c r="F61" s="60"/>
      <c r="G61" s="60"/>
      <c r="H61" s="60"/>
      <c r="I61" s="62" t="s">
        <v>10044</v>
      </c>
      <c r="J61" s="60"/>
      <c r="K61" s="60"/>
      <c r="L61" s="63" t="str">
        <f t="shared" si="13"/>
        <v>(22745)นางสาวปัตติมา อิมำกะจิ_หญิง</v>
      </c>
      <c r="M61" s="83" t="s">
        <v>11489</v>
      </c>
      <c r="N61" s="84" t="s">
        <v>11496</v>
      </c>
      <c r="O61" s="60" t="s">
        <v>944</v>
      </c>
      <c r="P61" s="60" t="s">
        <v>944</v>
      </c>
      <c r="Q61" s="60">
        <v>13.0</v>
      </c>
      <c r="R61" s="60">
        <v>10.0</v>
      </c>
      <c r="S61" s="60">
        <v>14.0</v>
      </c>
      <c r="T61" s="60">
        <v>3.0</v>
      </c>
      <c r="U61" s="60">
        <v>12.0</v>
      </c>
      <c r="V61" s="60">
        <v>13.0</v>
      </c>
      <c r="W61" s="48">
        <v>11.0</v>
      </c>
      <c r="X61" s="60">
        <v>11.0</v>
      </c>
      <c r="Y61" s="48">
        <v>13.0</v>
      </c>
      <c r="Z61" s="60">
        <v>100.0</v>
      </c>
      <c r="AA61" s="85">
        <f t="shared" si="11"/>
        <v>21</v>
      </c>
      <c r="AB61" s="71" t="s">
        <v>11444</v>
      </c>
      <c r="AC61" s="60" t="s">
        <v>11454</v>
      </c>
      <c r="AD61" s="82" t="str">
        <f t="shared" si="14"/>
        <v>https://azizstan.net/studentcarev4/Students/Profile?id=22745</v>
      </c>
      <c r="AE61" s="47"/>
      <c r="AF61" s="47"/>
    </row>
    <row r="62" ht="24.0" customHeight="1">
      <c r="A62" s="48" t="s">
        <v>11440</v>
      </c>
      <c r="B62" s="58" t="s">
        <v>752</v>
      </c>
      <c r="C62" s="75" t="s">
        <v>10142</v>
      </c>
      <c r="D62" s="59" t="s">
        <v>11497</v>
      </c>
      <c r="E62" s="60" t="str">
        <f>IFERROR(__xludf.DUMMYFUNCTION("""COMPUTED_VALUE"""),"หญิง")</f>
        <v>หญิง</v>
      </c>
      <c r="F62" s="60"/>
      <c r="G62" s="60"/>
      <c r="H62" s="60"/>
      <c r="I62" s="62" t="s">
        <v>10142</v>
      </c>
      <c r="J62" s="60"/>
      <c r="K62" s="60"/>
      <c r="L62" s="63" t="str">
        <f t="shared" si="13"/>
        <v>(22978)นางสาวมนัสนันท์ บุญสังข์_หญิง</v>
      </c>
      <c r="M62" s="83" t="s">
        <v>11393</v>
      </c>
      <c r="N62" s="84" t="s">
        <v>11498</v>
      </c>
      <c r="O62" s="60" t="s">
        <v>944</v>
      </c>
      <c r="P62" s="60" t="s">
        <v>944</v>
      </c>
      <c r="Q62" s="60">
        <v>14.0</v>
      </c>
      <c r="R62" s="60">
        <v>12.0</v>
      </c>
      <c r="S62" s="60">
        <v>13.0</v>
      </c>
      <c r="T62" s="60">
        <v>4.0</v>
      </c>
      <c r="U62" s="60">
        <v>13.0</v>
      </c>
      <c r="V62" s="60">
        <v>15.0</v>
      </c>
      <c r="W62" s="48">
        <v>12.0</v>
      </c>
      <c r="X62" s="60">
        <v>5.0</v>
      </c>
      <c r="Y62" s="48">
        <v>12.0</v>
      </c>
      <c r="Z62" s="60">
        <v>100.0</v>
      </c>
      <c r="AA62" s="85">
        <f t="shared" si="11"/>
        <v>21</v>
      </c>
      <c r="AB62" s="71" t="s">
        <v>11444</v>
      </c>
      <c r="AC62" s="60" t="s">
        <v>11454</v>
      </c>
      <c r="AD62" s="82" t="str">
        <f t="shared" si="14"/>
        <v>https://azizstan.net/studentcarev4/Students/Profile?id=22978</v>
      </c>
      <c r="AE62" s="47"/>
      <c r="AF62" s="47"/>
    </row>
    <row r="63" ht="24.0" customHeight="1">
      <c r="A63" s="48" t="s">
        <v>11440</v>
      </c>
      <c r="B63" s="58" t="s">
        <v>857</v>
      </c>
      <c r="C63" s="75" t="s">
        <v>10148</v>
      </c>
      <c r="D63" s="59" t="s">
        <v>11499</v>
      </c>
      <c r="E63" s="60" t="str">
        <f>IFERROR(__xludf.DUMMYFUNCTION("""COMPUTED_VALUE"""),"หญิง")</f>
        <v>หญิง</v>
      </c>
      <c r="F63" s="60"/>
      <c r="G63" s="60"/>
      <c r="H63" s="60"/>
      <c r="I63" s="62" t="s">
        <v>10148</v>
      </c>
      <c r="J63" s="60"/>
      <c r="K63" s="60"/>
      <c r="L63" s="63" t="str">
        <f t="shared" si="13"/>
        <v>(22675)นางสาวแวยัสมีน วาเตะ_หญิง</v>
      </c>
      <c r="M63" s="83" t="s">
        <v>11421</v>
      </c>
      <c r="N63" s="84" t="s">
        <v>11500</v>
      </c>
      <c r="O63" s="60" t="s">
        <v>944</v>
      </c>
      <c r="P63" s="60" t="s">
        <v>944</v>
      </c>
      <c r="Q63" s="60">
        <v>15.0</v>
      </c>
      <c r="R63" s="60">
        <v>8.0</v>
      </c>
      <c r="S63" s="60">
        <v>10.0</v>
      </c>
      <c r="T63" s="60">
        <v>4.0</v>
      </c>
      <c r="U63" s="60">
        <v>14.0</v>
      </c>
      <c r="V63" s="60">
        <v>12.0</v>
      </c>
      <c r="W63" s="48">
        <v>11.0</v>
      </c>
      <c r="X63" s="60">
        <v>11.0</v>
      </c>
      <c r="Y63" s="48">
        <v>13.0</v>
      </c>
      <c r="Z63" s="60">
        <v>98.0</v>
      </c>
      <c r="AA63" s="85">
        <f t="shared" si="11"/>
        <v>25</v>
      </c>
      <c r="AB63" s="71" t="s">
        <v>11444</v>
      </c>
      <c r="AC63" s="60" t="s">
        <v>11454</v>
      </c>
      <c r="AD63" s="82" t="str">
        <f t="shared" si="14"/>
        <v>https://azizstan.net/studentcarev4/Students/Profile?id=22675</v>
      </c>
      <c r="AE63" s="47"/>
      <c r="AF63" s="47"/>
    </row>
    <row r="64" ht="24.0" customHeight="1">
      <c r="A64" s="48" t="s">
        <v>11440</v>
      </c>
      <c r="B64" s="58" t="s">
        <v>860</v>
      </c>
      <c r="C64" s="75" t="s">
        <v>10068</v>
      </c>
      <c r="D64" s="59" t="s">
        <v>11501</v>
      </c>
      <c r="E64" s="60" t="str">
        <f>IFERROR(__xludf.DUMMYFUNCTION("""COMPUTED_VALUE"""),"หญิง")</f>
        <v>หญิง</v>
      </c>
      <c r="F64" s="60"/>
      <c r="G64" s="60"/>
      <c r="H64" s="60"/>
      <c r="I64" s="62" t="s">
        <v>10068</v>
      </c>
      <c r="J64" s="60"/>
      <c r="K64" s="60"/>
      <c r="L64" s="63" t="str">
        <f t="shared" si="13"/>
        <v>(22725)นางสาวคัสสิมา มะดาเร๊ะ_หญิง</v>
      </c>
      <c r="M64" s="83" t="s">
        <v>11461</v>
      </c>
      <c r="N64" s="84" t="s">
        <v>11502</v>
      </c>
      <c r="O64" s="60" t="s">
        <v>944</v>
      </c>
      <c r="P64" s="60" t="s">
        <v>944</v>
      </c>
      <c r="Q64" s="60">
        <v>14.0</v>
      </c>
      <c r="R64" s="60">
        <v>10.0</v>
      </c>
      <c r="S64" s="60">
        <v>15.0</v>
      </c>
      <c r="T64" s="60">
        <v>2.0</v>
      </c>
      <c r="U64" s="60">
        <v>13.0</v>
      </c>
      <c r="V64" s="60">
        <v>14.0</v>
      </c>
      <c r="W64" s="48">
        <v>11.0</v>
      </c>
      <c r="X64" s="60">
        <v>5.0</v>
      </c>
      <c r="Y64" s="48">
        <v>14.0</v>
      </c>
      <c r="Z64" s="60">
        <v>98.0</v>
      </c>
      <c r="AA64" s="85">
        <f t="shared" si="11"/>
        <v>25</v>
      </c>
      <c r="AB64" s="71" t="s">
        <v>11444</v>
      </c>
      <c r="AC64" s="60" t="s">
        <v>11454</v>
      </c>
      <c r="AD64" s="82" t="str">
        <f t="shared" si="14"/>
        <v>https://azizstan.net/studentcarev4/Students/Profile?id=22725</v>
      </c>
      <c r="AE64" s="47"/>
      <c r="AF64" s="47"/>
    </row>
    <row r="65" ht="24.0" customHeight="1">
      <c r="A65" s="48" t="s">
        <v>11440</v>
      </c>
      <c r="B65" s="58" t="s">
        <v>862</v>
      </c>
      <c r="C65" s="62" t="s">
        <v>10157</v>
      </c>
      <c r="D65" s="59" t="s">
        <v>11503</v>
      </c>
      <c r="E65" s="60" t="str">
        <f>IFERROR(__xludf.DUMMYFUNCTION("""COMPUTED_VALUE"""),"หญิง")</f>
        <v>หญิง</v>
      </c>
      <c r="F65" s="60"/>
      <c r="G65" s="60"/>
      <c r="H65" s="60"/>
      <c r="I65" s="62" t="s">
        <v>10157</v>
      </c>
      <c r="J65" s="60"/>
      <c r="K65" s="60"/>
      <c r="L65" s="63" t="str">
        <f t="shared" si="13"/>
        <v>(23225)นางสาวฟิรดาวส์ เตาะมะ_หญิง</v>
      </c>
      <c r="M65" s="83" t="s">
        <v>11393</v>
      </c>
      <c r="N65" s="84" t="s">
        <v>11504</v>
      </c>
      <c r="O65" s="60" t="s">
        <v>944</v>
      </c>
      <c r="P65" s="60" t="s">
        <v>944</v>
      </c>
      <c r="Q65" s="60">
        <v>11.0</v>
      </c>
      <c r="R65" s="60">
        <v>9.0</v>
      </c>
      <c r="S65" s="60">
        <v>12.0</v>
      </c>
      <c r="T65" s="60">
        <v>2.0</v>
      </c>
      <c r="U65" s="60">
        <v>12.0</v>
      </c>
      <c r="V65" s="60">
        <v>13.0</v>
      </c>
      <c r="W65" s="48">
        <v>12.0</v>
      </c>
      <c r="X65" s="60">
        <v>14.0</v>
      </c>
      <c r="Y65" s="48">
        <v>12.0</v>
      </c>
      <c r="Z65" s="60">
        <v>97.0</v>
      </c>
      <c r="AA65" s="85">
        <f t="shared" si="11"/>
        <v>27</v>
      </c>
      <c r="AB65" s="71" t="s">
        <v>11444</v>
      </c>
      <c r="AC65" s="60" t="s">
        <v>11454</v>
      </c>
      <c r="AD65" s="82" t="str">
        <f t="shared" si="14"/>
        <v>https://azizstan.net/studentcarev4/Students/Profile?id=23225</v>
      </c>
      <c r="AE65" s="88"/>
      <c r="AF65" s="88"/>
    </row>
    <row r="66" ht="24.0" customHeight="1">
      <c r="A66" s="48" t="s">
        <v>11440</v>
      </c>
      <c r="B66" s="58" t="s">
        <v>865</v>
      </c>
      <c r="C66" s="75" t="s">
        <v>59</v>
      </c>
      <c r="D66" s="59" t="s">
        <v>11505</v>
      </c>
      <c r="E66" s="60" t="str">
        <f>IFERROR(__xludf.DUMMYFUNCTION("""COMPUTED_VALUE"""),"หญิง")</f>
        <v>หญิง</v>
      </c>
      <c r="F66" s="60"/>
      <c r="G66" s="60"/>
      <c r="H66" s="60"/>
      <c r="I66" s="62" t="s">
        <v>59</v>
      </c>
      <c r="J66" s="60"/>
      <c r="K66" s="60"/>
      <c r="L66" s="63" t="str">
        <f t="shared" si="13"/>
        <v>(22807)เด็กหญิงนูรฟาตีฮะห์ สะอิ_หญิง</v>
      </c>
      <c r="M66" s="83" t="s">
        <v>11452</v>
      </c>
      <c r="N66" s="84" t="s">
        <v>11506</v>
      </c>
      <c r="O66" s="60" t="s">
        <v>944</v>
      </c>
      <c r="P66" s="60" t="s">
        <v>944</v>
      </c>
      <c r="Q66" s="60">
        <v>14.0</v>
      </c>
      <c r="R66" s="60">
        <v>14.0</v>
      </c>
      <c r="S66" s="60">
        <v>12.0</v>
      </c>
      <c r="T66" s="60">
        <v>2.0</v>
      </c>
      <c r="U66" s="60">
        <v>15.0</v>
      </c>
      <c r="V66" s="60">
        <v>11.0</v>
      </c>
      <c r="W66" s="48">
        <v>11.0</v>
      </c>
      <c r="X66" s="60">
        <v>5.0</v>
      </c>
      <c r="Y66" s="48">
        <v>13.0</v>
      </c>
      <c r="Z66" s="60">
        <v>97.0</v>
      </c>
      <c r="AA66" s="85">
        <f t="shared" si="11"/>
        <v>27</v>
      </c>
      <c r="AB66" s="71" t="s">
        <v>11444</v>
      </c>
      <c r="AC66" s="60" t="s">
        <v>11454</v>
      </c>
      <c r="AD66" s="82" t="str">
        <f t="shared" si="14"/>
        <v>https://azizstan.net/studentcarev4/Students/Profile?id=22807</v>
      </c>
      <c r="AE66" s="47"/>
      <c r="AF66" s="47"/>
    </row>
    <row r="67" ht="24.0" customHeight="1">
      <c r="A67" s="48" t="s">
        <v>11440</v>
      </c>
      <c r="B67" s="58" t="s">
        <v>764</v>
      </c>
      <c r="C67" s="75" t="s">
        <v>10005</v>
      </c>
      <c r="D67" s="59" t="s">
        <v>11507</v>
      </c>
      <c r="E67" s="60" t="str">
        <f>IFERROR(__xludf.DUMMYFUNCTION("""COMPUTED_VALUE"""),"หญิง")</f>
        <v>หญิง</v>
      </c>
      <c r="F67" s="60"/>
      <c r="G67" s="60"/>
      <c r="H67" s="60"/>
      <c r="I67" s="62" t="s">
        <v>10005</v>
      </c>
      <c r="J67" s="60"/>
      <c r="K67" s="60"/>
      <c r="L67" s="63" t="str">
        <f t="shared" si="13"/>
        <v>(23818)นางสาวซาบีน่า แอนิ่ม_หญิง</v>
      </c>
      <c r="M67" s="83" t="s">
        <v>11470</v>
      </c>
      <c r="N67" s="84" t="s">
        <v>11508</v>
      </c>
      <c r="O67" s="60" t="s">
        <v>944</v>
      </c>
      <c r="P67" s="60" t="s">
        <v>944</v>
      </c>
      <c r="Q67" s="60">
        <v>13.0</v>
      </c>
      <c r="R67" s="60">
        <v>8.0</v>
      </c>
      <c r="S67" s="60">
        <v>11.0</v>
      </c>
      <c r="T67" s="60">
        <v>4.0</v>
      </c>
      <c r="U67" s="60">
        <v>10.0</v>
      </c>
      <c r="V67" s="60">
        <v>15.0</v>
      </c>
      <c r="W67" s="48">
        <v>11.0</v>
      </c>
      <c r="X67" s="60">
        <v>11.0</v>
      </c>
      <c r="Y67" s="48">
        <v>13.0</v>
      </c>
      <c r="Z67" s="60">
        <v>96.0</v>
      </c>
      <c r="AA67" s="85">
        <f t="shared" si="11"/>
        <v>29</v>
      </c>
      <c r="AB67" s="71" t="s">
        <v>11444</v>
      </c>
      <c r="AC67" s="60" t="s">
        <v>11454</v>
      </c>
      <c r="AD67" s="82" t="str">
        <f t="shared" si="14"/>
        <v>https://azizstan.net/studentcarev4/Students/Profile?id=23818</v>
      </c>
      <c r="AE67" s="47"/>
      <c r="AF67" s="47"/>
    </row>
    <row r="68" ht="24.0" customHeight="1">
      <c r="A68" s="48" t="s">
        <v>11440</v>
      </c>
      <c r="B68" s="58" t="s">
        <v>867</v>
      </c>
      <c r="C68" s="62" t="s">
        <v>884</v>
      </c>
      <c r="D68" s="59" t="s">
        <v>11509</v>
      </c>
      <c r="E68" s="60" t="str">
        <f>IFERROR(__xludf.DUMMYFUNCTION("""COMPUTED_VALUE"""),"หญิง")</f>
        <v>หญิง</v>
      </c>
      <c r="F68" s="60"/>
      <c r="G68" s="60"/>
      <c r="H68" s="60"/>
      <c r="I68" s="62" t="s">
        <v>884</v>
      </c>
      <c r="J68" s="60"/>
      <c r="K68" s="60"/>
      <c r="L68" s="63" t="str">
        <f t="shared" si="13"/>
        <v>(22766)นางสาวซาบีเกาะห์ มะดีเยาะ_หญิง</v>
      </c>
      <c r="M68" s="83" t="s">
        <v>11470</v>
      </c>
      <c r="N68" s="84" t="s">
        <v>11510</v>
      </c>
      <c r="O68" s="60" t="s">
        <v>944</v>
      </c>
      <c r="P68" s="60" t="s">
        <v>944</v>
      </c>
      <c r="Q68" s="84">
        <v>12.0</v>
      </c>
      <c r="R68" s="60">
        <v>11.0</v>
      </c>
      <c r="S68" s="60">
        <v>10.0</v>
      </c>
      <c r="T68" s="60">
        <v>2.0</v>
      </c>
      <c r="U68" s="60">
        <v>14.0</v>
      </c>
      <c r="V68" s="60">
        <v>11.0</v>
      </c>
      <c r="W68" s="48">
        <v>11.0</v>
      </c>
      <c r="X68" s="60">
        <v>12.0</v>
      </c>
      <c r="Y68" s="48">
        <v>13.0</v>
      </c>
      <c r="Z68" s="60">
        <v>96.0</v>
      </c>
      <c r="AA68" s="85">
        <f t="shared" si="11"/>
        <v>29</v>
      </c>
      <c r="AB68" s="71" t="s">
        <v>11444</v>
      </c>
      <c r="AC68" s="60" t="s">
        <v>11454</v>
      </c>
      <c r="AD68" s="82" t="str">
        <f t="shared" si="14"/>
        <v>https://azizstan.net/studentcarev4/Students/Profile?id=22766</v>
      </c>
      <c r="AE68" s="47"/>
      <c r="AF68" s="47"/>
    </row>
    <row r="69" ht="24.0" customHeight="1">
      <c r="A69" s="48" t="s">
        <v>11440</v>
      </c>
      <c r="B69" s="58" t="s">
        <v>869</v>
      </c>
      <c r="C69" s="62" t="s">
        <v>851</v>
      </c>
      <c r="D69" s="59" t="s">
        <v>11511</v>
      </c>
      <c r="E69" s="60" t="str">
        <f>IFERROR(__xludf.DUMMYFUNCTION("""COMPUTED_VALUE"""),"หญิง")</f>
        <v>หญิง</v>
      </c>
      <c r="F69" s="60"/>
      <c r="G69" s="60"/>
      <c r="H69" s="60"/>
      <c r="I69" s="62" t="s">
        <v>851</v>
      </c>
      <c r="J69" s="60"/>
      <c r="K69" s="60"/>
      <c r="L69" s="63" t="str">
        <f t="shared" si="13"/>
        <v>(24453)นางสาวนูรนาฟาติน หะมะ_หญิง</v>
      </c>
      <c r="M69" s="83" t="s">
        <v>11470</v>
      </c>
      <c r="N69" s="84" t="s">
        <v>11512</v>
      </c>
      <c r="O69" s="60" t="s">
        <v>944</v>
      </c>
      <c r="P69" s="60" t="s">
        <v>944</v>
      </c>
      <c r="Q69" s="60">
        <v>12.0</v>
      </c>
      <c r="R69" s="60">
        <v>9.0</v>
      </c>
      <c r="S69" s="60">
        <v>13.0</v>
      </c>
      <c r="T69" s="60">
        <v>2.0</v>
      </c>
      <c r="U69" s="60">
        <v>10.0</v>
      </c>
      <c r="V69" s="60">
        <v>12.0</v>
      </c>
      <c r="W69" s="48">
        <v>11.0</v>
      </c>
      <c r="X69" s="60">
        <v>14.0</v>
      </c>
      <c r="Y69" s="48">
        <v>13.0</v>
      </c>
      <c r="Z69" s="60">
        <v>96.0</v>
      </c>
      <c r="AA69" s="85">
        <f t="shared" si="11"/>
        <v>29</v>
      </c>
      <c r="AB69" s="71" t="s">
        <v>11444</v>
      </c>
      <c r="AC69" s="60" t="s">
        <v>11454</v>
      </c>
      <c r="AD69" s="82" t="str">
        <f t="shared" si="14"/>
        <v>https://azizstan.net/studentcarev4/Students/Profile?id=24453</v>
      </c>
      <c r="AE69" s="47"/>
      <c r="AF69" s="47"/>
    </row>
    <row r="70" ht="24.0" customHeight="1">
      <c r="A70" s="48" t="s">
        <v>11440</v>
      </c>
      <c r="B70" s="58" t="s">
        <v>951</v>
      </c>
      <c r="C70" s="62" t="s">
        <v>888</v>
      </c>
      <c r="D70" s="59" t="s">
        <v>11513</v>
      </c>
      <c r="E70" s="60" t="str">
        <f>IFERROR(__xludf.DUMMYFUNCTION("""COMPUTED_VALUE"""),"หญิง")</f>
        <v>หญิง</v>
      </c>
      <c r="F70" s="60"/>
      <c r="G70" s="60"/>
      <c r="H70" s="60"/>
      <c r="I70" s="62" t="s">
        <v>888</v>
      </c>
      <c r="J70" s="60"/>
      <c r="K70" s="60"/>
      <c r="L70" s="63" t="str">
        <f t="shared" si="13"/>
        <v>(24357)นางสาววันฟิตรี หะยีสาแม_หญิง</v>
      </c>
      <c r="M70" s="83" t="s">
        <v>11449</v>
      </c>
      <c r="N70" s="84" t="s">
        <v>11514</v>
      </c>
      <c r="O70" s="60" t="s">
        <v>944</v>
      </c>
      <c r="P70" s="60" t="s">
        <v>944</v>
      </c>
      <c r="Q70" s="60">
        <v>12.0</v>
      </c>
      <c r="R70" s="60">
        <v>12.0</v>
      </c>
      <c r="S70" s="60">
        <v>14.0</v>
      </c>
      <c r="T70" s="60">
        <v>2.0</v>
      </c>
      <c r="U70" s="60">
        <v>14.0</v>
      </c>
      <c r="V70" s="60">
        <v>13.0</v>
      </c>
      <c r="W70" s="48">
        <v>11.0</v>
      </c>
      <c r="X70" s="60">
        <v>5.0</v>
      </c>
      <c r="Y70" s="48">
        <v>12.0</v>
      </c>
      <c r="Z70" s="60">
        <v>95.0</v>
      </c>
      <c r="AA70" s="85">
        <f t="shared" si="11"/>
        <v>32</v>
      </c>
      <c r="AB70" s="71" t="s">
        <v>11444</v>
      </c>
      <c r="AC70" s="60" t="s">
        <v>11454</v>
      </c>
      <c r="AD70" s="82" t="str">
        <f t="shared" si="14"/>
        <v>https://azizstan.net/studentcarev4/Students/Profile?id=24357</v>
      </c>
      <c r="AE70" s="47"/>
      <c r="AF70" s="47"/>
    </row>
    <row r="71" ht="24.0" customHeight="1">
      <c r="A71" s="48" t="s">
        <v>11440</v>
      </c>
      <c r="B71" s="58" t="s">
        <v>871</v>
      </c>
      <c r="C71" s="62" t="s">
        <v>8315</v>
      </c>
      <c r="D71" s="59" t="s">
        <v>11515</v>
      </c>
      <c r="E71" s="60" t="str">
        <f>IFERROR(__xludf.DUMMYFUNCTION("""COMPUTED_VALUE"""),"หญิง")</f>
        <v>หญิง</v>
      </c>
      <c r="F71" s="60"/>
      <c r="G71" s="60"/>
      <c r="H71" s="60"/>
      <c r="I71" s="62" t="s">
        <v>8315</v>
      </c>
      <c r="J71" s="60"/>
      <c r="K71" s="60"/>
      <c r="L71" s="63" t="str">
        <f t="shared" si="13"/>
        <v>(24175)นางสาวเจ๊ะจือมีเลาะห์ กือจิ_หญิง</v>
      </c>
      <c r="M71" s="83" t="s">
        <v>11489</v>
      </c>
      <c r="N71" s="84" t="s">
        <v>11516</v>
      </c>
      <c r="O71" s="60" t="s">
        <v>944</v>
      </c>
      <c r="P71" s="60" t="s">
        <v>944</v>
      </c>
      <c r="Q71" s="60">
        <v>12.0</v>
      </c>
      <c r="R71" s="60">
        <v>7.0</v>
      </c>
      <c r="S71" s="60">
        <v>12.0</v>
      </c>
      <c r="T71" s="60">
        <v>2.0</v>
      </c>
      <c r="U71" s="60">
        <v>13.0</v>
      </c>
      <c r="V71" s="60">
        <v>15.0</v>
      </c>
      <c r="W71" s="48">
        <v>11.0</v>
      </c>
      <c r="X71" s="60">
        <v>11.0</v>
      </c>
      <c r="Y71" s="48">
        <v>12.0</v>
      </c>
      <c r="Z71" s="60">
        <v>95.0</v>
      </c>
      <c r="AA71" s="85">
        <f t="shared" si="11"/>
        <v>32</v>
      </c>
      <c r="AB71" s="71" t="s">
        <v>11444</v>
      </c>
      <c r="AC71" s="60" t="s">
        <v>11454</v>
      </c>
      <c r="AD71" s="82" t="str">
        <f t="shared" si="14"/>
        <v>https://azizstan.net/studentcarev4/Students/Profile?id=24175</v>
      </c>
      <c r="AE71" s="47"/>
      <c r="AF71" s="47"/>
    </row>
    <row r="72" ht="24.0" customHeight="1">
      <c r="A72" s="48" t="s">
        <v>11440</v>
      </c>
      <c r="B72" s="58" t="s">
        <v>876</v>
      </c>
      <c r="C72" s="75" t="s">
        <v>10107</v>
      </c>
      <c r="D72" s="59" t="s">
        <v>11517</v>
      </c>
      <c r="E72" s="60" t="str">
        <f>IFERROR(__xludf.DUMMYFUNCTION("""COMPUTED_VALUE"""),"หญิง")</f>
        <v>หญิง</v>
      </c>
      <c r="F72" s="60"/>
      <c r="G72" s="60"/>
      <c r="H72" s="60"/>
      <c r="I72" s="62" t="s">
        <v>10107</v>
      </c>
      <c r="J72" s="60"/>
      <c r="K72" s="60"/>
      <c r="L72" s="63" t="str">
        <f t="shared" si="13"/>
        <v>(24516)นางสาวอัสมา เตาสัน_หญิง</v>
      </c>
      <c r="M72" s="83" t="s">
        <v>11449</v>
      </c>
      <c r="N72" s="84" t="s">
        <v>11518</v>
      </c>
      <c r="O72" s="60" t="s">
        <v>944</v>
      </c>
      <c r="P72" s="60" t="s">
        <v>944</v>
      </c>
      <c r="Q72" s="60">
        <v>13.0</v>
      </c>
      <c r="R72" s="60">
        <v>12.0</v>
      </c>
      <c r="S72" s="60">
        <v>12.0</v>
      </c>
      <c r="T72" s="60">
        <v>2.0</v>
      </c>
      <c r="U72" s="60">
        <v>13.0</v>
      </c>
      <c r="V72" s="60">
        <v>15.0</v>
      </c>
      <c r="W72" s="48">
        <v>11.0</v>
      </c>
      <c r="X72" s="60">
        <v>5.0</v>
      </c>
      <c r="Y72" s="48">
        <v>11.0</v>
      </c>
      <c r="Z72" s="60">
        <v>94.0</v>
      </c>
      <c r="AA72" s="85">
        <f t="shared" si="11"/>
        <v>34</v>
      </c>
      <c r="AB72" s="71" t="s">
        <v>11444</v>
      </c>
      <c r="AC72" s="60" t="s">
        <v>11454</v>
      </c>
      <c r="AD72" s="82" t="str">
        <f t="shared" si="14"/>
        <v>https://azizstan.net/studentcarev4/Students/Profile?id=24516</v>
      </c>
      <c r="AE72" s="47"/>
      <c r="AF72" s="47"/>
    </row>
    <row r="73" ht="24.0" customHeight="1">
      <c r="A73" s="48" t="s">
        <v>11440</v>
      </c>
      <c r="B73" s="58" t="s">
        <v>879</v>
      </c>
      <c r="C73" s="62" t="s">
        <v>10071</v>
      </c>
      <c r="D73" s="59" t="s">
        <v>11519</v>
      </c>
      <c r="E73" s="60" t="str">
        <f>IFERROR(__xludf.DUMMYFUNCTION("""COMPUTED_VALUE"""),"หญิง")</f>
        <v>หญิง</v>
      </c>
      <c r="F73" s="60"/>
      <c r="G73" s="60"/>
      <c r="H73" s="60"/>
      <c r="I73" s="62" t="s">
        <v>10071</v>
      </c>
      <c r="J73" s="60"/>
      <c r="K73" s="60"/>
      <c r="L73" s="63" t="str">
        <f t="shared" si="13"/>
        <v>(25119)นางสาวโซเฟีย มะแซ_หญิง</v>
      </c>
      <c r="M73" s="83" t="s">
        <v>11489</v>
      </c>
      <c r="N73" s="84" t="s">
        <v>11520</v>
      </c>
      <c r="O73" s="60" t="s">
        <v>944</v>
      </c>
      <c r="P73" s="60" t="s">
        <v>944</v>
      </c>
      <c r="Q73" s="60">
        <v>13.0</v>
      </c>
      <c r="R73" s="60">
        <v>12.0</v>
      </c>
      <c r="S73" s="60">
        <v>12.0</v>
      </c>
      <c r="T73" s="60">
        <v>2.0</v>
      </c>
      <c r="U73" s="60">
        <v>12.0</v>
      </c>
      <c r="V73" s="60">
        <v>13.0</v>
      </c>
      <c r="W73" s="48">
        <v>14.0</v>
      </c>
      <c r="X73" s="60">
        <v>5.0</v>
      </c>
      <c r="Y73" s="48">
        <v>11.0</v>
      </c>
      <c r="Z73" s="60">
        <v>94.0</v>
      </c>
      <c r="AA73" s="85">
        <f t="shared" si="11"/>
        <v>34</v>
      </c>
      <c r="AB73" s="71" t="s">
        <v>11444</v>
      </c>
      <c r="AC73" s="60" t="s">
        <v>11454</v>
      </c>
      <c r="AD73" s="82" t="str">
        <f t="shared" si="14"/>
        <v>https://azizstan.net/studentcarev4/Students/Profile?id=25119</v>
      </c>
      <c r="AE73" s="47"/>
      <c r="AF73" s="47"/>
    </row>
    <row r="74" ht="24.0" customHeight="1">
      <c r="A74" s="48" t="s">
        <v>11440</v>
      </c>
      <c r="B74" s="58" t="s">
        <v>881</v>
      </c>
      <c r="C74" s="75" t="s">
        <v>10023</v>
      </c>
      <c r="D74" s="59" t="s">
        <v>11521</v>
      </c>
      <c r="E74" s="60" t="str">
        <f>IFERROR(__xludf.DUMMYFUNCTION("""COMPUTED_VALUE"""),"หญิง")</f>
        <v>หญิง</v>
      </c>
      <c r="F74" s="60"/>
      <c r="G74" s="60"/>
      <c r="H74" s="60"/>
      <c r="I74" s="62" t="s">
        <v>10023</v>
      </c>
      <c r="J74" s="60"/>
      <c r="K74" s="60"/>
      <c r="L74" s="63" t="str">
        <f t="shared" si="13"/>
        <v>(23254)เด็กหญิงนัชวา อภิบาลแบ_หญิง</v>
      </c>
      <c r="M74" s="83" t="s">
        <v>11442</v>
      </c>
      <c r="N74" s="84" t="s">
        <v>11522</v>
      </c>
      <c r="O74" s="60" t="s">
        <v>944</v>
      </c>
      <c r="P74" s="60" t="s">
        <v>944</v>
      </c>
      <c r="Q74" s="60">
        <v>12.0</v>
      </c>
      <c r="R74" s="60">
        <v>8.0</v>
      </c>
      <c r="S74" s="60">
        <v>10.0</v>
      </c>
      <c r="T74" s="60">
        <v>2.0</v>
      </c>
      <c r="U74" s="60">
        <v>15.0</v>
      </c>
      <c r="V74" s="60">
        <v>12.0</v>
      </c>
      <c r="W74" s="48">
        <v>11.0</v>
      </c>
      <c r="X74" s="60">
        <v>11.0</v>
      </c>
      <c r="Y74" s="48">
        <v>13.0</v>
      </c>
      <c r="Z74" s="60">
        <v>94.0</v>
      </c>
      <c r="AA74" s="85">
        <f t="shared" si="11"/>
        <v>34</v>
      </c>
      <c r="AB74" s="71" t="s">
        <v>11444</v>
      </c>
      <c r="AC74" s="60" t="s">
        <v>11454</v>
      </c>
      <c r="AD74" s="82" t="str">
        <f t="shared" si="14"/>
        <v>https://azizstan.net/studentcarev4/Students/Profile?id=23254</v>
      </c>
      <c r="AE74" s="47"/>
      <c r="AF74" s="47"/>
    </row>
    <row r="75" ht="24.0" customHeight="1">
      <c r="A75" s="48" t="s">
        <v>11440</v>
      </c>
      <c r="B75" s="58" t="s">
        <v>883</v>
      </c>
      <c r="C75" s="75" t="s">
        <v>9983</v>
      </c>
      <c r="D75" s="59" t="s">
        <v>11523</v>
      </c>
      <c r="E75" s="60" t="str">
        <f>IFERROR(__xludf.DUMMYFUNCTION("""COMPUTED_VALUE"""),"หญิง")</f>
        <v>หญิง</v>
      </c>
      <c r="F75" s="60"/>
      <c r="G75" s="60"/>
      <c r="H75" s="60"/>
      <c r="I75" s="62" t="s">
        <v>9983</v>
      </c>
      <c r="J75" s="60"/>
      <c r="K75" s="60"/>
      <c r="L75" s="63" t="str">
        <f t="shared" si="13"/>
        <v>(22815)นางสาวอาฟีฟะห์ คาร์เดร์_หญิง</v>
      </c>
      <c r="M75" s="83" t="s">
        <v>11470</v>
      </c>
      <c r="N75" s="84" t="s">
        <v>11524</v>
      </c>
      <c r="O75" s="60" t="s">
        <v>944</v>
      </c>
      <c r="P75" s="60" t="s">
        <v>944</v>
      </c>
      <c r="Q75" s="60">
        <v>13.0</v>
      </c>
      <c r="R75" s="60">
        <v>11.0</v>
      </c>
      <c r="S75" s="60">
        <v>14.0</v>
      </c>
      <c r="T75" s="60">
        <v>2.0</v>
      </c>
      <c r="U75" s="60">
        <v>13.0</v>
      </c>
      <c r="V75" s="60">
        <v>12.0</v>
      </c>
      <c r="W75" s="48">
        <v>11.0</v>
      </c>
      <c r="X75" s="60">
        <v>5.0</v>
      </c>
      <c r="Y75" s="48">
        <v>13.0</v>
      </c>
      <c r="Z75" s="60">
        <v>94.0</v>
      </c>
      <c r="AA75" s="85">
        <f t="shared" si="11"/>
        <v>34</v>
      </c>
      <c r="AB75" s="71" t="s">
        <v>11444</v>
      </c>
      <c r="AC75" s="60" t="s">
        <v>11454</v>
      </c>
      <c r="AD75" s="82" t="str">
        <f t="shared" si="14"/>
        <v>https://azizstan.net/studentcarev4/Students/Profile?id=22815</v>
      </c>
      <c r="AE75" s="47"/>
      <c r="AF75" s="47"/>
    </row>
    <row r="76" ht="24.0" customHeight="1">
      <c r="A76" s="48" t="s">
        <v>11440</v>
      </c>
      <c r="B76" s="58" t="s">
        <v>885</v>
      </c>
      <c r="C76" s="75" t="s">
        <v>10056</v>
      </c>
      <c r="D76" s="59" t="s">
        <v>11525</v>
      </c>
      <c r="E76" s="60" t="str">
        <f>IFERROR(__xludf.DUMMYFUNCTION("""COMPUTED_VALUE"""),"หญิง")</f>
        <v>หญิง</v>
      </c>
      <c r="F76" s="60"/>
      <c r="G76" s="60"/>
      <c r="H76" s="60"/>
      <c r="I76" s="62" t="s">
        <v>10056</v>
      </c>
      <c r="J76" s="60"/>
      <c r="K76" s="60"/>
      <c r="L76" s="63" t="str">
        <f t="shared" si="13"/>
        <v>(22654)นางสาวสุรัยยา สุหลง_หญิง</v>
      </c>
      <c r="M76" s="83" t="s">
        <v>11489</v>
      </c>
      <c r="N76" s="84" t="s">
        <v>11526</v>
      </c>
      <c r="O76" s="60" t="s">
        <v>944</v>
      </c>
      <c r="P76" s="60" t="s">
        <v>944</v>
      </c>
      <c r="Q76" s="60">
        <v>13.0</v>
      </c>
      <c r="R76" s="60">
        <v>11.0</v>
      </c>
      <c r="S76" s="60">
        <v>13.0</v>
      </c>
      <c r="T76" s="60">
        <v>2.0</v>
      </c>
      <c r="U76" s="60">
        <v>13.0</v>
      </c>
      <c r="V76" s="60">
        <v>11.0</v>
      </c>
      <c r="W76" s="48">
        <v>12.0</v>
      </c>
      <c r="X76" s="60">
        <v>5.0</v>
      </c>
      <c r="Y76" s="48">
        <v>12.0</v>
      </c>
      <c r="Z76" s="60">
        <v>92.0</v>
      </c>
      <c r="AA76" s="85">
        <f t="shared" si="11"/>
        <v>43</v>
      </c>
      <c r="AB76" s="71" t="s">
        <v>11444</v>
      </c>
      <c r="AC76" s="60" t="s">
        <v>11527</v>
      </c>
      <c r="AD76" s="82" t="str">
        <f t="shared" si="14"/>
        <v>https://azizstan.net/studentcarev4/Students/Profile?id=22654</v>
      </c>
      <c r="AE76" s="88"/>
      <c r="AF76" s="88"/>
    </row>
    <row r="77" ht="24.0" customHeight="1">
      <c r="A77" s="48" t="s">
        <v>11440</v>
      </c>
      <c r="B77" s="58" t="s">
        <v>887</v>
      </c>
      <c r="C77" s="62" t="s">
        <v>10059</v>
      </c>
      <c r="D77" s="59" t="s">
        <v>11528</v>
      </c>
      <c r="E77" s="60" t="str">
        <f>IFERROR(__xludf.DUMMYFUNCTION("""COMPUTED_VALUE"""),"หญิง")</f>
        <v>หญิง</v>
      </c>
      <c r="F77" s="60"/>
      <c r="G77" s="60"/>
      <c r="H77" s="60"/>
      <c r="I77" s="62" t="s">
        <v>10059</v>
      </c>
      <c r="J77" s="60"/>
      <c r="K77" s="60"/>
      <c r="L77" s="63" t="str">
        <f t="shared" si="13"/>
        <v>(23128)นางสาวฟาเดีย สะอิ_หญิง</v>
      </c>
      <c r="M77" s="83" t="s">
        <v>11470</v>
      </c>
      <c r="N77" s="89" t="s">
        <v>11529</v>
      </c>
      <c r="O77" s="60" t="s">
        <v>944</v>
      </c>
      <c r="P77" s="60" t="s">
        <v>944</v>
      </c>
      <c r="Q77" s="60">
        <v>12.0</v>
      </c>
      <c r="R77" s="60">
        <v>10.0</v>
      </c>
      <c r="S77" s="60">
        <v>11.0</v>
      </c>
      <c r="T77" s="60">
        <v>2.0</v>
      </c>
      <c r="U77" s="60">
        <v>11.0</v>
      </c>
      <c r="V77" s="60">
        <v>11.0</v>
      </c>
      <c r="W77" s="48">
        <v>11.0</v>
      </c>
      <c r="X77" s="60">
        <v>14.0</v>
      </c>
      <c r="Y77" s="48">
        <v>12.0</v>
      </c>
      <c r="Z77" s="60">
        <v>94.0</v>
      </c>
      <c r="AA77" s="85">
        <f t="shared" si="11"/>
        <v>34</v>
      </c>
      <c r="AB77" s="71" t="s">
        <v>11444</v>
      </c>
      <c r="AC77" s="60" t="s">
        <v>11454</v>
      </c>
      <c r="AD77" s="82" t="str">
        <f t="shared" si="14"/>
        <v>https://azizstan.net/studentcarev4/Students/Profile?id=23128</v>
      </c>
      <c r="AE77" s="47"/>
      <c r="AF77" s="47"/>
    </row>
    <row r="78" ht="24.0" customHeight="1">
      <c r="A78" s="48" t="s">
        <v>11440</v>
      </c>
      <c r="B78" s="58" t="s">
        <v>796</v>
      </c>
      <c r="C78" s="75" t="s">
        <v>10065</v>
      </c>
      <c r="D78" s="59" t="s">
        <v>11530</v>
      </c>
      <c r="E78" s="60" t="str">
        <f>IFERROR(__xludf.DUMMYFUNCTION("""COMPUTED_VALUE"""),"หญิง")</f>
        <v>หญิง</v>
      </c>
      <c r="F78" s="60"/>
      <c r="G78" s="60"/>
      <c r="H78" s="60"/>
      <c r="I78" s="62" t="s">
        <v>10065</v>
      </c>
      <c r="J78" s="60"/>
      <c r="K78" s="60"/>
      <c r="L78" s="63" t="str">
        <f t="shared" si="13"/>
        <v>(23132)นางสาวฟิตรียะห์ ยีราตี_หญิง</v>
      </c>
      <c r="M78" s="90" t="s">
        <v>11531</v>
      </c>
      <c r="N78" s="91" t="s">
        <v>11532</v>
      </c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3">
        <v>94.0</v>
      </c>
      <c r="Z78" s="92">
        <v>94.0</v>
      </c>
      <c r="AA78" s="85">
        <v>35.0</v>
      </c>
      <c r="AB78" s="94"/>
      <c r="AC78" s="95"/>
      <c r="AD78" s="82" t="str">
        <f t="shared" si="14"/>
        <v>https://azizstan.net/studentcarev4/Students/Profile?id=23132</v>
      </c>
      <c r="AE78" s="47"/>
      <c r="AF78" s="47"/>
    </row>
    <row r="79" ht="24.0" customHeight="1">
      <c r="A79" s="48" t="s">
        <v>11440</v>
      </c>
      <c r="B79" s="58" t="s">
        <v>766</v>
      </c>
      <c r="C79" s="75" t="s">
        <v>9914</v>
      </c>
      <c r="D79" s="59" t="s">
        <v>11533</v>
      </c>
      <c r="E79" s="60" t="str">
        <f>IFERROR(__xludf.DUMMYFUNCTION("""COMPUTED_VALUE"""),"หญิง")</f>
        <v>หญิง</v>
      </c>
      <c r="F79" s="60"/>
      <c r="G79" s="60"/>
      <c r="H79" s="60"/>
      <c r="I79" s="62" t="s">
        <v>9914</v>
      </c>
      <c r="J79" s="60"/>
      <c r="K79" s="60"/>
      <c r="L79" s="63" t="str">
        <f t="shared" si="13"/>
        <v>(23155)นางสาวฟาร่า เจ๊ะมิง_หญิง</v>
      </c>
      <c r="M79" s="83" t="s">
        <v>11449</v>
      </c>
      <c r="N79" s="84" t="s">
        <v>11534</v>
      </c>
      <c r="O79" s="60" t="s">
        <v>944</v>
      </c>
      <c r="P79" s="60" t="s">
        <v>944</v>
      </c>
      <c r="Q79" s="60">
        <v>12.0</v>
      </c>
      <c r="R79" s="60">
        <v>12.0</v>
      </c>
      <c r="S79" s="60">
        <v>11.0</v>
      </c>
      <c r="T79" s="60">
        <v>2.0</v>
      </c>
      <c r="U79" s="60">
        <v>13.0</v>
      </c>
      <c r="V79" s="60">
        <v>14.0</v>
      </c>
      <c r="W79" s="48">
        <v>11.0</v>
      </c>
      <c r="X79" s="60">
        <v>5.0</v>
      </c>
      <c r="Y79" s="48">
        <v>13.0</v>
      </c>
      <c r="Z79" s="60">
        <v>93.0</v>
      </c>
      <c r="AA79" s="85">
        <f t="shared" ref="AA79:AA87" si="15">RANK(Z79,$Z$39:$Z$87)</f>
        <v>40</v>
      </c>
      <c r="AB79" s="71" t="s">
        <v>11444</v>
      </c>
      <c r="AC79" s="60" t="s">
        <v>11454</v>
      </c>
      <c r="AD79" s="82" t="str">
        <f t="shared" si="14"/>
        <v>https://azizstan.net/studentcarev4/Students/Profile?id=23155</v>
      </c>
      <c r="AE79" s="47"/>
      <c r="AF79" s="47"/>
    </row>
    <row r="80" ht="24.0" customHeight="1">
      <c r="A80" s="48" t="s">
        <v>11440</v>
      </c>
      <c r="B80" s="58" t="s">
        <v>756</v>
      </c>
      <c r="C80" s="75" t="s">
        <v>9899</v>
      </c>
      <c r="D80" s="59" t="s">
        <v>11535</v>
      </c>
      <c r="E80" s="60" t="str">
        <f>IFERROR(__xludf.DUMMYFUNCTION("""COMPUTED_VALUE"""),"หญิง")</f>
        <v>หญิง</v>
      </c>
      <c r="F80" s="60"/>
      <c r="G80" s="60"/>
      <c r="H80" s="60"/>
      <c r="I80" s="62" t="s">
        <v>9899</v>
      </c>
      <c r="J80" s="60"/>
      <c r="K80" s="60"/>
      <c r="L80" s="63" t="str">
        <f t="shared" si="13"/>
        <v>(23007)นางสาววาสินีย์ สาและ_หญิง</v>
      </c>
      <c r="M80" s="83" t="s">
        <v>11470</v>
      </c>
      <c r="N80" s="84" t="s">
        <v>11536</v>
      </c>
      <c r="O80" s="60" t="s">
        <v>944</v>
      </c>
      <c r="P80" s="60" t="s">
        <v>944</v>
      </c>
      <c r="Q80" s="60">
        <v>13.0</v>
      </c>
      <c r="R80" s="60">
        <v>13.0</v>
      </c>
      <c r="S80" s="60">
        <v>12.0</v>
      </c>
      <c r="T80" s="60">
        <v>2.0</v>
      </c>
      <c r="U80" s="60">
        <v>13.0</v>
      </c>
      <c r="V80" s="60">
        <v>13.0</v>
      </c>
      <c r="W80" s="48">
        <v>11.0</v>
      </c>
      <c r="X80" s="60">
        <v>5.0</v>
      </c>
      <c r="Y80" s="48">
        <v>11.0</v>
      </c>
      <c r="Z80" s="60">
        <v>93.0</v>
      </c>
      <c r="AA80" s="85">
        <f t="shared" si="15"/>
        <v>40</v>
      </c>
      <c r="AB80" s="71" t="s">
        <v>11444</v>
      </c>
      <c r="AC80" s="60" t="s">
        <v>11454</v>
      </c>
      <c r="AD80" s="82" t="str">
        <f t="shared" si="14"/>
        <v>https://azizstan.net/studentcarev4/Students/Profile?id=23007</v>
      </c>
      <c r="AE80" s="47"/>
      <c r="AF80" s="47"/>
    </row>
    <row r="81" ht="24.0" customHeight="1">
      <c r="A81" s="48" t="s">
        <v>11440</v>
      </c>
      <c r="B81" s="58" t="s">
        <v>892</v>
      </c>
      <c r="C81" s="58" t="s">
        <v>10575</v>
      </c>
      <c r="D81" s="59" t="s">
        <v>11537</v>
      </c>
      <c r="E81" s="60" t="str">
        <f>IFERROR(__xludf.DUMMYFUNCTION("""COMPUTED_VALUE"""),"หญิง")</f>
        <v>หญิง</v>
      </c>
      <c r="F81" s="60"/>
      <c r="G81" s="60"/>
      <c r="H81" s="60"/>
      <c r="I81" s="62" t="s">
        <v>10575</v>
      </c>
      <c r="J81" s="60"/>
      <c r="K81" s="60"/>
      <c r="L81" s="63" t="str">
        <f t="shared" si="13"/>
        <v>(22916)นางสาวฟัตนียะห์ ปะจิ_หญิง</v>
      </c>
      <c r="M81" s="83" t="s">
        <v>11470</v>
      </c>
      <c r="N81" s="84" t="s">
        <v>11538</v>
      </c>
      <c r="O81" s="60" t="s">
        <v>944</v>
      </c>
      <c r="P81" s="60" t="s">
        <v>944</v>
      </c>
      <c r="Q81" s="60">
        <v>14.0</v>
      </c>
      <c r="R81" s="60">
        <v>11.0</v>
      </c>
      <c r="S81" s="60">
        <v>11.0</v>
      </c>
      <c r="T81" s="60">
        <v>2.0</v>
      </c>
      <c r="U81" s="60">
        <v>11.0</v>
      </c>
      <c r="V81" s="60">
        <v>15.0</v>
      </c>
      <c r="W81" s="48">
        <v>11.0</v>
      </c>
      <c r="X81" s="60">
        <v>5.0</v>
      </c>
      <c r="Y81" s="48">
        <v>13.0</v>
      </c>
      <c r="Z81" s="60">
        <v>93.0</v>
      </c>
      <c r="AA81" s="85">
        <f t="shared" si="15"/>
        <v>40</v>
      </c>
      <c r="AB81" s="71" t="s">
        <v>11444</v>
      </c>
      <c r="AC81" s="60" t="s">
        <v>11454</v>
      </c>
      <c r="AD81" s="82" t="str">
        <f t="shared" si="14"/>
        <v>https://azizstan.net/studentcarev4/Students/Profile?id=22916</v>
      </c>
      <c r="AE81" s="88"/>
      <c r="AF81" s="88"/>
    </row>
    <row r="82" ht="24.0" customHeight="1">
      <c r="A82" s="48" t="s">
        <v>11440</v>
      </c>
      <c r="B82" s="58" t="s">
        <v>935</v>
      </c>
      <c r="C82" s="62" t="s">
        <v>836</v>
      </c>
      <c r="D82" s="59" t="s">
        <v>11539</v>
      </c>
      <c r="E82" s="48" t="str">
        <f>IFERROR(__xludf.DUMMYFUNCTION("""COMPUTED_VALUE"""),"หญิง")</f>
        <v>หญิง</v>
      </c>
      <c r="F82" s="48"/>
      <c r="G82" s="48"/>
      <c r="H82" s="48"/>
      <c r="I82" s="58" t="s">
        <v>836</v>
      </c>
      <c r="J82" s="48"/>
      <c r="K82" s="48"/>
      <c r="L82" s="63" t="str">
        <f t="shared" si="13"/>
        <v>(25340)นางสาวนาดา โต๊ะเด็ง_หญิง</v>
      </c>
      <c r="M82" s="83" t="s">
        <v>11452</v>
      </c>
      <c r="N82" s="84" t="s">
        <v>11540</v>
      </c>
      <c r="O82" s="60" t="s">
        <v>944</v>
      </c>
      <c r="P82" s="60" t="s">
        <v>944</v>
      </c>
      <c r="Q82" s="60">
        <v>12.0</v>
      </c>
      <c r="R82" s="60">
        <v>11.0</v>
      </c>
      <c r="S82" s="60">
        <v>11.0</v>
      </c>
      <c r="T82" s="60">
        <v>2.0</v>
      </c>
      <c r="U82" s="60">
        <v>12.0</v>
      </c>
      <c r="V82" s="60">
        <v>14.0</v>
      </c>
      <c r="W82" s="48">
        <v>11.0</v>
      </c>
      <c r="X82" s="60">
        <v>5.0</v>
      </c>
      <c r="Y82" s="48">
        <v>14.0</v>
      </c>
      <c r="Z82" s="60">
        <v>92.0</v>
      </c>
      <c r="AA82" s="85">
        <f t="shared" si="15"/>
        <v>43</v>
      </c>
      <c r="AB82" s="71" t="s">
        <v>11444</v>
      </c>
      <c r="AC82" s="60" t="s">
        <v>11527</v>
      </c>
      <c r="AD82" s="82" t="str">
        <f t="shared" si="14"/>
        <v>https://azizstan.net/studentcarev4/Students/Profile?id=25340</v>
      </c>
      <c r="AE82" s="88"/>
      <c r="AF82" s="88"/>
    </row>
    <row r="83" ht="24.0" customHeight="1">
      <c r="A83" s="48" t="s">
        <v>11440</v>
      </c>
      <c r="B83" s="58" t="s">
        <v>769</v>
      </c>
      <c r="C83" s="75" t="s">
        <v>9065</v>
      </c>
      <c r="D83" s="59" t="s">
        <v>11541</v>
      </c>
      <c r="E83" s="60" t="str">
        <f>IFERROR(__xludf.DUMMYFUNCTION("""COMPUTED_VALUE"""),"หญิง")</f>
        <v>หญิง</v>
      </c>
      <c r="F83" s="60"/>
      <c r="G83" s="60"/>
      <c r="H83" s="60"/>
      <c r="I83" s="62" t="s">
        <v>9065</v>
      </c>
      <c r="J83" s="60"/>
      <c r="K83" s="60"/>
      <c r="L83" s="63" t="str">
        <f t="shared" si="13"/>
        <v>(24022)นางสาวสูมัยยะห์ อาลีมามะ_หญิง</v>
      </c>
      <c r="M83" s="83" t="s">
        <v>11470</v>
      </c>
      <c r="N83" s="84" t="s">
        <v>11542</v>
      </c>
      <c r="O83" s="60" t="s">
        <v>944</v>
      </c>
      <c r="P83" s="60" t="s">
        <v>944</v>
      </c>
      <c r="Q83" s="60">
        <v>13.0</v>
      </c>
      <c r="R83" s="60">
        <v>11.0</v>
      </c>
      <c r="S83" s="60">
        <v>11.0</v>
      </c>
      <c r="T83" s="60">
        <v>2.0</v>
      </c>
      <c r="U83" s="60">
        <v>13.0</v>
      </c>
      <c r="V83" s="60">
        <v>13.0</v>
      </c>
      <c r="W83" s="48">
        <v>11.0</v>
      </c>
      <c r="X83" s="60">
        <v>5.0</v>
      </c>
      <c r="Y83" s="48">
        <v>13.0</v>
      </c>
      <c r="Z83" s="60">
        <v>92.0</v>
      </c>
      <c r="AA83" s="85">
        <f t="shared" si="15"/>
        <v>43</v>
      </c>
      <c r="AB83" s="71" t="s">
        <v>11444</v>
      </c>
      <c r="AC83" s="60" t="s">
        <v>11527</v>
      </c>
      <c r="AD83" s="82" t="str">
        <f t="shared" si="14"/>
        <v>https://azizstan.net/studentcarev4/Students/Profile?id=24022</v>
      </c>
      <c r="AE83" s="88"/>
      <c r="AF83" s="88"/>
    </row>
    <row r="84" ht="24.0" customHeight="1">
      <c r="A84" s="48" t="s">
        <v>11440</v>
      </c>
      <c r="B84" s="58" t="s">
        <v>895</v>
      </c>
      <c r="C84" s="62" t="s">
        <v>10497</v>
      </c>
      <c r="D84" s="59" t="s">
        <v>11543</v>
      </c>
      <c r="E84" s="60" t="str">
        <f>IFERROR(__xludf.DUMMYFUNCTION("""COMPUTED_VALUE"""),"หญิง")</f>
        <v>หญิง</v>
      </c>
      <c r="F84" s="60"/>
      <c r="G84" s="60"/>
      <c r="H84" s="60"/>
      <c r="I84" s="62" t="s">
        <v>10497</v>
      </c>
      <c r="J84" s="60"/>
      <c r="K84" s="60"/>
      <c r="L84" s="63" t="str">
        <f t="shared" si="13"/>
        <v>(23888)นางสาวนูรีฮัน ยามา_หญิง</v>
      </c>
      <c r="M84" s="83" t="s">
        <v>11452</v>
      </c>
      <c r="N84" s="84" t="s">
        <v>11544</v>
      </c>
      <c r="O84" s="60" t="s">
        <v>944</v>
      </c>
      <c r="P84" s="60" t="s">
        <v>944</v>
      </c>
      <c r="Q84" s="60">
        <v>12.0</v>
      </c>
      <c r="R84" s="60">
        <v>12.0</v>
      </c>
      <c r="S84" s="60">
        <v>10.0</v>
      </c>
      <c r="T84" s="60">
        <v>3.0</v>
      </c>
      <c r="U84" s="60">
        <v>11.0</v>
      </c>
      <c r="V84" s="60">
        <v>13.0</v>
      </c>
      <c r="W84" s="48">
        <v>11.0</v>
      </c>
      <c r="X84" s="60">
        <v>5.0</v>
      </c>
      <c r="Y84" s="48">
        <v>11.0</v>
      </c>
      <c r="Z84" s="60">
        <v>88.0</v>
      </c>
      <c r="AA84" s="85">
        <f t="shared" si="15"/>
        <v>49</v>
      </c>
      <c r="AB84" s="71" t="s">
        <v>11444</v>
      </c>
      <c r="AC84" s="60" t="s">
        <v>11527</v>
      </c>
      <c r="AD84" s="82" t="str">
        <f t="shared" si="14"/>
        <v>https://azizstan.net/studentcarev4/Students/Profile?id=23888</v>
      </c>
      <c r="AE84" s="88"/>
      <c r="AF84" s="88"/>
    </row>
    <row r="85" ht="24.0" customHeight="1">
      <c r="A85" s="48" t="s">
        <v>11440</v>
      </c>
      <c r="B85" s="58" t="s">
        <v>897</v>
      </c>
      <c r="C85" s="62" t="s">
        <v>10640</v>
      </c>
      <c r="D85" s="59" t="s">
        <v>11545</v>
      </c>
      <c r="E85" s="60" t="str">
        <f>IFERROR(__xludf.DUMMYFUNCTION("""COMPUTED_VALUE"""),"หญิง")</f>
        <v>หญิง</v>
      </c>
      <c r="F85" s="60"/>
      <c r="G85" s="60"/>
      <c r="H85" s="60"/>
      <c r="I85" s="62" t="s">
        <v>10640</v>
      </c>
      <c r="J85" s="60"/>
      <c r="K85" s="60"/>
      <c r="L85" s="63" t="str">
        <f t="shared" si="13"/>
        <v>(23175)นางสาวนุสรา มิน่าวัง_หญิง</v>
      </c>
      <c r="M85" s="83" t="s">
        <v>11399</v>
      </c>
      <c r="N85" s="84" t="s">
        <v>11546</v>
      </c>
      <c r="O85" s="60" t="s">
        <v>944</v>
      </c>
      <c r="P85" s="60" t="s">
        <v>944</v>
      </c>
      <c r="Q85" s="60">
        <v>13.0</v>
      </c>
      <c r="R85" s="60">
        <v>10.0</v>
      </c>
      <c r="S85" s="60">
        <v>8.0</v>
      </c>
      <c r="T85" s="60">
        <v>2.0</v>
      </c>
      <c r="U85" s="60">
        <v>13.0</v>
      </c>
      <c r="V85" s="60">
        <v>15.0</v>
      </c>
      <c r="W85" s="48">
        <v>11.0</v>
      </c>
      <c r="X85" s="60">
        <v>9.0</v>
      </c>
      <c r="Y85" s="48">
        <v>11.0</v>
      </c>
      <c r="Z85" s="60">
        <v>92.0</v>
      </c>
      <c r="AA85" s="85">
        <f t="shared" si="15"/>
        <v>43</v>
      </c>
      <c r="AB85" s="71" t="s">
        <v>11444</v>
      </c>
      <c r="AC85" s="60" t="s">
        <v>11527</v>
      </c>
      <c r="AD85" s="82" t="str">
        <f t="shared" si="14"/>
        <v>https://azizstan.net/studentcarev4/Students/Profile?id=23175</v>
      </c>
      <c r="AE85" s="88"/>
      <c r="AF85" s="88"/>
    </row>
    <row r="86" ht="24.0" customHeight="1">
      <c r="A86" s="48" t="s">
        <v>11440</v>
      </c>
      <c r="B86" s="58" t="s">
        <v>889</v>
      </c>
      <c r="C86" s="75" t="s">
        <v>10581</v>
      </c>
      <c r="D86" s="59" t="s">
        <v>11547</v>
      </c>
      <c r="E86" s="60" t="str">
        <f>IFERROR(__xludf.DUMMYFUNCTION("""COMPUTED_VALUE"""),"หญิง")</f>
        <v>หญิง</v>
      </c>
      <c r="F86" s="60"/>
      <c r="G86" s="60"/>
      <c r="H86" s="60"/>
      <c r="I86" s="62" t="s">
        <v>10581</v>
      </c>
      <c r="J86" s="60"/>
      <c r="K86" s="60"/>
      <c r="L86" s="63" t="str">
        <f t="shared" si="13"/>
        <v>(24690)นางสาวอาดีลา อับดุลวาฮับ_หญิง</v>
      </c>
      <c r="M86" s="83" t="s">
        <v>11470</v>
      </c>
      <c r="N86" s="84" t="s">
        <v>11548</v>
      </c>
      <c r="O86" s="60" t="s">
        <v>944</v>
      </c>
      <c r="P86" s="60" t="s">
        <v>944</v>
      </c>
      <c r="Q86" s="60">
        <v>11.0</v>
      </c>
      <c r="R86" s="60">
        <v>11.0</v>
      </c>
      <c r="S86" s="60">
        <v>13.0</v>
      </c>
      <c r="T86" s="60">
        <v>2.0</v>
      </c>
      <c r="U86" s="60">
        <v>12.0</v>
      </c>
      <c r="V86" s="60">
        <v>14.0</v>
      </c>
      <c r="W86" s="48">
        <v>12.0</v>
      </c>
      <c r="X86" s="60">
        <v>5.0</v>
      </c>
      <c r="Y86" s="48">
        <v>12.0</v>
      </c>
      <c r="Z86" s="60">
        <v>92.0</v>
      </c>
      <c r="AA86" s="85">
        <f t="shared" si="15"/>
        <v>43</v>
      </c>
      <c r="AB86" s="71" t="s">
        <v>11444</v>
      </c>
      <c r="AC86" s="60" t="s">
        <v>11527</v>
      </c>
      <c r="AD86" s="82" t="str">
        <f t="shared" si="14"/>
        <v>https://azizstan.net/studentcarev4/Students/Profile?id=24690</v>
      </c>
      <c r="AE86" s="88"/>
      <c r="AF86" s="88"/>
    </row>
    <row r="87" ht="24.0" customHeight="1">
      <c r="A87" s="48" t="s">
        <v>11440</v>
      </c>
      <c r="B87" s="58" t="s">
        <v>899</v>
      </c>
      <c r="C87" s="75" t="s">
        <v>9028</v>
      </c>
      <c r="D87" s="59" t="s">
        <v>11549</v>
      </c>
      <c r="E87" s="60" t="str">
        <f>IFERROR(__xludf.DUMMYFUNCTION("""COMPUTED_VALUE"""),"หญิง")</f>
        <v>หญิง</v>
      </c>
      <c r="F87" s="60"/>
      <c r="G87" s="60"/>
      <c r="H87" s="60"/>
      <c r="I87" s="62" t="s">
        <v>9028</v>
      </c>
      <c r="J87" s="60"/>
      <c r="K87" s="60"/>
      <c r="L87" s="63" t="str">
        <f t="shared" si="13"/>
        <v>(22674)นางสาวกูนาซูฮา มอหะหมัด_หญิง</v>
      </c>
      <c r="M87" s="83" t="s">
        <v>11461</v>
      </c>
      <c r="N87" s="84" t="s">
        <v>11550</v>
      </c>
      <c r="O87" s="60" t="s">
        <v>944</v>
      </c>
      <c r="P87" s="60" t="s">
        <v>944</v>
      </c>
      <c r="Q87" s="60">
        <v>14.0</v>
      </c>
      <c r="R87" s="60">
        <v>11.0</v>
      </c>
      <c r="S87" s="60">
        <v>12.0</v>
      </c>
      <c r="T87" s="60">
        <v>2.0</v>
      </c>
      <c r="U87" s="60">
        <v>11.0</v>
      </c>
      <c r="V87" s="60">
        <v>12.0</v>
      </c>
      <c r="W87" s="48">
        <v>13.0</v>
      </c>
      <c r="X87" s="60">
        <v>5.0</v>
      </c>
      <c r="Y87" s="48">
        <v>11.0</v>
      </c>
      <c r="Z87" s="60">
        <v>91.0</v>
      </c>
      <c r="AA87" s="85">
        <f t="shared" si="15"/>
        <v>48</v>
      </c>
      <c r="AB87" s="71" t="s">
        <v>11444</v>
      </c>
      <c r="AC87" s="60" t="s">
        <v>11527</v>
      </c>
      <c r="AD87" s="82" t="str">
        <f t="shared" si="14"/>
        <v>https://azizstan.net/studentcarev4/Students/Profile?id=22674</v>
      </c>
      <c r="AE87" s="88"/>
      <c r="AF87" s="88"/>
    </row>
    <row r="88" ht="24.0" hidden="1" customHeight="1">
      <c r="A88" s="48" t="s">
        <v>11440</v>
      </c>
      <c r="B88" s="58" t="s">
        <v>952</v>
      </c>
      <c r="C88" s="75"/>
      <c r="D88" s="96"/>
      <c r="E88" s="60" t="str">
        <f>IFERROR(__xludf.DUMMYFUNCTION("""COMPUTED_VALUE"""),"")</f>
        <v/>
      </c>
      <c r="F88" s="60"/>
      <c r="G88" s="60"/>
      <c r="H88" s="60"/>
      <c r="I88" s="60"/>
      <c r="J88" s="60"/>
      <c r="K88" s="60"/>
      <c r="L88" s="63" t="str">
        <f t="shared" si="13"/>
        <v>(23391)_</v>
      </c>
      <c r="M88" s="97"/>
      <c r="N88" s="98"/>
      <c r="O88" s="99"/>
      <c r="P88" s="99"/>
      <c r="Q88" s="99"/>
      <c r="R88" s="99"/>
      <c r="S88" s="99"/>
      <c r="T88" s="99"/>
      <c r="U88" s="99"/>
      <c r="V88" s="99"/>
      <c r="W88" s="46"/>
      <c r="X88" s="99"/>
      <c r="Y88" s="46"/>
      <c r="Z88" s="99"/>
      <c r="AA88" s="99"/>
      <c r="AB88" s="99"/>
      <c r="AC88" s="99"/>
      <c r="AD88" s="72"/>
      <c r="AE88" s="88"/>
      <c r="AF88" s="88"/>
    </row>
    <row r="89" ht="24.0" hidden="1" customHeight="1">
      <c r="A89" s="48" t="s">
        <v>11440</v>
      </c>
      <c r="B89" s="58" t="s">
        <v>901</v>
      </c>
      <c r="C89" s="75"/>
      <c r="D89" s="96"/>
      <c r="E89" s="60" t="str">
        <f>IFERROR(__xludf.DUMMYFUNCTION("""COMPUTED_VALUE"""),"")</f>
        <v/>
      </c>
      <c r="F89" s="60"/>
      <c r="G89" s="60"/>
      <c r="H89" s="60"/>
      <c r="I89" s="60"/>
      <c r="J89" s="60"/>
      <c r="K89" s="60"/>
      <c r="L89" s="63" t="str">
        <f t="shared" si="13"/>
        <v>()_</v>
      </c>
      <c r="M89" s="97"/>
      <c r="N89" s="98"/>
      <c r="O89" s="99"/>
      <c r="P89" s="99"/>
      <c r="Q89" s="99"/>
      <c r="R89" s="99"/>
      <c r="S89" s="99"/>
      <c r="T89" s="99"/>
      <c r="U89" s="99"/>
      <c r="V89" s="99"/>
      <c r="W89" s="46"/>
      <c r="X89" s="99"/>
      <c r="Y89" s="46"/>
      <c r="Z89" s="99"/>
      <c r="AA89" s="99"/>
      <c r="AB89" s="99"/>
      <c r="AC89" s="99"/>
      <c r="AD89" s="72"/>
      <c r="AE89" s="88"/>
      <c r="AF89" s="88"/>
    </row>
    <row r="90" ht="24.0" hidden="1" customHeight="1">
      <c r="A90" s="48" t="s">
        <v>11440</v>
      </c>
      <c r="B90" s="58" t="s">
        <v>954</v>
      </c>
      <c r="C90" s="75"/>
      <c r="D90" s="96"/>
      <c r="E90" s="60" t="str">
        <f>IFERROR(__xludf.DUMMYFUNCTION("""COMPUTED_VALUE"""),"")</f>
        <v/>
      </c>
      <c r="F90" s="60"/>
      <c r="G90" s="60"/>
      <c r="H90" s="60"/>
      <c r="I90" s="60"/>
      <c r="J90" s="60"/>
      <c r="K90" s="60"/>
      <c r="L90" s="63" t="str">
        <f t="shared" si="13"/>
        <v>()_</v>
      </c>
      <c r="M90" s="97"/>
      <c r="N90" s="98"/>
      <c r="O90" s="99"/>
      <c r="P90" s="99"/>
      <c r="Q90" s="99"/>
      <c r="R90" s="99"/>
      <c r="S90" s="99"/>
      <c r="T90" s="99"/>
      <c r="U90" s="99"/>
      <c r="V90" s="99"/>
      <c r="W90" s="46"/>
      <c r="X90" s="99"/>
      <c r="Y90" s="46"/>
      <c r="Z90" s="99"/>
      <c r="AA90" s="99"/>
      <c r="AB90" s="99"/>
      <c r="AC90" s="99"/>
      <c r="AD90" s="72"/>
      <c r="AE90" s="88"/>
      <c r="AF90" s="88"/>
    </row>
    <row r="91" ht="24.0" hidden="1" customHeight="1">
      <c r="A91" s="48" t="s">
        <v>11440</v>
      </c>
      <c r="B91" s="58" t="s">
        <v>955</v>
      </c>
      <c r="C91" s="75"/>
      <c r="D91" s="96"/>
      <c r="E91" s="60" t="str">
        <f>IFERROR(__xludf.DUMMYFUNCTION("""COMPUTED_VALUE"""),"")</f>
        <v/>
      </c>
      <c r="F91" s="60"/>
      <c r="G91" s="60"/>
      <c r="H91" s="60"/>
      <c r="I91" s="60"/>
      <c r="J91" s="60"/>
      <c r="K91" s="60"/>
      <c r="L91" s="63" t="str">
        <f t="shared" si="13"/>
        <v>()_</v>
      </c>
      <c r="M91" s="97"/>
      <c r="N91" s="98"/>
      <c r="O91" s="99"/>
      <c r="P91" s="99"/>
      <c r="Q91" s="99"/>
      <c r="R91" s="99"/>
      <c r="S91" s="99"/>
      <c r="T91" s="99"/>
      <c r="U91" s="99"/>
      <c r="V91" s="99"/>
      <c r="W91" s="46"/>
      <c r="X91" s="99"/>
      <c r="Y91" s="46"/>
      <c r="Z91" s="99"/>
      <c r="AA91" s="99"/>
      <c r="AB91" s="99"/>
      <c r="AC91" s="99"/>
      <c r="AD91" s="72"/>
      <c r="AE91" s="88"/>
      <c r="AF91" s="88"/>
    </row>
    <row r="92" ht="24.0" hidden="1" customHeight="1">
      <c r="A92" s="48" t="s">
        <v>11440</v>
      </c>
      <c r="B92" s="58" t="s">
        <v>904</v>
      </c>
      <c r="C92" s="74"/>
      <c r="D92" s="96"/>
      <c r="E92" s="60" t="str">
        <f>IFERROR(__xludf.DUMMYFUNCTION("""COMPUTED_VALUE"""),"")</f>
        <v/>
      </c>
      <c r="F92" s="60"/>
      <c r="G92" s="60"/>
      <c r="H92" s="60"/>
      <c r="I92" s="60"/>
      <c r="J92" s="60"/>
      <c r="K92" s="60"/>
      <c r="L92" s="63" t="str">
        <f t="shared" si="13"/>
        <v>()_</v>
      </c>
      <c r="M92" s="97"/>
      <c r="N92" s="98"/>
      <c r="O92" s="99"/>
      <c r="P92" s="99"/>
      <c r="Q92" s="99"/>
      <c r="R92" s="99"/>
      <c r="S92" s="99"/>
      <c r="T92" s="99"/>
      <c r="U92" s="99"/>
      <c r="V92" s="99"/>
      <c r="W92" s="46"/>
      <c r="X92" s="99"/>
      <c r="Y92" s="46"/>
      <c r="Z92" s="99"/>
      <c r="AA92" s="99"/>
      <c r="AB92" s="99"/>
      <c r="AC92" s="99"/>
      <c r="AD92" s="72"/>
      <c r="AE92" s="88"/>
      <c r="AF92" s="88"/>
    </row>
    <row r="93" ht="24.0" hidden="1" customHeight="1">
      <c r="A93" s="48" t="s">
        <v>11440</v>
      </c>
      <c r="B93" s="58" t="s">
        <v>906</v>
      </c>
      <c r="C93" s="74"/>
      <c r="D93" s="96"/>
      <c r="E93" s="60" t="str">
        <f>IFERROR(__xludf.DUMMYFUNCTION("""COMPUTED_VALUE"""),"")</f>
        <v/>
      </c>
      <c r="F93" s="60"/>
      <c r="G93" s="60"/>
      <c r="H93" s="60"/>
      <c r="I93" s="60"/>
      <c r="J93" s="60"/>
      <c r="K93" s="60"/>
      <c r="L93" s="63" t="str">
        <f t="shared" ref="L93:L103" si="16">"("&amp; C93&amp;")"&amp;D93&amp;"_"&amp;E93</f>
        <v>()_</v>
      </c>
      <c r="M93" s="97"/>
      <c r="N93" s="98"/>
      <c r="O93" s="99"/>
      <c r="P93" s="99"/>
      <c r="Q93" s="99"/>
      <c r="R93" s="99"/>
      <c r="S93" s="99"/>
      <c r="T93" s="99"/>
      <c r="U93" s="99"/>
      <c r="V93" s="99"/>
      <c r="W93" s="46"/>
      <c r="X93" s="99"/>
      <c r="Y93" s="46"/>
      <c r="Z93" s="99"/>
      <c r="AA93" s="99"/>
      <c r="AB93" s="99"/>
      <c r="AC93" s="99"/>
      <c r="AD93" s="72"/>
      <c r="AE93" s="88"/>
      <c r="AF93" s="88"/>
    </row>
    <row r="94" ht="24.0" hidden="1" customHeight="1">
      <c r="A94" s="48" t="s">
        <v>11440</v>
      </c>
      <c r="B94" s="58" t="s">
        <v>908</v>
      </c>
      <c r="C94" s="74"/>
      <c r="D94" s="96"/>
      <c r="E94" s="60" t="str">
        <f>IFERROR(__xludf.DUMMYFUNCTION("""COMPUTED_VALUE"""),"")</f>
        <v/>
      </c>
      <c r="F94" s="60"/>
      <c r="G94" s="60"/>
      <c r="H94" s="60"/>
      <c r="I94" s="60"/>
      <c r="J94" s="60"/>
      <c r="K94" s="60"/>
      <c r="L94" s="63" t="str">
        <f t="shared" si="16"/>
        <v>()_</v>
      </c>
      <c r="M94" s="97"/>
      <c r="N94" s="98"/>
      <c r="O94" s="99"/>
      <c r="P94" s="99"/>
      <c r="Q94" s="99"/>
      <c r="R94" s="99"/>
      <c r="S94" s="99"/>
      <c r="T94" s="99"/>
      <c r="U94" s="99"/>
      <c r="V94" s="99"/>
      <c r="W94" s="46"/>
      <c r="X94" s="99"/>
      <c r="Y94" s="46"/>
      <c r="Z94" s="99"/>
      <c r="AA94" s="99"/>
      <c r="AB94" s="99"/>
      <c r="AC94" s="99"/>
      <c r="AD94" s="72"/>
      <c r="AE94" s="88"/>
      <c r="AF94" s="88"/>
    </row>
    <row r="95" ht="24.0" hidden="1" customHeight="1">
      <c r="A95" s="48" t="s">
        <v>11440</v>
      </c>
      <c r="B95" s="58" t="s">
        <v>936</v>
      </c>
      <c r="C95" s="74"/>
      <c r="D95" s="96"/>
      <c r="E95" s="60" t="str">
        <f>IFERROR(__xludf.DUMMYFUNCTION("""COMPUTED_VALUE"""),"")</f>
        <v/>
      </c>
      <c r="F95" s="60"/>
      <c r="G95" s="60"/>
      <c r="H95" s="60"/>
      <c r="I95" s="60"/>
      <c r="J95" s="60"/>
      <c r="K95" s="60"/>
      <c r="L95" s="63" t="str">
        <f t="shared" si="16"/>
        <v>()_</v>
      </c>
      <c r="M95" s="97"/>
      <c r="N95" s="98"/>
      <c r="O95" s="99"/>
      <c r="P95" s="99"/>
      <c r="Q95" s="99"/>
      <c r="R95" s="99"/>
      <c r="S95" s="99"/>
      <c r="T95" s="99"/>
      <c r="U95" s="99"/>
      <c r="V95" s="99"/>
      <c r="W95" s="46"/>
      <c r="X95" s="99"/>
      <c r="Y95" s="46"/>
      <c r="Z95" s="99"/>
      <c r="AA95" s="99"/>
      <c r="AB95" s="99"/>
      <c r="AC95" s="99"/>
      <c r="AD95" s="72"/>
      <c r="AE95" s="88"/>
      <c r="AF95" s="88"/>
    </row>
    <row r="96" ht="24.0" hidden="1" customHeight="1">
      <c r="A96" s="48" t="s">
        <v>11440</v>
      </c>
      <c r="B96" s="58" t="s">
        <v>910</v>
      </c>
      <c r="C96" s="74"/>
      <c r="D96" s="96"/>
      <c r="E96" s="60" t="str">
        <f>IFERROR(__xludf.DUMMYFUNCTION("""COMPUTED_VALUE"""),"")</f>
        <v/>
      </c>
      <c r="F96" s="60"/>
      <c r="G96" s="60"/>
      <c r="H96" s="60"/>
      <c r="I96" s="60"/>
      <c r="J96" s="60"/>
      <c r="K96" s="60"/>
      <c r="L96" s="63" t="str">
        <f t="shared" si="16"/>
        <v>()_</v>
      </c>
      <c r="M96" s="97"/>
      <c r="N96" s="98"/>
      <c r="O96" s="99"/>
      <c r="P96" s="99"/>
      <c r="Q96" s="99"/>
      <c r="R96" s="99"/>
      <c r="S96" s="99"/>
      <c r="T96" s="99"/>
      <c r="U96" s="99"/>
      <c r="V96" s="99"/>
      <c r="W96" s="46"/>
      <c r="X96" s="99"/>
      <c r="Y96" s="46"/>
      <c r="Z96" s="99"/>
      <c r="AA96" s="99"/>
      <c r="AB96" s="99"/>
      <c r="AC96" s="99"/>
      <c r="AD96" s="72"/>
      <c r="AE96" s="88"/>
      <c r="AF96" s="88"/>
    </row>
    <row r="97" ht="24.0" hidden="1" customHeight="1">
      <c r="A97" s="48" t="s">
        <v>11440</v>
      </c>
      <c r="B97" s="58" t="s">
        <v>937</v>
      </c>
      <c r="C97" s="74"/>
      <c r="D97" s="96"/>
      <c r="E97" s="60" t="str">
        <f>IFERROR(__xludf.DUMMYFUNCTION("""COMPUTED_VALUE"""),"")</f>
        <v/>
      </c>
      <c r="F97" s="60"/>
      <c r="G97" s="60"/>
      <c r="H97" s="60"/>
      <c r="I97" s="60"/>
      <c r="J97" s="60"/>
      <c r="K97" s="60"/>
      <c r="L97" s="63" t="str">
        <f t="shared" si="16"/>
        <v>()_</v>
      </c>
      <c r="M97" s="97"/>
      <c r="N97" s="98"/>
      <c r="O97" s="99"/>
      <c r="P97" s="99"/>
      <c r="Q97" s="99"/>
      <c r="R97" s="99"/>
      <c r="S97" s="99"/>
      <c r="T97" s="99"/>
      <c r="U97" s="99"/>
      <c r="V97" s="99"/>
      <c r="W97" s="46"/>
      <c r="X97" s="99"/>
      <c r="Y97" s="46"/>
      <c r="Z97" s="99"/>
      <c r="AA97" s="99"/>
      <c r="AB97" s="99"/>
      <c r="AC97" s="99"/>
      <c r="AD97" s="72"/>
      <c r="AE97" s="88"/>
      <c r="AF97" s="88"/>
    </row>
    <row r="98" ht="24.0" hidden="1" customHeight="1">
      <c r="A98" s="48" t="s">
        <v>11440</v>
      </c>
      <c r="B98" s="58" t="s">
        <v>810</v>
      </c>
      <c r="C98" s="74"/>
      <c r="D98" s="96"/>
      <c r="E98" s="60" t="str">
        <f>IFERROR(__xludf.DUMMYFUNCTION("""COMPUTED_VALUE"""),"")</f>
        <v/>
      </c>
      <c r="F98" s="60"/>
      <c r="G98" s="60"/>
      <c r="H98" s="60"/>
      <c r="I98" s="60"/>
      <c r="J98" s="60"/>
      <c r="K98" s="60"/>
      <c r="L98" s="63" t="str">
        <f t="shared" si="16"/>
        <v>()_</v>
      </c>
      <c r="M98" s="97"/>
      <c r="N98" s="98"/>
      <c r="O98" s="99"/>
      <c r="P98" s="99"/>
      <c r="Q98" s="99"/>
      <c r="R98" s="99"/>
      <c r="S98" s="99"/>
      <c r="T98" s="99"/>
      <c r="U98" s="99"/>
      <c r="V98" s="99"/>
      <c r="W98" s="46"/>
      <c r="X98" s="99"/>
      <c r="Y98" s="46"/>
      <c r="Z98" s="99"/>
      <c r="AA98" s="99"/>
      <c r="AB98" s="99"/>
      <c r="AC98" s="99"/>
      <c r="AD98" s="72"/>
      <c r="AE98" s="88"/>
      <c r="AF98" s="88"/>
    </row>
    <row r="99" ht="24.0" hidden="1" customHeight="1">
      <c r="A99" s="48" t="s">
        <v>11440</v>
      </c>
      <c r="B99" s="58" t="s">
        <v>912</v>
      </c>
      <c r="C99" s="100"/>
      <c r="D99" s="101"/>
      <c r="E99" s="99" t="str">
        <f>IFERROR(__xludf.DUMMYFUNCTION("""COMPUTED_VALUE"""),"")</f>
        <v/>
      </c>
      <c r="F99" s="99"/>
      <c r="G99" s="99"/>
      <c r="H99" s="99"/>
      <c r="I99" s="99"/>
      <c r="J99" s="99"/>
      <c r="K99" s="99"/>
      <c r="L99" s="63" t="str">
        <f t="shared" si="16"/>
        <v>()_</v>
      </c>
      <c r="M99" s="97"/>
      <c r="N99" s="98"/>
      <c r="O99" s="99"/>
      <c r="P99" s="99"/>
      <c r="Q99" s="99"/>
      <c r="R99" s="99"/>
      <c r="S99" s="99"/>
      <c r="T99" s="99"/>
      <c r="U99" s="99"/>
      <c r="V99" s="99"/>
      <c r="W99" s="46"/>
      <c r="X99" s="99"/>
      <c r="Y99" s="46"/>
      <c r="Z99" s="99"/>
      <c r="AA99" s="99"/>
      <c r="AB99" s="99"/>
      <c r="AC99" s="99"/>
      <c r="AD99" s="72"/>
      <c r="AE99" s="88"/>
      <c r="AF99" s="88"/>
    </row>
    <row r="100" ht="24.0" hidden="1" customHeight="1">
      <c r="A100" s="48" t="s">
        <v>11440</v>
      </c>
      <c r="B100" s="58" t="s">
        <v>771</v>
      </c>
      <c r="C100" s="100"/>
      <c r="D100" s="101"/>
      <c r="E100" s="99" t="str">
        <f>IFERROR(__xludf.DUMMYFUNCTION("""COMPUTED_VALUE"""),"")</f>
        <v/>
      </c>
      <c r="F100" s="99"/>
      <c r="G100" s="99"/>
      <c r="H100" s="99"/>
      <c r="I100" s="99"/>
      <c r="J100" s="99"/>
      <c r="K100" s="99"/>
      <c r="L100" s="63" t="str">
        <f t="shared" si="16"/>
        <v>()_</v>
      </c>
      <c r="M100" s="97"/>
      <c r="N100" s="98"/>
      <c r="O100" s="99"/>
      <c r="P100" s="99"/>
      <c r="Q100" s="99"/>
      <c r="R100" s="99"/>
      <c r="S100" s="99"/>
      <c r="T100" s="99"/>
      <c r="U100" s="99"/>
      <c r="V100" s="99"/>
      <c r="W100" s="46"/>
      <c r="X100" s="99"/>
      <c r="Y100" s="46"/>
      <c r="Z100" s="99"/>
      <c r="AA100" s="99"/>
      <c r="AB100" s="99"/>
      <c r="AC100" s="99"/>
      <c r="AD100" s="72"/>
      <c r="AE100" s="88"/>
      <c r="AF100" s="88"/>
    </row>
    <row r="101" ht="24.0" hidden="1" customHeight="1">
      <c r="A101" s="48" t="s">
        <v>11440</v>
      </c>
      <c r="B101" s="58" t="s">
        <v>938</v>
      </c>
      <c r="C101" s="100"/>
      <c r="D101" s="101"/>
      <c r="E101" s="99" t="str">
        <f>IFERROR(__xludf.DUMMYFUNCTION("""COMPUTED_VALUE"""),"")</f>
        <v/>
      </c>
      <c r="F101" s="99"/>
      <c r="G101" s="99"/>
      <c r="H101" s="99"/>
      <c r="I101" s="99"/>
      <c r="J101" s="99"/>
      <c r="K101" s="99"/>
      <c r="L101" s="63" t="str">
        <f t="shared" si="16"/>
        <v>()_</v>
      </c>
      <c r="M101" s="97"/>
      <c r="N101" s="98"/>
      <c r="O101" s="99"/>
      <c r="P101" s="99"/>
      <c r="Q101" s="99"/>
      <c r="R101" s="99"/>
      <c r="S101" s="99"/>
      <c r="T101" s="99"/>
      <c r="U101" s="99"/>
      <c r="V101" s="99"/>
      <c r="W101" s="46"/>
      <c r="X101" s="99"/>
      <c r="Y101" s="46"/>
      <c r="Z101" s="99"/>
      <c r="AA101" s="99"/>
      <c r="AB101" s="99"/>
      <c r="AC101" s="99"/>
      <c r="AD101" s="72"/>
      <c r="AE101" s="88"/>
      <c r="AF101" s="88"/>
    </row>
    <row r="102" ht="24.0" hidden="1" customHeight="1">
      <c r="A102" s="48" t="s">
        <v>11440</v>
      </c>
      <c r="B102" s="58" t="s">
        <v>773</v>
      </c>
      <c r="C102" s="100"/>
      <c r="D102" s="101"/>
      <c r="E102" s="99" t="str">
        <f>IFERROR(__xludf.DUMMYFUNCTION("""COMPUTED_VALUE"""),"")</f>
        <v/>
      </c>
      <c r="F102" s="99"/>
      <c r="G102" s="99"/>
      <c r="H102" s="99"/>
      <c r="I102" s="99"/>
      <c r="J102" s="99"/>
      <c r="K102" s="99"/>
      <c r="L102" s="63" t="str">
        <f t="shared" si="16"/>
        <v>()_</v>
      </c>
      <c r="M102" s="97"/>
      <c r="N102" s="98"/>
      <c r="O102" s="99"/>
      <c r="P102" s="99"/>
      <c r="Q102" s="99"/>
      <c r="R102" s="99"/>
      <c r="S102" s="99"/>
      <c r="T102" s="99"/>
      <c r="U102" s="99"/>
      <c r="V102" s="99"/>
      <c r="W102" s="46"/>
      <c r="X102" s="99"/>
      <c r="Y102" s="46"/>
      <c r="Z102" s="99"/>
      <c r="AA102" s="99"/>
      <c r="AB102" s="99"/>
      <c r="AC102" s="99"/>
      <c r="AD102" s="72"/>
      <c r="AE102" s="88"/>
      <c r="AF102" s="88"/>
    </row>
    <row r="103" ht="24.0" hidden="1" customHeight="1">
      <c r="A103" s="48" t="s">
        <v>11440</v>
      </c>
      <c r="B103" s="58" t="s">
        <v>914</v>
      </c>
      <c r="C103" s="100"/>
      <c r="D103" s="101"/>
      <c r="E103" s="99" t="str">
        <f>IFERROR(__xludf.DUMMYFUNCTION("""COMPUTED_VALUE"""),"")</f>
        <v/>
      </c>
      <c r="F103" s="99"/>
      <c r="G103" s="99"/>
      <c r="H103" s="99"/>
      <c r="I103" s="99"/>
      <c r="J103" s="99"/>
      <c r="K103" s="99"/>
      <c r="L103" s="63" t="str">
        <f t="shared" si="16"/>
        <v>()_</v>
      </c>
      <c r="M103" s="97"/>
      <c r="N103" s="98"/>
      <c r="O103" s="99"/>
      <c r="P103" s="99"/>
      <c r="Q103" s="99"/>
      <c r="R103" s="99"/>
      <c r="S103" s="99"/>
      <c r="T103" s="99"/>
      <c r="U103" s="99"/>
      <c r="V103" s="99"/>
      <c r="W103" s="46"/>
      <c r="X103" s="99"/>
      <c r="Y103" s="46"/>
      <c r="Z103" s="99"/>
      <c r="AA103" s="99"/>
      <c r="AB103" s="99"/>
      <c r="AC103" s="99"/>
      <c r="AD103" s="72"/>
      <c r="AE103" s="88"/>
      <c r="AF103" s="88"/>
    </row>
    <row r="104" ht="24.0" hidden="1" customHeight="1">
      <c r="A104" s="48" t="s">
        <v>11440</v>
      </c>
      <c r="B104" s="58" t="s">
        <v>719</v>
      </c>
      <c r="C104" s="102"/>
      <c r="D104" s="101"/>
      <c r="E104" s="99" t="str">
        <f>IFERROR(__xludf.DUMMYFUNCTION("""COMPUTED_VALUE"""),"")</f>
        <v/>
      </c>
      <c r="F104" s="99"/>
      <c r="G104" s="99"/>
      <c r="H104" s="99"/>
      <c r="I104" s="99"/>
      <c r="J104" s="99"/>
      <c r="K104" s="99"/>
      <c r="L104" s="97"/>
      <c r="M104" s="97"/>
      <c r="N104" s="98"/>
      <c r="O104" s="99"/>
      <c r="P104" s="99"/>
      <c r="Q104" s="99"/>
      <c r="R104" s="99"/>
      <c r="S104" s="99"/>
      <c r="T104" s="99"/>
      <c r="U104" s="99"/>
      <c r="V104" s="99"/>
      <c r="W104" s="46"/>
      <c r="X104" s="99"/>
      <c r="Y104" s="46"/>
      <c r="Z104" s="99"/>
      <c r="AA104" s="99"/>
      <c r="AB104" s="99"/>
      <c r="AC104" s="99"/>
      <c r="AD104" s="72"/>
      <c r="AE104" s="88"/>
      <c r="AF104" s="88"/>
    </row>
    <row r="105" ht="24.0" hidden="1" customHeight="1">
      <c r="A105" s="48" t="s">
        <v>11440</v>
      </c>
      <c r="B105" s="58" t="s">
        <v>725</v>
      </c>
      <c r="C105" s="100"/>
      <c r="D105" s="101"/>
      <c r="E105" s="99" t="str">
        <f>IFERROR(__xludf.DUMMYFUNCTION("""COMPUTED_VALUE"""),"")</f>
        <v/>
      </c>
      <c r="F105" s="99"/>
      <c r="G105" s="99"/>
      <c r="H105" s="99"/>
      <c r="I105" s="99"/>
      <c r="J105" s="99"/>
      <c r="K105" s="99"/>
      <c r="L105" s="97"/>
      <c r="M105" s="97"/>
      <c r="N105" s="98"/>
      <c r="O105" s="99"/>
      <c r="P105" s="99"/>
      <c r="Q105" s="99"/>
      <c r="R105" s="99"/>
      <c r="S105" s="99"/>
      <c r="T105" s="99"/>
      <c r="U105" s="99"/>
      <c r="V105" s="99"/>
      <c r="W105" s="46"/>
      <c r="X105" s="99"/>
      <c r="Y105" s="46"/>
      <c r="Z105" s="99"/>
      <c r="AA105" s="99"/>
      <c r="AB105" s="99"/>
      <c r="AC105" s="99"/>
      <c r="AD105" s="72"/>
      <c r="AE105" s="88"/>
      <c r="AF105" s="88"/>
    </row>
  </sheetData>
  <autoFilter ref="$C$2:$AA$105">
    <sortState ref="C2:AA105">
      <sortCondition ref="AA2:AA105"/>
    </sortState>
  </autoFilter>
  <mergeCells count="1">
    <mergeCell ref="A1:K1"/>
  </mergeCells>
  <printOptions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3" max="3" width="14.5"/>
    <col customWidth="1" min="4" max="4" width="11.38"/>
    <col customWidth="1" min="5" max="5" width="42.5"/>
    <col customWidth="1" min="7" max="8" width="26.38"/>
  </cols>
  <sheetData>
    <row r="1" ht="22.5" customHeight="1">
      <c r="A1" s="103" t="s">
        <v>11551</v>
      </c>
      <c r="B1" s="29" t="s">
        <v>11552</v>
      </c>
      <c r="C1" s="29" t="s">
        <v>11553</v>
      </c>
      <c r="D1" s="29" t="s">
        <v>11554</v>
      </c>
      <c r="E1" s="104" t="s">
        <v>11555</v>
      </c>
      <c r="F1" s="103" t="s">
        <v>11365</v>
      </c>
      <c r="G1" s="104" t="s">
        <v>11556</v>
      </c>
      <c r="H1" s="104" t="s">
        <v>11557</v>
      </c>
    </row>
    <row r="2" ht="22.5" customHeight="1">
      <c r="A2" s="23" t="s">
        <v>175</v>
      </c>
      <c r="B2" s="23" t="s">
        <v>694</v>
      </c>
      <c r="C2" s="105" t="str">
        <f>IFERROR(__xludf.DUMMYFUNCTION("SUBSTITUTE(IFERROR(REGEXREPLACE(LEFT(A2,FIND("" "",A2)-1),""^(เด็กหญิง|เด็กชาย|นาย|นางสาว|น\.ส\.|ด\.ญ\.|ด\.ช\.)"",""""),""""),""มูฮัมหมัด"",""ม."")"),"บัดรี")</f>
        <v>บัดรี</v>
      </c>
      <c r="D2" s="105" t="str">
        <f t="shared" ref="D2:D103" si="1">IFERROR(TRIM(MID(A2,FIND(" ",A2)+1,LEN(A2))),"")</f>
        <v>เจะหะ</v>
      </c>
      <c r="E2" s="106" t="str">
        <f t="array" ref="E2:E997">B2:B997&amp;"_"&amp;C2:C997&amp;"_"&amp;D2:D997&amp;"_"&amp;F2:F997&amp;"_"&amp;G2:G997</f>
        <v>25865_บัดรี_เจะหะ_ม.3/1|อก.2/1_🎉 สวัสดิการ/นันทนาการ</v>
      </c>
      <c r="F2" s="105" t="str">
        <f t="array" ref="F2:F997">if(B2:B997="","",XLOOKUP(B2:B997,'std68'!B2:B997,'std68'!D2:D997&amp;"|"&amp;'std68'!E2:E997))</f>
        <v>ม.3/1|อก.2/1</v>
      </c>
      <c r="G2" s="106" t="str">
        <f t="array" ref="G2:G997">if(B2:B997="","",XLOOKUP(B2:B997,council_members!B2:B997,council_members!H2:H997))</f>
        <v>🎉 สวัสดิการ/นันทนาการ</v>
      </c>
      <c r="H2" s="106"/>
    </row>
    <row r="3" ht="22.5" customHeight="1">
      <c r="A3" s="23" t="s">
        <v>261</v>
      </c>
      <c r="B3" s="23" t="s">
        <v>697</v>
      </c>
      <c r="C3" s="105" t="str">
        <f>IFERROR(__xludf.DUMMYFUNCTION("SUBSTITUTE(IFERROR(REGEXREPLACE(LEFT(A3,FIND("" "",A3)-1),""^(เด็กหญิง|เด็กชาย|นาย|นางสาว|น\.ส\.|ด\.ญ\.|ด\.ช\.)"",""""),""""),""มูฮัมหมัด"",""ม."")"),"อัฟฎอล")</f>
        <v>อัฟฎอล</v>
      </c>
      <c r="D3" s="105" t="str">
        <f t="shared" si="1"/>
        <v>หะยีจิ</v>
      </c>
      <c r="E3" s="106" t="s">
        <v>11558</v>
      </c>
      <c r="F3" s="105" t="s">
        <v>11559</v>
      </c>
      <c r="G3" s="106" t="s">
        <v>699</v>
      </c>
      <c r="H3" s="106"/>
    </row>
    <row r="4" ht="22.5" customHeight="1">
      <c r="A4" s="23" t="s">
        <v>252</v>
      </c>
      <c r="B4" s="23" t="s">
        <v>705</v>
      </c>
      <c r="C4" s="105" t="str">
        <f>IFERROR(__xludf.DUMMYFUNCTION("SUBSTITUTE(IFERROR(REGEXREPLACE(LEFT(A4,FIND("" "",A4)-1),""^(เด็กหญิง|เด็กชาย|นาย|นางสาว|น\.ส\.|ด\.ญ\.|ด\.ช\.)"",""""),""""),""มูฮัมหมัด"",""ม."")"),"อาลีฟ")</f>
        <v>อาลีฟ</v>
      </c>
      <c r="D4" s="105" t="str">
        <f t="shared" si="1"/>
        <v>หะยีมิง</v>
      </c>
      <c r="E4" s="106" t="s">
        <v>11560</v>
      </c>
      <c r="F4" s="105" t="s">
        <v>11561</v>
      </c>
      <c r="G4" s="106" t="s">
        <v>707</v>
      </c>
      <c r="H4" s="106"/>
    </row>
    <row r="5" ht="22.5" customHeight="1">
      <c r="A5" s="23" t="s">
        <v>169</v>
      </c>
      <c r="B5" s="23" t="s">
        <v>701</v>
      </c>
      <c r="C5" s="105" t="str">
        <f>IFERROR(__xludf.DUMMYFUNCTION("SUBSTITUTE(IFERROR(REGEXREPLACE(LEFT(A5,FIND("" "",A5)-1),""^(เด็กหญิง|เด็กชาย|นาย|นางสาว|น\.ส\.|ด\.ญ\.|ด\.ช\.)"",""""),""""),""มูฮัมหมัด"",""ม."")"),"ฮิซมาน")</f>
        <v>ฮิซมาน</v>
      </c>
      <c r="D5" s="105" t="str">
        <f t="shared" si="1"/>
        <v>หีมใบ</v>
      </c>
      <c r="E5" s="106" t="s">
        <v>11562</v>
      </c>
      <c r="F5" s="105" t="s">
        <v>11561</v>
      </c>
      <c r="G5" s="106" t="s">
        <v>703</v>
      </c>
      <c r="H5" s="106"/>
    </row>
    <row r="6" ht="22.5" customHeight="1">
      <c r="A6" s="23" t="s">
        <v>172</v>
      </c>
      <c r="B6" s="23" t="s">
        <v>713</v>
      </c>
      <c r="C6" s="105" t="str">
        <f>IFERROR(__xludf.DUMMYFUNCTION("SUBSTITUTE(IFERROR(REGEXREPLACE(LEFT(A6,FIND("" "",A6)-1),""^(เด็กหญิง|เด็กชาย|นาย|นางสาว|น\.ส\.|ด\.ญ\.|ด\.ช\.)"",""""),""""),""มูฮัมหมัด"",""ม."")"),"คัสราฟีย์")</f>
        <v>คัสราฟีย์</v>
      </c>
      <c r="D6" s="105" t="str">
        <f t="shared" si="1"/>
        <v>สามะ</v>
      </c>
      <c r="E6" s="106" t="s">
        <v>11563</v>
      </c>
      <c r="F6" s="105" t="s">
        <v>11564</v>
      </c>
      <c r="G6" s="106" t="s">
        <v>699</v>
      </c>
      <c r="H6" s="106"/>
    </row>
    <row r="7" ht="22.5" customHeight="1">
      <c r="A7" s="23" t="s">
        <v>222</v>
      </c>
      <c r="B7" s="23" t="s">
        <v>774</v>
      </c>
      <c r="C7" s="105" t="str">
        <f>IFERROR(__xludf.DUMMYFUNCTION("SUBSTITUTE(IFERROR(REGEXREPLACE(LEFT(A7,FIND("" "",A7)-1),""^(เด็กหญิง|เด็กชาย|นาย|นางสาว|น\.ส\.|ด\.ญ\.|ด\.ช\.)"",""""),""""),""มูฮัมหมัด"",""ม."")"),"จักรินทร์")</f>
        <v>จักรินทร์</v>
      </c>
      <c r="D7" s="105" t="str">
        <f t="shared" si="1"/>
        <v>เหมสัน</v>
      </c>
      <c r="E7" s="106" t="s">
        <v>11565</v>
      </c>
      <c r="F7" s="105" t="s">
        <v>11566</v>
      </c>
      <c r="G7" s="106" t="s">
        <v>736</v>
      </c>
      <c r="H7" s="106"/>
    </row>
    <row r="8" ht="22.5" customHeight="1">
      <c r="A8" s="23" t="s">
        <v>193</v>
      </c>
      <c r="B8" s="23" t="s">
        <v>794</v>
      </c>
      <c r="C8" s="105" t="str">
        <f>IFERROR(__xludf.DUMMYFUNCTION("SUBSTITUTE(IFERROR(REGEXREPLACE(LEFT(A8,FIND("" "",A8)-1),""^(เด็กหญิง|เด็กชาย|นาย|นางสาว|น\.ส\.|ด\.ญ\.|ด\.ช\.)"",""""),""""),""มูฮัมหมัด"",""ม."")"),"เจษฎากร")</f>
        <v>เจษฎากร</v>
      </c>
      <c r="D8" s="105" t="str">
        <f t="shared" si="1"/>
        <v>อภิพัฒน์พลากร</v>
      </c>
      <c r="E8" s="106" t="s">
        <v>11567</v>
      </c>
      <c r="F8" s="105" t="s">
        <v>11568</v>
      </c>
      <c r="G8" s="106" t="s">
        <v>728</v>
      </c>
      <c r="H8" s="106"/>
    </row>
    <row r="9" ht="22.5" customHeight="1">
      <c r="A9" s="23" t="s">
        <v>228</v>
      </c>
      <c r="B9" s="23" t="s">
        <v>726</v>
      </c>
      <c r="C9" s="105" t="str">
        <f>IFERROR(__xludf.DUMMYFUNCTION("SUBSTITUTE(IFERROR(REGEXREPLACE(LEFT(A9,FIND("" "",A9)-1),""^(เด็กหญิง|เด็กชาย|นาย|นางสาว|น\.ส\.|ด\.ญ\.|ด\.ช\.)"",""""),""""),""มูฮัมหมัด"",""ม."")"),"ชารีฟ")</f>
        <v>ชารีฟ</v>
      </c>
      <c r="D9" s="105" t="str">
        <f t="shared" si="1"/>
        <v>แซมาลี</v>
      </c>
      <c r="E9" s="106" t="s">
        <v>11569</v>
      </c>
      <c r="F9" s="105" t="s">
        <v>11570</v>
      </c>
      <c r="G9" s="106" t="s">
        <v>728</v>
      </c>
      <c r="H9" s="106"/>
    </row>
    <row r="10" ht="22.5" customHeight="1">
      <c r="A10" s="23" t="s">
        <v>202</v>
      </c>
      <c r="B10" s="23" t="s">
        <v>3159</v>
      </c>
      <c r="C10" s="105" t="str">
        <f>IFERROR(__xludf.DUMMYFUNCTION("SUBSTITUTE(IFERROR(REGEXREPLACE(LEFT(A10,FIND("" "",A10)-1),""^(เด็กหญิง|เด็กชาย|นาย|นางสาว|น\.ส\.|ด\.ญ\.|ด\.ช\.)"",""""),""""),""มูฮัมหมัด"",""ม."")"),"ซัควาน")</f>
        <v>ซัควาน</v>
      </c>
      <c r="D10" s="105" t="str">
        <f t="shared" si="1"/>
        <v>หะยีอาแว</v>
      </c>
      <c r="E10" s="106" t="e">
        <v>#N/A</v>
      </c>
      <c r="F10" s="105" t="s">
        <v>11566</v>
      </c>
      <c r="G10" s="106" t="e">
        <v>#N/A</v>
      </c>
      <c r="H10" s="106"/>
    </row>
    <row r="11" ht="22.5" customHeight="1">
      <c r="A11" s="23" t="s">
        <v>181</v>
      </c>
      <c r="B11" s="23" t="s">
        <v>791</v>
      </c>
      <c r="C11" s="105" t="str">
        <f>IFERROR(__xludf.DUMMYFUNCTION("SUBSTITUTE(IFERROR(REGEXREPLACE(LEFT(A11,FIND("" "",A11)-1),""^(เด็กหญิง|เด็กชาย|นาย|นางสาว|น\.ส\.|ด\.ญ\.|ด\.ช\.)"",""""),""""),""มูฮัมหมัด"",""ม."")"),"ซาการียา")</f>
        <v>ซาการียา</v>
      </c>
      <c r="D11" s="105" t="str">
        <f t="shared" si="1"/>
        <v>ยอยเหาะ</v>
      </c>
      <c r="E11" s="106" t="s">
        <v>11571</v>
      </c>
      <c r="F11" s="105" t="s">
        <v>11568</v>
      </c>
      <c r="G11" s="106" t="s">
        <v>699</v>
      </c>
      <c r="H11" s="106"/>
    </row>
    <row r="12" ht="22.5" customHeight="1">
      <c r="A12" s="23" t="s">
        <v>166</v>
      </c>
      <c r="B12" s="23" t="s">
        <v>759</v>
      </c>
      <c r="C12" s="105" t="str">
        <f>IFERROR(__xludf.DUMMYFUNCTION("SUBSTITUTE(IFERROR(REGEXREPLACE(LEFT(A12,FIND("" "",A12)-1),""^(เด็กหญิง|เด็กชาย|นาย|นางสาว|น\.ส\.|ด\.ญ\.|ด\.ช\.)"",""""),""""),""มูฮัมหมัด"",""ม."")"),"ซาบูดีน")</f>
        <v>ซาบูดีน</v>
      </c>
      <c r="D12" s="105" t="str">
        <f t="shared" si="1"/>
        <v>สิริเต๊ะ</v>
      </c>
      <c r="E12" s="106" t="s">
        <v>11572</v>
      </c>
      <c r="F12" s="105" t="s">
        <v>11566</v>
      </c>
      <c r="G12" s="106" t="s">
        <v>718</v>
      </c>
      <c r="H12" s="106"/>
    </row>
    <row r="13" ht="22.5" customHeight="1">
      <c r="A13" s="23" t="s">
        <v>34</v>
      </c>
      <c r="B13" s="23" t="s">
        <v>33</v>
      </c>
      <c r="C13" s="105" t="str">
        <f>IFERROR(__xludf.DUMMYFUNCTION("SUBSTITUTE(IFERROR(REGEXREPLACE(LEFT(A13,FIND("" "",A13)-1),""^(เด็กหญิง|เด็กชาย|นาย|นางสาว|น\.ส\.|ด\.ญ\.|ด\.ช\.)"",""""),""""),""มูฮัมหมัด"",""ม."")"),"ซีรอจญ์")</f>
        <v>ซีรอจญ์</v>
      </c>
      <c r="D13" s="105" t="str">
        <f t="shared" si="1"/>
        <v>ฮัดญีสิดดิก</v>
      </c>
      <c r="E13" s="106" t="s">
        <v>11573</v>
      </c>
      <c r="F13" s="105" t="s">
        <v>11568</v>
      </c>
      <c r="G13" s="106" t="s">
        <v>812</v>
      </c>
      <c r="H13" s="106"/>
    </row>
    <row r="14" ht="22.5" customHeight="1">
      <c r="A14" s="23" t="s">
        <v>270</v>
      </c>
      <c r="B14" s="23" t="s">
        <v>779</v>
      </c>
      <c r="C14" s="105" t="str">
        <f>IFERROR(__xludf.DUMMYFUNCTION("SUBSTITUTE(IFERROR(REGEXREPLACE(LEFT(A14,FIND("" "",A14)-1),""^(เด็กหญิง|เด็กชาย|นาย|นางสาว|น\.ส\.|ด\.ญ\.|ด\.ช\.)"",""""),""""),""มูฮัมหมัด"",""ม."")"),"นัศรุจน์")</f>
        <v>นัศรุจน์</v>
      </c>
      <c r="D14" s="105" t="str">
        <f t="shared" si="1"/>
        <v>ทันยุภัก</v>
      </c>
      <c r="E14" s="106" t="s">
        <v>11574</v>
      </c>
      <c r="F14" s="105" t="s">
        <v>11566</v>
      </c>
      <c r="G14" s="106" t="s">
        <v>728</v>
      </c>
      <c r="H14" s="106"/>
    </row>
    <row r="15" ht="22.5" customHeight="1">
      <c r="A15" s="23" t="s">
        <v>240</v>
      </c>
      <c r="B15" s="23" t="s">
        <v>785</v>
      </c>
      <c r="C15" s="105" t="str">
        <f>IFERROR(__xludf.DUMMYFUNCTION("SUBSTITUTE(IFERROR(REGEXREPLACE(LEFT(A15,FIND("" "",A15)-1),""^(เด็กหญิง|เด็กชาย|นาย|นางสาว|น\.ส\.|ด\.ญ\.|ด\.ช\.)"",""""),""""),""มูฮัมหมัด"",""ม."")"),"นินิสฟูร์")</f>
        <v>นินิสฟูร์</v>
      </c>
      <c r="D15" s="105" t="str">
        <f t="shared" si="1"/>
        <v>สะแต</v>
      </c>
      <c r="E15" s="106" t="s">
        <v>11575</v>
      </c>
      <c r="F15" s="105" t="s">
        <v>11576</v>
      </c>
      <c r="G15" s="106" t="s">
        <v>699</v>
      </c>
      <c r="H15" s="106"/>
    </row>
    <row r="16" ht="22.5" customHeight="1">
      <c r="A16" s="23" t="s">
        <v>246</v>
      </c>
      <c r="B16" s="23" t="s">
        <v>747</v>
      </c>
      <c r="C16" s="105" t="str">
        <f>IFERROR(__xludf.DUMMYFUNCTION("SUBSTITUTE(IFERROR(REGEXREPLACE(LEFT(A16,FIND("" "",A16)-1),""^(เด็กหญิง|เด็กชาย|นาย|นางสาว|น\.ส\.|ด\.ญ\.|ด\.ช\.)"",""""),""""),""มูฮัมหมัด"",""ม."")"),"นูรูดีน")</f>
        <v>นูรูดีน</v>
      </c>
      <c r="D16" s="105" t="str">
        <f t="shared" si="1"/>
        <v>ใบโสะดำ</v>
      </c>
      <c r="E16" s="106" t="s">
        <v>11577</v>
      </c>
      <c r="F16" s="105" t="s">
        <v>11578</v>
      </c>
      <c r="G16" s="106" t="s">
        <v>711</v>
      </c>
      <c r="H16" s="106"/>
    </row>
    <row r="17" ht="22.5" customHeight="1">
      <c r="A17" s="23" t="s">
        <v>231</v>
      </c>
      <c r="B17" s="23" t="s">
        <v>709</v>
      </c>
      <c r="C17" s="105" t="str">
        <f>IFERROR(__xludf.DUMMYFUNCTION("SUBSTITUTE(IFERROR(REGEXREPLACE(LEFT(A17,FIND("" "",A17)-1),""^(เด็กหญิง|เด็กชาย|นาย|นางสาว|น\.ส\.|ด\.ญ\.|ด\.ช\.)"",""""),""""),""มูฮัมหมัด"",""ม."")"),"ฟิตดุลยา")</f>
        <v>ฟิตดุลยา</v>
      </c>
      <c r="D17" s="105" t="str">
        <f t="shared" si="1"/>
        <v>เจ๊ะหะ</v>
      </c>
      <c r="E17" s="106" t="s">
        <v>11579</v>
      </c>
      <c r="F17" s="105" t="s">
        <v>11580</v>
      </c>
      <c r="G17" s="106" t="s">
        <v>711</v>
      </c>
      <c r="H17" s="106"/>
    </row>
    <row r="18" ht="22.5" customHeight="1">
      <c r="A18" s="23" t="s">
        <v>267</v>
      </c>
      <c r="B18" s="23" t="s">
        <v>776</v>
      </c>
      <c r="C18" s="105" t="str">
        <f>IFERROR(__xludf.DUMMYFUNCTION("SUBSTITUTE(IFERROR(REGEXREPLACE(LEFT(A18,FIND("" "",A18)-1),""^(เด็กหญิง|เด็กชาย|นาย|นางสาว|น\.ส\.|ด\.ญ\.|ด\.ช\.)"",""""),""""),""มูฮัมหมัด"",""ม."")"),"ฟิรฮาน")</f>
        <v>ฟิรฮาน</v>
      </c>
      <c r="D18" s="105" t="str">
        <f t="shared" si="1"/>
        <v>หัตถประดิษฐ์</v>
      </c>
      <c r="E18" s="106" t="s">
        <v>11581</v>
      </c>
      <c r="F18" s="105" t="s">
        <v>11566</v>
      </c>
      <c r="G18" s="106" t="s">
        <v>728</v>
      </c>
      <c r="H18" s="106"/>
    </row>
    <row r="19" ht="22.5" customHeight="1">
      <c r="A19" s="23" t="s">
        <v>163</v>
      </c>
      <c r="B19" s="23" t="s">
        <v>733</v>
      </c>
      <c r="C19" s="105" t="str">
        <f>IFERROR(__xludf.DUMMYFUNCTION("SUBSTITUTE(IFERROR(REGEXREPLACE(LEFT(A19,FIND("" "",A19)-1),""^(เด็กหญิง|เด็กชาย|นาย|นางสาว|น\.ส\.|ด\.ญ\.|ด\.ช\.)"",""""),""""),""มูฮัมหมัด"",""ม."")"),"ม.คอเล็ฎ")</f>
        <v>ม.คอเล็ฎ</v>
      </c>
      <c r="D19" s="105" t="str">
        <f t="shared" si="1"/>
        <v>เจะเละ</v>
      </c>
      <c r="E19" s="106" t="s">
        <v>11582</v>
      </c>
      <c r="F19" s="105" t="s">
        <v>11583</v>
      </c>
      <c r="G19" s="106" t="s">
        <v>736</v>
      </c>
      <c r="H19" s="106"/>
    </row>
    <row r="20" ht="22.5" customHeight="1">
      <c r="A20" s="23" t="s">
        <v>11584</v>
      </c>
      <c r="B20" s="23" t="s">
        <v>772</v>
      </c>
      <c r="C20" s="105" t="str">
        <f>IFERROR(__xludf.DUMMYFUNCTION("SUBSTITUTE(IFERROR(REGEXREPLACE(LEFT(A20,FIND("" "",A20)-1),""^(เด็กหญิง|เด็กชาย|นาย|นางสาว|น\.ส\.|ด\.ญ\.|ด\.ช\.)"",""""),""""),""มูฮัมหมัด"",""ม."")"),"ม.จัฟรี")</f>
        <v>ม.จัฟรี</v>
      </c>
      <c r="D20" s="105" t="str">
        <f t="shared" si="1"/>
        <v>ตาเยะ</v>
      </c>
      <c r="E20" s="106" t="s">
        <v>11585</v>
      </c>
      <c r="F20" s="105" t="s">
        <v>11566</v>
      </c>
      <c r="G20" s="106" t="s">
        <v>736</v>
      </c>
      <c r="H20" s="106"/>
    </row>
    <row r="21" ht="22.5" customHeight="1">
      <c r="A21" s="23" t="s">
        <v>255</v>
      </c>
      <c r="B21" s="23" t="s">
        <v>741</v>
      </c>
      <c r="C21" s="105" t="str">
        <f>IFERROR(__xludf.DUMMYFUNCTION("SUBSTITUTE(IFERROR(REGEXREPLACE(LEFT(A21,FIND("" "",A21)-1),""^(เด็กหญิง|เด็กชาย|นาย|นางสาว|น\.ส\.|ด\.ญ\.|ด\.ช\.)"",""""),""""),""มูฮัมหมัด"",""ม."")"),"ม.ซาซูวัน")</f>
        <v>ม.ซาซูวัน</v>
      </c>
      <c r="D21" s="105" t="str">
        <f t="shared" si="1"/>
        <v>คาเร็ง</v>
      </c>
      <c r="E21" s="106" t="s">
        <v>11586</v>
      </c>
      <c r="F21" s="105" t="s">
        <v>11583</v>
      </c>
      <c r="G21" s="106" t="s">
        <v>728</v>
      </c>
      <c r="H21" s="106"/>
    </row>
    <row r="22" ht="22.5" customHeight="1">
      <c r="A22" s="23" t="s">
        <v>273</v>
      </c>
      <c r="B22" s="23" t="s">
        <v>3212</v>
      </c>
      <c r="C22" s="105" t="str">
        <f>IFERROR(__xludf.DUMMYFUNCTION("SUBSTITUTE(IFERROR(REGEXREPLACE(LEFT(A22,FIND("" "",A22)-1),""^(เด็กหญิง|เด็กชาย|นาย|นางสาว|น\.ส\.|ด\.ญ\.|ด\.ช\.)"",""""),""""),""มูฮัมหมัด"",""ม."")"),"ม.นีซัมมุดดีน")</f>
        <v>ม.นีซัมมุดดีน</v>
      </c>
      <c r="D22" s="105" t="str">
        <f t="shared" si="1"/>
        <v>อามะ</v>
      </c>
      <c r="E22" s="106" t="e">
        <v>#N/A</v>
      </c>
      <c r="F22" s="105" t="s">
        <v>11564</v>
      </c>
      <c r="G22" s="106" t="e">
        <v>#N/A</v>
      </c>
      <c r="H22" s="106"/>
    </row>
    <row r="23" ht="22.5" customHeight="1">
      <c r="A23" s="23" t="s">
        <v>264</v>
      </c>
      <c r="B23" s="23" t="s">
        <v>750</v>
      </c>
      <c r="C23" s="105" t="str">
        <f>IFERROR(__xludf.DUMMYFUNCTION("SUBSTITUTE(IFERROR(REGEXREPLACE(LEFT(A23,FIND("" "",A23)-1),""^(เด็กหญิง|เด็กชาย|นาย|นางสาว|น\.ส\.|ด\.ญ\.|ด\.ช\.)"",""""),""""),""มูฮัมหมัด"",""ม."")"),"ม.ฟิรดาว")</f>
        <v>ม.ฟิรดาว</v>
      </c>
      <c r="D23" s="105" t="str">
        <f t="shared" si="1"/>
        <v>อาแวกือจิ</v>
      </c>
      <c r="E23" s="106" t="s">
        <v>11587</v>
      </c>
      <c r="F23" s="105" t="s">
        <v>11588</v>
      </c>
      <c r="G23" s="106" t="s">
        <v>699</v>
      </c>
      <c r="H23" s="106"/>
    </row>
    <row r="24" ht="22.5" customHeight="1">
      <c r="A24" s="23" t="s">
        <v>196</v>
      </c>
      <c r="B24" s="23" t="s">
        <v>753</v>
      </c>
      <c r="C24" s="105" t="str">
        <f>IFERROR(__xludf.DUMMYFUNCTION("SUBSTITUTE(IFERROR(REGEXREPLACE(LEFT(A24,FIND("" "",A24)-1),""^(เด็กหญิง|เด็กชาย|นาย|นางสาว|น\.ส\.|ด\.ญ\.|ด\.ช\.)"",""""),""""),""มูฮัมหมัด"",""ม."")"),"ม.ไฟศอล")</f>
        <v>ม.ไฟศอล</v>
      </c>
      <c r="D24" s="105" t="str">
        <f t="shared" si="1"/>
        <v>เฆดา</v>
      </c>
      <c r="E24" s="106" t="s">
        <v>11589</v>
      </c>
      <c r="F24" s="105" t="s">
        <v>11588</v>
      </c>
      <c r="G24" s="106" t="s">
        <v>728</v>
      </c>
      <c r="H24" s="106"/>
    </row>
    <row r="25" ht="22.5" customHeight="1">
      <c r="A25" s="23" t="s">
        <v>258</v>
      </c>
      <c r="B25" s="23" t="s">
        <v>730</v>
      </c>
      <c r="C25" s="105" t="str">
        <f>IFERROR(__xludf.DUMMYFUNCTION("SUBSTITUTE(IFERROR(REGEXREPLACE(LEFT(A25,FIND("" "",A25)-1),""^(เด็กหญิง|เด็กชาย|นาย|นางสาว|น\.ส\.|ด\.ญ\.|ด\.ช\.)"",""""),""""),""มูฮัมหมัด"",""ม."")"),"รัชชานนท์")</f>
        <v>รัชชานนท์</v>
      </c>
      <c r="D25" s="105" t="str">
        <f t="shared" si="1"/>
        <v>เชาว์ช่าง</v>
      </c>
      <c r="E25" s="106" t="s">
        <v>11590</v>
      </c>
      <c r="F25" s="105" t="s">
        <v>11591</v>
      </c>
      <c r="G25" s="106" t="s">
        <v>728</v>
      </c>
      <c r="H25" s="106"/>
    </row>
    <row r="26" ht="22.5" customHeight="1">
      <c r="A26" s="23" t="s">
        <v>234</v>
      </c>
      <c r="B26" s="23" t="s">
        <v>799</v>
      </c>
      <c r="C26" s="105" t="str">
        <f>IFERROR(__xludf.DUMMYFUNCTION("SUBSTITUTE(IFERROR(REGEXREPLACE(LEFT(A26,FIND("" "",A26)-1),""^(เด็กหญิง|เด็กชาย|นาย|นางสาว|น\.ส\.|ด\.ญ\.|ด\.ช\.)"",""""),""""),""มูฮัมหมัด"",""ม."")"),"ลุฐฟีย์")</f>
        <v>ลุฐฟีย์</v>
      </c>
      <c r="D26" s="105" t="str">
        <f t="shared" si="1"/>
        <v>บือราเฮง</v>
      </c>
      <c r="E26" s="106" t="s">
        <v>11592</v>
      </c>
      <c r="F26" s="105" t="s">
        <v>11568</v>
      </c>
      <c r="G26" s="106" t="s">
        <v>699</v>
      </c>
      <c r="H26" s="106"/>
    </row>
    <row r="27" ht="22.5" customHeight="1">
      <c r="A27" s="23" t="s">
        <v>199</v>
      </c>
      <c r="B27" s="23" t="s">
        <v>765</v>
      </c>
      <c r="C27" s="105" t="str">
        <f>IFERROR(__xludf.DUMMYFUNCTION("SUBSTITUTE(IFERROR(REGEXREPLACE(LEFT(A27,FIND("" "",A27)-1),""^(เด็กหญิง|เด็กชาย|นาย|นางสาว|น\.ส\.|ด\.ญ\.|ด\.ช\.)"",""""),""""),""มูฮัมหมัด"",""ม."")"),"วิทยา")</f>
        <v>วิทยา</v>
      </c>
      <c r="D27" s="105" t="str">
        <f t="shared" si="1"/>
        <v>อาหมัด</v>
      </c>
      <c r="E27" s="106" t="s">
        <v>11593</v>
      </c>
      <c r="F27" s="105" t="s">
        <v>11566</v>
      </c>
      <c r="G27" s="106" t="s">
        <v>711</v>
      </c>
      <c r="H27" s="106"/>
    </row>
    <row r="28" ht="22.5" customHeight="1">
      <c r="A28" s="23" t="s">
        <v>178</v>
      </c>
      <c r="B28" s="23" t="s">
        <v>788</v>
      </c>
      <c r="C28" s="105" t="str">
        <f>IFERROR(__xludf.DUMMYFUNCTION("SUBSTITUTE(IFERROR(REGEXREPLACE(LEFT(A28,FIND("" "",A28)-1),""^(เด็กหญิง|เด็กชาย|นาย|นางสาว|น\.ส\.|ด\.ญ\.|ด\.ช\.)"",""""),""""),""มูฮัมหมัด"",""ม."")"),"แวฮาซิร")</f>
        <v>แวฮาซิร</v>
      </c>
      <c r="D28" s="105" t="str">
        <f t="shared" si="1"/>
        <v>หะยีสะอิ</v>
      </c>
      <c r="E28" s="106" t="s">
        <v>11594</v>
      </c>
      <c r="F28" s="105" t="s">
        <v>11595</v>
      </c>
      <c r="G28" s="106" t="s">
        <v>699</v>
      </c>
      <c r="H28" s="106"/>
    </row>
    <row r="29" ht="22.5" customHeight="1">
      <c r="A29" s="23" t="s">
        <v>225</v>
      </c>
      <c r="B29" s="23" t="s">
        <v>720</v>
      </c>
      <c r="C29" s="105" t="str">
        <f>IFERROR(__xludf.DUMMYFUNCTION("SUBSTITUTE(IFERROR(REGEXREPLACE(LEFT(A29,FIND("" "",A29)-1),""^(เด็กหญิง|เด็กชาย|นาย|นางสาว|น\.ส\.|ด\.ญ\.|ด\.ช\.)"",""""),""""),""มูฮัมหมัด"",""ม."")"),"อนัส")</f>
        <v>อนัส</v>
      </c>
      <c r="D29" s="105" t="str">
        <f t="shared" si="1"/>
        <v>เจะหมาด</v>
      </c>
      <c r="E29" s="106" t="s">
        <v>11596</v>
      </c>
      <c r="F29" s="105" t="s">
        <v>11570</v>
      </c>
      <c r="G29" s="106" t="s">
        <v>699</v>
      </c>
      <c r="H29" s="106"/>
    </row>
    <row r="30" ht="22.5" customHeight="1">
      <c r="A30" s="23" t="s">
        <v>279</v>
      </c>
      <c r="B30" s="23" t="s">
        <v>744</v>
      </c>
      <c r="C30" s="105" t="str">
        <f>IFERROR(__xludf.DUMMYFUNCTION("SUBSTITUTE(IFERROR(REGEXREPLACE(LEFT(A30,FIND("" "",A30)-1),""^(เด็กหญิง|เด็กชาย|นาย|นางสาว|น\.ส\.|ด\.ญ\.|ด\.ช\.)"",""""),""""),""มูฮัมหมัด"",""ม."")"),"อัชรอฟ")</f>
        <v>อัชรอฟ</v>
      </c>
      <c r="D30" s="105" t="str">
        <f t="shared" si="1"/>
        <v>อับดุลวาฮับ</v>
      </c>
      <c r="E30" s="106" t="s">
        <v>11597</v>
      </c>
      <c r="F30" s="105" t="s">
        <v>11583</v>
      </c>
      <c r="G30" s="106" t="s">
        <v>728</v>
      </c>
      <c r="H30" s="106"/>
    </row>
    <row r="31" ht="22.5" customHeight="1">
      <c r="A31" s="23" t="s">
        <v>159</v>
      </c>
      <c r="B31" s="23" t="s">
        <v>802</v>
      </c>
      <c r="C31" s="105" t="str">
        <f>IFERROR(__xludf.DUMMYFUNCTION("SUBSTITUTE(IFERROR(REGEXREPLACE(LEFT(A31,FIND("" "",A31)-1),""^(เด็กหญิง|เด็กชาย|นาย|นางสาว|น\.ส\.|ด\.ญ\.|ด\.ช\.)"",""""),""""),""มูฮัมหมัด"",""ม."")"),"อัซซูวา")</f>
        <v>อัซซูวา</v>
      </c>
      <c r="D31" s="105" t="str">
        <f t="shared" si="1"/>
        <v>ยาโงะ</v>
      </c>
      <c r="E31" s="106" t="s">
        <v>11598</v>
      </c>
      <c r="F31" s="105" t="s">
        <v>11588</v>
      </c>
      <c r="G31" s="106" t="s">
        <v>711</v>
      </c>
      <c r="H31" s="106"/>
    </row>
    <row r="32" ht="22.5" customHeight="1">
      <c r="A32" s="23" t="s">
        <v>205</v>
      </c>
      <c r="B32" s="23" t="s">
        <v>797</v>
      </c>
      <c r="C32" s="105" t="str">
        <f>IFERROR(__xludf.DUMMYFUNCTION("SUBSTITUTE(IFERROR(REGEXREPLACE(LEFT(A32,FIND("" "",A32)-1),""^(เด็กหญิง|เด็กชาย|นาย|นางสาว|น\.ส\.|ด\.ญ\.|ด\.ช\.)"",""""),""""),""มูฮัมหมัด"",""ม."")"),"อับดุลมุตตอเล็บ")</f>
        <v>อับดุลมุตตอเล็บ</v>
      </c>
      <c r="D32" s="105" t="str">
        <f t="shared" si="1"/>
        <v>เหมหมัด</v>
      </c>
      <c r="E32" s="106" t="s">
        <v>11599</v>
      </c>
      <c r="F32" s="105" t="s">
        <v>11568</v>
      </c>
      <c r="G32" s="106" t="s">
        <v>728</v>
      </c>
      <c r="H32" s="106"/>
    </row>
    <row r="33" ht="22.5" customHeight="1">
      <c r="A33" s="23" t="s">
        <v>211</v>
      </c>
      <c r="B33" s="23" t="s">
        <v>757</v>
      </c>
      <c r="C33" s="105" t="str">
        <f>IFERROR(__xludf.DUMMYFUNCTION("SUBSTITUTE(IFERROR(REGEXREPLACE(LEFT(A33,FIND("" "",A33)-1),""^(เด็กหญิง|เด็กชาย|นาย|นางสาว|น\.ส\.|ด\.ญ\.|ด\.ช\.)"",""""),""""),""มูฮัมหมัด"",""ม."")"),"อัฟฟาน")</f>
        <v>อัฟฟาน</v>
      </c>
      <c r="D33" s="105" t="str">
        <f t="shared" si="1"/>
        <v>เซะมิง</v>
      </c>
      <c r="E33" s="106" t="s">
        <v>11600</v>
      </c>
      <c r="F33" s="105" t="s">
        <v>11588</v>
      </c>
      <c r="G33" s="106" t="s">
        <v>728</v>
      </c>
      <c r="H33" s="106"/>
    </row>
    <row r="34" ht="22.5" customHeight="1">
      <c r="A34" s="23" t="s">
        <v>249</v>
      </c>
      <c r="B34" s="23" t="s">
        <v>723</v>
      </c>
      <c r="C34" s="105" t="str">
        <f>IFERROR(__xludf.DUMMYFUNCTION("SUBSTITUTE(IFERROR(REGEXREPLACE(LEFT(A34,FIND("" "",A34)-1),""^(เด็กหญิง|เด็กชาย|นาย|นางสาว|น\.ส\.|ด\.ญ\.|ด\.ช\.)"",""""),""""),""มูฮัมหมัด"",""ม."")"),"อัรฟาน")</f>
        <v>อัรฟาน</v>
      </c>
      <c r="D34" s="105" t="str">
        <f t="shared" si="1"/>
        <v>มะเด็ง</v>
      </c>
      <c r="E34" s="106" t="s">
        <v>11601</v>
      </c>
      <c r="F34" s="105" t="s">
        <v>11580</v>
      </c>
      <c r="G34" s="106" t="s">
        <v>711</v>
      </c>
      <c r="H34" s="106"/>
    </row>
    <row r="35" ht="22.5" customHeight="1">
      <c r="A35" s="23" t="s">
        <v>184</v>
      </c>
      <c r="B35" s="23" t="s">
        <v>762</v>
      </c>
      <c r="C35" s="105" t="str">
        <f>IFERROR(__xludf.DUMMYFUNCTION("SUBSTITUTE(IFERROR(REGEXREPLACE(LEFT(A35,FIND("" "",A35)-1),""^(เด็กหญิง|เด็กชาย|นาย|นางสาว|น\.ส\.|ด\.ญ\.|ด\.ช\.)"",""""),""""),""มูฮัมหมัด"",""ม."")"),"อัสซีซัน")</f>
        <v>อัสซีซัน</v>
      </c>
      <c r="D35" s="105" t="str">
        <f t="shared" si="1"/>
        <v>บินเตล็บ</v>
      </c>
      <c r="E35" s="106" t="s">
        <v>11602</v>
      </c>
      <c r="F35" s="105" t="s">
        <v>11566</v>
      </c>
      <c r="G35" s="106" t="s">
        <v>711</v>
      </c>
      <c r="H35" s="106"/>
    </row>
    <row r="36" ht="22.5" customHeight="1">
      <c r="A36" s="23" t="s">
        <v>26</v>
      </c>
      <c r="B36" s="23" t="s">
        <v>25</v>
      </c>
      <c r="C36" s="105" t="str">
        <f>IFERROR(__xludf.DUMMYFUNCTION("SUBSTITUTE(IFERROR(REGEXREPLACE(LEFT(A36,FIND("" "",A36)-1),""^(เด็กหญิง|เด็กชาย|นาย|นางสาว|น\.ส\.|ด\.ญ\.|ด\.ช\.)"",""""),""""),""มูฮัมหมัด"",""ม."")"),"อาเดล")</f>
        <v>อาเดล</v>
      </c>
      <c r="D36" s="105" t="str">
        <f t="shared" si="1"/>
        <v>มาตัดสา</v>
      </c>
      <c r="E36" s="106" t="s">
        <v>11603</v>
      </c>
      <c r="F36" s="105" t="s">
        <v>11588</v>
      </c>
      <c r="G36" s="106" t="s">
        <v>805</v>
      </c>
      <c r="H36" s="106"/>
    </row>
    <row r="37" ht="22.5" customHeight="1">
      <c r="A37" s="23" t="s">
        <v>208</v>
      </c>
      <c r="B37" s="23" t="s">
        <v>767</v>
      </c>
      <c r="C37" s="105" t="str">
        <f>IFERROR(__xludf.DUMMYFUNCTION("SUBSTITUTE(IFERROR(REGEXREPLACE(LEFT(A37,FIND("" "",A37)-1),""^(เด็กหญิง|เด็กชาย|นาย|นางสาว|น\.ส\.|ด\.ญ\.|ด\.ช\.)"",""""),""""),""มูฮัมหมัด"",""ม."")"),"อามีร")</f>
        <v>อามีร</v>
      </c>
      <c r="D37" s="105" t="str">
        <f t="shared" si="1"/>
        <v>เจ๊ะโซะ</v>
      </c>
      <c r="E37" s="106" t="s">
        <v>11604</v>
      </c>
      <c r="F37" s="105" t="s">
        <v>11566</v>
      </c>
      <c r="G37" s="106" t="s">
        <v>728</v>
      </c>
      <c r="H37" s="106"/>
    </row>
    <row r="38" ht="22.5" customHeight="1">
      <c r="A38" s="23" t="s">
        <v>214</v>
      </c>
      <c r="B38" s="23" t="s">
        <v>770</v>
      </c>
      <c r="C38" s="105" t="str">
        <f>IFERROR(__xludf.DUMMYFUNCTION("SUBSTITUTE(IFERROR(REGEXREPLACE(LEFT(A38,FIND("" "",A38)-1),""^(เด็กหญิง|เด็กชาย|นาย|นางสาว|น\.ส\.|ด\.ญ\.|ด\.ช\.)"",""""),""""),""มูฮัมหมัด"",""ม."")"),"อารีฟ")</f>
        <v>อารีฟ</v>
      </c>
      <c r="D38" s="105" t="str">
        <f t="shared" si="1"/>
        <v>อับดุลลาเตะ</v>
      </c>
      <c r="E38" s="106" t="s">
        <v>11605</v>
      </c>
      <c r="F38" s="105" t="s">
        <v>11566</v>
      </c>
      <c r="G38" s="106" t="s">
        <v>711</v>
      </c>
      <c r="H38" s="106"/>
    </row>
    <row r="39" ht="22.5" customHeight="1">
      <c r="A39" s="23" t="s">
        <v>276</v>
      </c>
      <c r="B39" s="23" t="s">
        <v>716</v>
      </c>
      <c r="C39" s="105" t="str">
        <f>IFERROR(__xludf.DUMMYFUNCTION("SUBSTITUTE(IFERROR(REGEXREPLACE(LEFT(A39,FIND("" "",A39)-1),""^(เด็กหญิง|เด็กชาย|นาย|นางสาว|น\.ส\.|ด\.ญ\.|ด\.ช\.)"",""""),""""),""มูฮัมหมัด"",""ม."")"),"อาลาวีย์")</f>
        <v>อาลาวีย์</v>
      </c>
      <c r="D39" s="105" t="str">
        <f t="shared" si="1"/>
        <v>สลำเหม</v>
      </c>
      <c r="E39" s="106" t="s">
        <v>11606</v>
      </c>
      <c r="F39" s="105" t="s">
        <v>11564</v>
      </c>
      <c r="G39" s="106" t="s">
        <v>718</v>
      </c>
      <c r="H39" s="106"/>
    </row>
    <row r="40" ht="22.5" customHeight="1">
      <c r="A40" s="23" t="s">
        <v>237</v>
      </c>
      <c r="B40" s="23" t="s">
        <v>782</v>
      </c>
      <c r="C40" s="105" t="str">
        <f>IFERROR(__xludf.DUMMYFUNCTION("SUBSTITUTE(IFERROR(REGEXREPLACE(LEFT(A40,FIND("" "",A40)-1),""^(เด็กหญิง|เด็กชาย|นาย|นางสาว|น\.ส\.|ด\.ญ\.|ด\.ช\.)"",""""),""""),""มูฮัมหมัด"",""ม."")"),"อิคลาศ")</f>
        <v>อิคลาศ</v>
      </c>
      <c r="D40" s="105" t="str">
        <f t="shared" si="1"/>
        <v>แวสุหลง</v>
      </c>
      <c r="E40" s="106" t="s">
        <v>11607</v>
      </c>
      <c r="F40" s="105" t="s">
        <v>11576</v>
      </c>
      <c r="G40" s="106" t="s">
        <v>699</v>
      </c>
      <c r="H40" s="106"/>
    </row>
    <row r="41" ht="22.5" customHeight="1">
      <c r="A41" s="23" t="s">
        <v>18</v>
      </c>
      <c r="B41" s="23" t="s">
        <v>17</v>
      </c>
      <c r="C41" s="105" t="str">
        <f>IFERROR(__xludf.DUMMYFUNCTION("SUBSTITUTE(IFERROR(REGEXREPLACE(LEFT(A41,FIND("" "",A41)-1),""^(เด็กหญิง|เด็กชาย|นาย|นางสาว|น\.ส\.|ด\.ญ\.|ด\.ช\.)"",""""),""""),""มูฮัมหมัด"",""ม."")"),"อิซรอฟ")</f>
        <v>อิซรอฟ</v>
      </c>
      <c r="D41" s="105" t="str">
        <f t="shared" si="1"/>
        <v>ตาเยะ</v>
      </c>
      <c r="E41" s="106" t="s">
        <v>11608</v>
      </c>
      <c r="F41" s="105" t="s">
        <v>11576</v>
      </c>
      <c r="G41" s="106" t="s">
        <v>728</v>
      </c>
      <c r="H41" s="106"/>
    </row>
    <row r="42" ht="22.5" customHeight="1">
      <c r="A42" s="23" t="s">
        <v>285</v>
      </c>
      <c r="B42" s="23" t="s">
        <v>3223</v>
      </c>
      <c r="C42" s="105" t="str">
        <f>IFERROR(__xludf.DUMMYFUNCTION("SUBSTITUTE(IFERROR(REGEXREPLACE(LEFT(A42,FIND("" "",A42)-1),""^(เด็กหญิง|เด็กชาย|นาย|นางสาว|น\.ส\.|ด\.ญ\.|ด\.ช\.)"",""""),""""),""มูฮัมหมัด"",""ม."")"),"อิสกันดาร์")</f>
        <v>อิสกันดาร์</v>
      </c>
      <c r="D42" s="105" t="str">
        <f t="shared" si="1"/>
        <v>ลาเตะ</v>
      </c>
      <c r="E42" s="106" t="e">
        <v>#N/A</v>
      </c>
      <c r="F42" s="105" t="s">
        <v>11588</v>
      </c>
      <c r="G42" s="106" t="e">
        <v>#N/A</v>
      </c>
      <c r="H42" s="106"/>
    </row>
    <row r="43" ht="22.5" customHeight="1">
      <c r="A43" s="23" t="s">
        <v>243</v>
      </c>
      <c r="B43" s="23" t="s">
        <v>738</v>
      </c>
      <c r="C43" s="105" t="str">
        <f>IFERROR(__xludf.DUMMYFUNCTION("SUBSTITUTE(IFERROR(REGEXREPLACE(LEFT(A43,FIND("" "",A43)-1),""^(เด็กหญิง|เด็กชาย|นาย|นางสาว|น\.ส\.|ด\.ญ\.|ด\.ช\.)"",""""),""""),""มูฮัมหมัด"",""ม."")"),"ฮาฟิซ")</f>
        <v>ฮาฟิซ</v>
      </c>
      <c r="D43" s="105" t="str">
        <f t="shared" si="1"/>
        <v>อิจิ</v>
      </c>
      <c r="E43" s="106" t="s">
        <v>11609</v>
      </c>
      <c r="F43" s="105" t="s">
        <v>11583</v>
      </c>
      <c r="G43" s="106" t="s">
        <v>699</v>
      </c>
      <c r="H43" s="106"/>
    </row>
    <row r="44" ht="22.5" customHeight="1">
      <c r="A44" s="23" t="s">
        <v>282</v>
      </c>
      <c r="B44" s="23" t="s">
        <v>3220</v>
      </c>
      <c r="C44" s="105" t="str">
        <f>IFERROR(__xludf.DUMMYFUNCTION("SUBSTITUTE(IFERROR(REGEXREPLACE(LEFT(A44,FIND("" "",A44)-1),""^(เด็กหญิง|เด็กชาย|นาย|นางสาว|น\.ส\.|ด\.ญ\.|ด\.ช\.)"",""""),""""),""มูฮัมหมัด"",""ม."")"),"ฮีซาม")</f>
        <v>ฮีซาม</v>
      </c>
      <c r="D44" s="105" t="str">
        <f t="shared" si="1"/>
        <v>กาแบ</v>
      </c>
      <c r="E44" s="106" t="e">
        <v>#N/A</v>
      </c>
      <c r="F44" s="105" t="s">
        <v>11610</v>
      </c>
      <c r="G44" s="106" t="e">
        <v>#N/A</v>
      </c>
      <c r="H44" s="106"/>
    </row>
    <row r="45" ht="22.5" customHeight="1">
      <c r="A45" s="23" t="s">
        <v>12</v>
      </c>
      <c r="B45" s="23" t="s">
        <v>11</v>
      </c>
      <c r="C45" s="105" t="str">
        <f>IFERROR(__xludf.DUMMYFUNCTION("SUBSTITUTE(IFERROR(REGEXREPLACE(LEFT(A45,FIND("" "",A45)-1),""^(เด็กหญิง|เด็กชาย|นาย|นางสาว|น\.ส\.|ด\.ญ\.|ด\.ช\.)"",""""),""""),""มูฮัมหมัด"",""ม."")"),"ฮูซัยฟี")</f>
        <v>ฮูซัยฟี</v>
      </c>
      <c r="D45" s="105" t="str">
        <f t="shared" si="1"/>
        <v>เจะเลาะ</v>
      </c>
      <c r="E45" s="106" t="s">
        <v>11611</v>
      </c>
      <c r="F45" s="105" t="s">
        <v>11566</v>
      </c>
      <c r="G45" s="106" t="s">
        <v>808</v>
      </c>
      <c r="H45" s="106"/>
    </row>
    <row r="46" ht="22.5" hidden="1" customHeight="1">
      <c r="A46" s="23" t="s">
        <v>321</v>
      </c>
      <c r="B46" s="23" t="s">
        <v>933</v>
      </c>
      <c r="C46" s="105" t="str">
        <f>IFERROR(__xludf.DUMMYFUNCTION("SUBSTITUTE(IFERROR(REGEXREPLACE(LEFT(A46,FIND("" "",A46)-1),""^(เด็กหญิง|เด็กชาย|นาย|นางสาว|น\.ส\.|ด\.ญ\.|ด\.ช\.)"",""""),""""),""มูฮัมหมัด"",""ม."")"),"ญานูรี")</f>
        <v>ญานูรี</v>
      </c>
      <c r="D46" s="105" t="str">
        <f t="shared" si="1"/>
        <v>สาหลำ</v>
      </c>
      <c r="E46" s="106" t="s">
        <v>11612</v>
      </c>
      <c r="F46" s="105" t="s">
        <v>11613</v>
      </c>
      <c r="G46" s="106" t="s">
        <v>711</v>
      </c>
      <c r="H46" s="107" t="s">
        <v>11614</v>
      </c>
    </row>
    <row r="47" ht="22.5" hidden="1" customHeight="1">
      <c r="A47" s="23" t="s">
        <v>465</v>
      </c>
      <c r="B47" s="23" t="s">
        <v>830</v>
      </c>
      <c r="C47" s="105" t="str">
        <f>IFERROR(__xludf.DUMMYFUNCTION("SUBSTITUTE(IFERROR(REGEXREPLACE(LEFT(A47,FIND("" "",A47)-1),""^(เด็กหญิง|เด็กชาย|นาย|นางสาว|น\.ส\.|ด\.ญ\.|ด\.ช\.)"",""""),""""),""มูฮัมหมัด"",""ม."")"),"นัจมีย์")</f>
        <v>นัจมีย์</v>
      </c>
      <c r="D47" s="105" t="str">
        <f t="shared" si="1"/>
        <v>สามะ</v>
      </c>
      <c r="E47" s="106" t="s">
        <v>11615</v>
      </c>
      <c r="F47" s="105" t="s">
        <v>11616</v>
      </c>
      <c r="G47" s="106" t="s">
        <v>711</v>
      </c>
      <c r="H47" s="107" t="s">
        <v>11614</v>
      </c>
    </row>
    <row r="48" ht="22.5" hidden="1" customHeight="1">
      <c r="A48" s="23" t="s">
        <v>402</v>
      </c>
      <c r="B48" s="23" t="s">
        <v>818</v>
      </c>
      <c r="C48" s="105" t="str">
        <f>IFERROR(__xludf.DUMMYFUNCTION("SUBSTITUTE(IFERROR(REGEXREPLACE(LEFT(A48,FIND("" "",A48)-1),""^(เด็กหญิง|เด็กชาย|นาย|นางสาว|น\.ส\.|ด\.ญ\.|ด\.ช\.)"",""""),""""),""มูฮัมหมัด"",""ม."")"),"นัซรินทร์")</f>
        <v>นัซรินทร์</v>
      </c>
      <c r="D48" s="105" t="str">
        <f t="shared" si="1"/>
        <v>สาและ</v>
      </c>
      <c r="E48" s="106" t="s">
        <v>11617</v>
      </c>
      <c r="F48" s="105" t="s">
        <v>11613</v>
      </c>
      <c r="G48" s="106" t="s">
        <v>707</v>
      </c>
      <c r="H48" s="107" t="s">
        <v>11614</v>
      </c>
    </row>
    <row r="49" ht="22.5" hidden="1" customHeight="1">
      <c r="A49" s="23" t="s">
        <v>423</v>
      </c>
      <c r="B49" s="23" t="s">
        <v>822</v>
      </c>
      <c r="C49" s="105" t="str">
        <f>IFERROR(__xludf.DUMMYFUNCTION("SUBSTITUTE(IFERROR(REGEXREPLACE(LEFT(A49,FIND("" "",A49)-1),""^(เด็กหญิง|เด็กชาย|นาย|นางสาว|น\.ส\.|ด\.ญ\.|ด\.ช\.)"",""""),""""),""มูฮัมหมัด"",""ม."")"),"บิสมิลล์")</f>
        <v>บิสมิลล์</v>
      </c>
      <c r="D49" s="105" t="str">
        <f t="shared" si="1"/>
        <v>กูโน</v>
      </c>
      <c r="E49" s="106" t="s">
        <v>11618</v>
      </c>
      <c r="F49" s="105" t="s">
        <v>11613</v>
      </c>
      <c r="G49" s="106" t="s">
        <v>707</v>
      </c>
      <c r="H49" s="107" t="s">
        <v>11614</v>
      </c>
    </row>
    <row r="50" ht="22.5" hidden="1" customHeight="1">
      <c r="A50" s="23" t="s">
        <v>372</v>
      </c>
      <c r="B50" s="23" t="s">
        <v>815</v>
      </c>
      <c r="C50" s="105" t="str">
        <f>IFERROR(__xludf.DUMMYFUNCTION("SUBSTITUTE(IFERROR(REGEXREPLACE(LEFT(A50,FIND("" "",A50)-1),""^(เด็กหญิง|เด็กชาย|นาย|นางสาว|น\.ส\.|ด\.ญ\.|ด\.ช\.)"",""""),""""),""มูฮัมหมัด"",""ม."")"),"รุสนา")</f>
        <v>รุสนา</v>
      </c>
      <c r="D50" s="105" t="str">
        <f t="shared" si="1"/>
        <v>วันยี</v>
      </c>
      <c r="E50" s="106" t="s">
        <v>11619</v>
      </c>
      <c r="F50" s="105" t="s">
        <v>11613</v>
      </c>
      <c r="G50" s="106" t="s">
        <v>711</v>
      </c>
      <c r="H50" s="107" t="s">
        <v>11614</v>
      </c>
    </row>
    <row r="51" ht="22.5" hidden="1" customHeight="1">
      <c r="A51" s="23" t="s">
        <v>351</v>
      </c>
      <c r="B51" s="23" t="s">
        <v>813</v>
      </c>
      <c r="C51" s="105" t="str">
        <f>IFERROR(__xludf.DUMMYFUNCTION("SUBSTITUTE(IFERROR(REGEXREPLACE(LEFT(A51,FIND("" "",A51)-1),""^(เด็กหญิง|เด็กชาย|นาย|นางสาว|น\.ส\.|ด\.ญ\.|ด\.ช\.)"",""""),""""),""มูฮัมหมัด"",""ม."")"),"รูกัยหยะฮ")</f>
        <v>รูกัยหยะฮ</v>
      </c>
      <c r="D51" s="105" t="str">
        <f t="shared" si="1"/>
        <v>ก่องสามัน</v>
      </c>
      <c r="E51" s="106" t="s">
        <v>11620</v>
      </c>
      <c r="F51" s="105" t="s">
        <v>11613</v>
      </c>
      <c r="G51" s="106" t="s">
        <v>707</v>
      </c>
      <c r="H51" s="107" t="s">
        <v>11614</v>
      </c>
    </row>
    <row r="52" ht="22.5" hidden="1" customHeight="1">
      <c r="A52" s="23" t="s">
        <v>447</v>
      </c>
      <c r="B52" s="23" t="s">
        <v>824</v>
      </c>
      <c r="C52" s="105" t="str">
        <f>IFERROR(__xludf.DUMMYFUNCTION("SUBSTITUTE(IFERROR(REGEXREPLACE(LEFT(A52,FIND("" "",A52)-1),""^(เด็กหญิง|เด็กชาย|นาย|นางสาว|น\.ส\.|ด\.ญ\.|ด\.ช\.)"",""""),""""),""มูฮัมหมัด"",""ม."")"),"วันนูรญาวารี")</f>
        <v>วันนูรญาวารี</v>
      </c>
      <c r="D52" s="105" t="str">
        <f t="shared" si="1"/>
        <v>ดอเลาะ</v>
      </c>
      <c r="E52" s="106" t="s">
        <v>11621</v>
      </c>
      <c r="F52" s="105" t="s">
        <v>11622</v>
      </c>
      <c r="G52" s="106" t="s">
        <v>707</v>
      </c>
      <c r="H52" s="107" t="s">
        <v>11614</v>
      </c>
    </row>
    <row r="53" ht="22.5" hidden="1" customHeight="1">
      <c r="A53" s="23" t="s">
        <v>459</v>
      </c>
      <c r="B53" s="23" t="s">
        <v>827</v>
      </c>
      <c r="C53" s="105" t="str">
        <f>IFERROR(__xludf.DUMMYFUNCTION("SUBSTITUTE(IFERROR(REGEXREPLACE(LEFT(A53,FIND("" "",A53)-1),""^(เด็กหญิง|เด็กชาย|นาย|นางสาว|น\.ส\.|ด\.ญ\.|ด\.ช\.)"",""""),""""),""มูฮัมหมัด"",""ม."")"),"ฮันนาน")</f>
        <v>ฮันนาน</v>
      </c>
      <c r="D53" s="105" t="str">
        <f t="shared" si="1"/>
        <v>แซ่เตียว</v>
      </c>
      <c r="E53" s="106" t="s">
        <v>11623</v>
      </c>
      <c r="F53" s="105" t="s">
        <v>11561</v>
      </c>
      <c r="G53" s="106" t="s">
        <v>703</v>
      </c>
      <c r="H53" s="107" t="s">
        <v>11614</v>
      </c>
    </row>
    <row r="54" ht="22.5" hidden="1" customHeight="1">
      <c r="A54" s="23" t="s">
        <v>658</v>
      </c>
      <c r="B54" s="23" t="s">
        <v>943</v>
      </c>
      <c r="C54" s="105" t="str">
        <f>IFERROR(__xludf.DUMMYFUNCTION("SUBSTITUTE(IFERROR(REGEXREPLACE(LEFT(A54,FIND("" "",A54)-1),""^(เด็กหญิง|เด็กชาย|นาย|นางสาว|น\.ส\.|ด\.ญ\.|ด\.ช\.)"",""""),""""),""มูฮัมหมัด"",""ม."")"),"ฟิรดาวน์")</f>
        <v>ฟิรดาวน์</v>
      </c>
      <c r="D54" s="105" t="str">
        <f t="shared" si="1"/>
        <v>ลาดอ</v>
      </c>
      <c r="E54" s="106" t="s">
        <v>11624</v>
      </c>
      <c r="F54" s="105" t="s">
        <v>11625</v>
      </c>
      <c r="G54" s="106" t="s">
        <v>703</v>
      </c>
      <c r="H54" s="107" t="s">
        <v>11614</v>
      </c>
    </row>
    <row r="55" ht="22.5" hidden="1" customHeight="1">
      <c r="A55" s="23" t="s">
        <v>387</v>
      </c>
      <c r="B55" s="23" t="s">
        <v>880</v>
      </c>
      <c r="C55" s="105" t="str">
        <f>IFERROR(__xludf.DUMMYFUNCTION("SUBSTITUTE(IFERROR(REGEXREPLACE(LEFT(A55,FIND("" "",A55)-1),""^(เด็กหญิง|เด็กชาย|นาย|นางสาว|น\.ส\.|ด\.ญ\.|ด\.ช\.)"",""""),""""),""มูฮัมหมัด"",""ม."")"),"ชนันธิดา")</f>
        <v>ชนันธิดา</v>
      </c>
      <c r="D55" s="105" t="str">
        <f t="shared" si="1"/>
        <v>เขียวสด</v>
      </c>
      <c r="E55" s="106" t="s">
        <v>11626</v>
      </c>
      <c r="F55" s="105" t="s">
        <v>11627</v>
      </c>
      <c r="G55" s="106" t="s">
        <v>711</v>
      </c>
      <c r="H55" s="107" t="s">
        <v>11614</v>
      </c>
    </row>
    <row r="56" ht="22.5" hidden="1" customHeight="1">
      <c r="A56" s="23" t="s">
        <v>288</v>
      </c>
      <c r="B56" s="23" t="s">
        <v>832</v>
      </c>
      <c r="C56" s="105" t="str">
        <f>IFERROR(__xludf.DUMMYFUNCTION("SUBSTITUTE(IFERROR(REGEXREPLACE(LEFT(A56,FIND("" "",A56)-1),""^(เด็กหญิง|เด็กชาย|นาย|นางสาว|น\.ส\.|ด\.ญ\.|ด\.ช\.)"",""""),""""),""มูฮัมหมัด"",""ม."")"),"ซอลีฮะห์")</f>
        <v>ซอลีฮะห์</v>
      </c>
      <c r="D56" s="105" t="str">
        <f t="shared" si="1"/>
        <v>สาเมาะ</v>
      </c>
      <c r="E56" s="106" t="s">
        <v>11628</v>
      </c>
      <c r="F56" s="105" t="s">
        <v>11629</v>
      </c>
      <c r="G56" s="106" t="s">
        <v>718</v>
      </c>
      <c r="H56" s="107" t="s">
        <v>11614</v>
      </c>
    </row>
    <row r="57" ht="22.5" hidden="1" customHeight="1">
      <c r="A57" s="23" t="s">
        <v>366</v>
      </c>
      <c r="B57" s="23" t="s">
        <v>863</v>
      </c>
      <c r="C57" s="105" t="str">
        <f>IFERROR(__xludf.DUMMYFUNCTION("SUBSTITUTE(IFERROR(REGEXREPLACE(LEFT(A57,FIND("" "",A57)-1),""^(เด็กหญิง|เด็กชาย|นาย|นางสาว|น\.ส\.|ด\.ญ\.|ด\.ช\.)"",""""),""""),""มูฮัมหมัด"",""ม."")"),"ซัลซาบีลา")</f>
        <v>ซัลซาบีลา</v>
      </c>
      <c r="D57" s="105" t="str">
        <f t="shared" si="1"/>
        <v>หะนั่ง</v>
      </c>
      <c r="E57" s="106" t="s">
        <v>11630</v>
      </c>
      <c r="F57" s="105" t="s">
        <v>11583</v>
      </c>
      <c r="G57" s="106" t="s">
        <v>703</v>
      </c>
      <c r="H57" s="107" t="s">
        <v>11614</v>
      </c>
    </row>
    <row r="58" ht="22.5" hidden="1" customHeight="1">
      <c r="A58" s="23" t="s">
        <v>312</v>
      </c>
      <c r="B58" s="23" t="s">
        <v>927</v>
      </c>
      <c r="C58" s="105" t="str">
        <f>IFERROR(__xludf.DUMMYFUNCTION("SUBSTITUTE(IFERROR(REGEXREPLACE(LEFT(A58,FIND("" "",A58)-1),""^(เด็กหญิง|เด็กชาย|นาย|นางสาว|น\.ส\.|ด\.ญ\.|ด\.ช\.)"",""""),""""),""มูฮัมหมัด"",""ม."")"),"ซัลมี")</f>
        <v>ซัลมี</v>
      </c>
      <c r="D58" s="105" t="str">
        <f t="shared" si="1"/>
        <v>ฮามะ</v>
      </c>
      <c r="E58" s="106" t="s">
        <v>11631</v>
      </c>
      <c r="F58" s="105" t="s">
        <v>11583</v>
      </c>
      <c r="G58" s="106" t="s">
        <v>699</v>
      </c>
      <c r="H58" s="107" t="s">
        <v>11614</v>
      </c>
    </row>
    <row r="59" ht="22.5" hidden="1" customHeight="1">
      <c r="A59" s="23" t="s">
        <v>414</v>
      </c>
      <c r="B59" s="23" t="s">
        <v>898</v>
      </c>
      <c r="C59" s="105" t="str">
        <f>IFERROR(__xludf.DUMMYFUNCTION("SUBSTITUTE(IFERROR(REGEXREPLACE(LEFT(A59,FIND("" "",A59)-1),""^(เด็กหญิง|เด็กชาย|นาย|นางสาว|น\.ส\.|ด\.ญ\.|ด\.ช\.)"",""""),""""),""มูฮัมหมัด"",""ม."")"),"ซัลวา")</f>
        <v>ซัลวา</v>
      </c>
      <c r="D59" s="105" t="str">
        <f t="shared" si="1"/>
        <v>ปะดอดา</v>
      </c>
      <c r="E59" s="106" t="s">
        <v>11632</v>
      </c>
      <c r="F59" s="105" t="s">
        <v>11633</v>
      </c>
      <c r="G59" s="106" t="s">
        <v>728</v>
      </c>
      <c r="H59" s="107" t="s">
        <v>11614</v>
      </c>
    </row>
    <row r="60" ht="22.5" hidden="1" customHeight="1">
      <c r="A60" s="23" t="s">
        <v>444</v>
      </c>
      <c r="B60" s="23" t="s">
        <v>72</v>
      </c>
      <c r="C60" s="105" t="str">
        <f>IFERROR(__xludf.DUMMYFUNCTION("SUBSTITUTE(IFERROR(REGEXREPLACE(LEFT(A60,FIND("" "",A60)-1),""^(เด็กหญิง|เด็กชาย|นาย|นางสาว|น\.ส\.|ด\.ญ\.|ด\.ช\.)"",""""),""""),""มูฮัมหมัด"",""ม."")"),"ซารีนา")</f>
        <v>ซารีนา</v>
      </c>
      <c r="D60" s="105" t="str">
        <f t="shared" si="1"/>
        <v>หมัดอาด้ำ</v>
      </c>
      <c r="E60" s="106" t="s">
        <v>11634</v>
      </c>
      <c r="F60" s="105" t="s">
        <v>11568</v>
      </c>
      <c r="G60" s="106" t="s">
        <v>805</v>
      </c>
      <c r="H60" s="107" t="s">
        <v>11614</v>
      </c>
    </row>
    <row r="61" ht="22.5" hidden="1" customHeight="1">
      <c r="A61" s="23" t="s">
        <v>363</v>
      </c>
      <c r="B61" s="23" t="s">
        <v>861</v>
      </c>
      <c r="C61" s="105" t="str">
        <f>IFERROR(__xludf.DUMMYFUNCTION("SUBSTITUTE(IFERROR(REGEXREPLACE(LEFT(A61,FIND("" "",A61)-1),""^(เด็กหญิง|เด็กชาย|นาย|นางสาว|น\.ส\.|ด\.ญ\.|ด\.ช\.)"",""""),""""),""มูฮัมหมัด"",""ม."")"),"ซีรินณ์")</f>
        <v>ซีรินณ์</v>
      </c>
      <c r="D61" s="105" t="str">
        <f t="shared" si="1"/>
        <v>ยูโซะ</v>
      </c>
      <c r="E61" s="106" t="s">
        <v>11635</v>
      </c>
      <c r="F61" s="105" t="s">
        <v>11636</v>
      </c>
      <c r="G61" s="106" t="s">
        <v>736</v>
      </c>
      <c r="H61" s="107" t="s">
        <v>11614</v>
      </c>
    </row>
    <row r="62" ht="22.5" hidden="1" customHeight="1">
      <c r="A62" s="23" t="s">
        <v>360</v>
      </c>
      <c r="B62" s="23" t="s">
        <v>858</v>
      </c>
      <c r="C62" s="105" t="str">
        <f>IFERROR(__xludf.DUMMYFUNCTION("SUBSTITUTE(IFERROR(REGEXREPLACE(LEFT(A62,FIND("" "",A62)-1),""^(เด็กหญิง|เด็กชาย|นาย|นางสาว|น\.ส\.|ด\.ญ\.|ด\.ช\.)"",""""),""""),""มูฮัมหมัด"",""ม."")"),"ซีรีน")</f>
        <v>ซีรีน</v>
      </c>
      <c r="D62" s="105" t="str">
        <f t="shared" si="1"/>
        <v>สะมะแอ</v>
      </c>
      <c r="E62" s="106" t="s">
        <v>11637</v>
      </c>
      <c r="F62" s="105" t="s">
        <v>11636</v>
      </c>
      <c r="G62" s="106" t="s">
        <v>707</v>
      </c>
      <c r="H62" s="107" t="s">
        <v>11614</v>
      </c>
    </row>
    <row r="63" ht="22.5" hidden="1" customHeight="1">
      <c r="A63" s="23" t="s">
        <v>324</v>
      </c>
      <c r="B63" s="23" t="s">
        <v>836</v>
      </c>
      <c r="C63" s="105" t="str">
        <f>IFERROR(__xludf.DUMMYFUNCTION("SUBSTITUTE(IFERROR(REGEXREPLACE(LEFT(A63,FIND("" "",A63)-1),""^(เด็กหญิง|เด็กชาย|นาย|นางสาว|น\.ส\.|ด\.ญ\.|ด\.ช\.)"",""""),""""),""มูฮัมหมัด"",""ม."")"),"ซูรัยดา")</f>
        <v>ซูรัยดา</v>
      </c>
      <c r="D63" s="105" t="str">
        <f t="shared" si="1"/>
        <v>บากาประเสริฐ</v>
      </c>
      <c r="E63" s="106" t="s">
        <v>11638</v>
      </c>
      <c r="F63" s="105" t="s">
        <v>11639</v>
      </c>
      <c r="G63" s="106" t="s">
        <v>728</v>
      </c>
      <c r="H63" s="107" t="s">
        <v>11614</v>
      </c>
    </row>
    <row r="64" ht="22.5" hidden="1" customHeight="1">
      <c r="A64" s="23" t="s">
        <v>411</v>
      </c>
      <c r="B64" s="23" t="s">
        <v>896</v>
      </c>
      <c r="C64" s="105" t="str">
        <f>IFERROR(__xludf.DUMMYFUNCTION("SUBSTITUTE(IFERROR(REGEXREPLACE(LEFT(A64,FIND("" "",A64)-1),""^(เด็กหญิง|เด็กชาย|นาย|นางสาว|น\.ส\.|ด\.ญ\.|ด\.ช\.)"",""""),""""),""มูฮัมหมัด"",""ม."")"),"ซูไรดา")</f>
        <v>ซูไรดา</v>
      </c>
      <c r="D64" s="105" t="str">
        <f t="shared" si="1"/>
        <v>เดนหะ</v>
      </c>
      <c r="E64" s="106" t="s">
        <v>11640</v>
      </c>
      <c r="F64" s="105" t="s">
        <v>11633</v>
      </c>
      <c r="G64" s="106" t="s">
        <v>728</v>
      </c>
      <c r="H64" s="107" t="s">
        <v>11614</v>
      </c>
    </row>
    <row r="65" ht="22.5" hidden="1" customHeight="1">
      <c r="A65" s="23" t="s">
        <v>390</v>
      </c>
      <c r="B65" s="23" t="s">
        <v>882</v>
      </c>
      <c r="C65" s="105" t="str">
        <f>IFERROR(__xludf.DUMMYFUNCTION("SUBSTITUTE(IFERROR(REGEXREPLACE(LEFT(A65,FIND("" "",A65)-1),""^(เด็กหญิง|เด็กชาย|นาย|นางสาว|น\.ส\.|ด\.ญ\.|ด\.ช\.)"",""""),""""),""มูฮัมหมัด"",""ม."")"),"ตัสนีม")</f>
        <v>ตัสนีม</v>
      </c>
      <c r="D65" s="105" t="str">
        <f t="shared" si="1"/>
        <v>มันปุ</v>
      </c>
      <c r="E65" s="106" t="s">
        <v>11641</v>
      </c>
      <c r="F65" s="105" t="s">
        <v>11627</v>
      </c>
      <c r="G65" s="106" t="s">
        <v>718</v>
      </c>
      <c r="H65" s="107" t="s">
        <v>11614</v>
      </c>
    </row>
    <row r="66" ht="22.5" hidden="1" customHeight="1">
      <c r="A66" s="23" t="s">
        <v>450</v>
      </c>
      <c r="B66" s="23" t="s">
        <v>913</v>
      </c>
      <c r="C66" s="105" t="str">
        <f>IFERROR(__xludf.DUMMYFUNCTION("SUBSTITUTE(IFERROR(REGEXREPLACE(LEFT(A66,FIND("" "",A66)-1),""^(เด็กหญิง|เด็กชาย|นาย|นางสาว|น\.ส\.|ด\.ญ\.|ด\.ช\.)"",""""),""""),""มูฮัมหมัด"",""ม."")"),"นรรจวา")</f>
        <v>นรรจวา</v>
      </c>
      <c r="D66" s="105" t="str">
        <f t="shared" si="1"/>
        <v>อาแด</v>
      </c>
      <c r="E66" s="106" t="s">
        <v>11642</v>
      </c>
      <c r="F66" s="105" t="s">
        <v>11568</v>
      </c>
      <c r="G66" s="106" t="s">
        <v>728</v>
      </c>
      <c r="H66" s="107" t="s">
        <v>11614</v>
      </c>
    </row>
    <row r="67" ht="22.5" hidden="1" customHeight="1">
      <c r="A67" s="23" t="s">
        <v>441</v>
      </c>
      <c r="B67" s="23" t="s">
        <v>911</v>
      </c>
      <c r="C67" s="105" t="str">
        <f>IFERROR(__xludf.DUMMYFUNCTION("SUBSTITUTE(IFERROR(REGEXREPLACE(LEFT(A67,FIND("" "",A67)-1),""^(เด็กหญิง|เด็กชาย|นาย|นางสาว|น\.ส\.|ด\.ญ\.|ด\.ช\.)"",""""),""""),""มูฮัมหมัด"",""ม."")"),"นัจญวา")</f>
        <v>นัจญวา</v>
      </c>
      <c r="D67" s="105" t="str">
        <f t="shared" si="1"/>
        <v>ล่าหับ</v>
      </c>
      <c r="E67" s="106" t="s">
        <v>11643</v>
      </c>
      <c r="F67" s="105" t="s">
        <v>11576</v>
      </c>
      <c r="G67" s="106" t="s">
        <v>711</v>
      </c>
      <c r="H67" s="107" t="s">
        <v>11614</v>
      </c>
    </row>
    <row r="68" ht="22.5" hidden="1" customHeight="1">
      <c r="A68" s="23" t="s">
        <v>318</v>
      </c>
      <c r="B68" s="23" t="s">
        <v>930</v>
      </c>
      <c r="C68" s="105" t="str">
        <f>IFERROR(__xludf.DUMMYFUNCTION("SUBSTITUTE(IFERROR(REGEXREPLACE(LEFT(A68,FIND("" "",A68)-1),""^(เด็กหญิง|เด็กชาย|นาย|นางสาว|น\.ส\.|ด\.ญ\.|ด\.ช\.)"",""""),""""),""มูฮัมหมัด"",""ม."")"),"นัจมีญร์")</f>
        <v>นัจมีญร์</v>
      </c>
      <c r="D68" s="105" t="str">
        <f t="shared" si="1"/>
        <v>ดายี</v>
      </c>
      <c r="E68" s="106" t="s">
        <v>11644</v>
      </c>
      <c r="F68" s="105" t="s">
        <v>11568</v>
      </c>
      <c r="G68" s="106" t="s">
        <v>728</v>
      </c>
      <c r="H68" s="107" t="s">
        <v>11614</v>
      </c>
    </row>
    <row r="69" ht="22.5" hidden="1" customHeight="1">
      <c r="A69" s="23" t="s">
        <v>327</v>
      </c>
      <c r="B69" s="23" t="s">
        <v>59</v>
      </c>
      <c r="C69" s="105" t="str">
        <f>IFERROR(__xludf.DUMMYFUNCTION("SUBSTITUTE(IFERROR(REGEXREPLACE(LEFT(A69,FIND("" "",A69)-1),""^(เด็กหญิง|เด็กชาย|นาย|นางสาว|น\.ส\.|ด\.ญ\.|ด\.ช\.)"",""""),""""),""มูฮัมหมัด"",""ม."")"),"นัชวา")</f>
        <v>นัชวา</v>
      </c>
      <c r="D69" s="105" t="str">
        <f t="shared" si="1"/>
        <v>อภิบาลแบ</v>
      </c>
      <c r="E69" s="106" t="s">
        <v>11645</v>
      </c>
      <c r="F69" s="105" t="s">
        <v>11646</v>
      </c>
      <c r="G69" s="106" t="s">
        <v>728</v>
      </c>
      <c r="H69" s="107" t="s">
        <v>11614</v>
      </c>
    </row>
    <row r="70" ht="22.5" hidden="1" customHeight="1">
      <c r="A70" s="23" t="s">
        <v>378</v>
      </c>
      <c r="B70" s="23" t="s">
        <v>870</v>
      </c>
      <c r="C70" s="105" t="str">
        <f>IFERROR(__xludf.DUMMYFUNCTION("SUBSTITUTE(IFERROR(REGEXREPLACE(LEFT(A70,FIND("" "",A70)-1),""^(เด็กหญิง|เด็กชาย|นาย|นางสาว|น\.ส\.|ด\.ญ\.|ด\.ช\.)"",""""),""""),""มูฮัมหมัด"",""ม."")"),"นัซนีม")</f>
        <v>นัซนีม</v>
      </c>
      <c r="D70" s="105" t="str">
        <f t="shared" si="1"/>
        <v>ดือราแม</v>
      </c>
      <c r="E70" s="106" t="s">
        <v>11647</v>
      </c>
      <c r="F70" s="105" t="s">
        <v>11583</v>
      </c>
      <c r="G70" s="106" t="s">
        <v>699</v>
      </c>
      <c r="H70" s="107" t="s">
        <v>11614</v>
      </c>
    </row>
    <row r="71" ht="22.5" hidden="1" customHeight="1">
      <c r="A71" s="23" t="s">
        <v>438</v>
      </c>
      <c r="B71" s="23" t="s">
        <v>53</v>
      </c>
      <c r="C71" s="105" t="str">
        <f>IFERROR(__xludf.DUMMYFUNCTION("SUBSTITUTE(IFERROR(REGEXREPLACE(LEFT(A71,FIND("" "",A71)-1),""^(เด็กหญิง|เด็กชาย|นาย|นางสาว|น\.ส\.|ด\.ญ\.|ด\.ช\.)"",""""),""""),""มูฮัมหมัด"",""ม."")"),"นัซรินทร์")</f>
        <v>นัซรินทร์</v>
      </c>
      <c r="D71" s="105" t="str">
        <f t="shared" si="1"/>
        <v>ดาราแม</v>
      </c>
      <c r="E71" s="106" t="s">
        <v>11648</v>
      </c>
      <c r="F71" s="105" t="s">
        <v>11576</v>
      </c>
      <c r="G71" s="106" t="s">
        <v>699</v>
      </c>
      <c r="H71" s="107" t="s">
        <v>11614</v>
      </c>
    </row>
    <row r="72" ht="22.5" hidden="1" customHeight="1">
      <c r="A72" s="23" t="s">
        <v>303</v>
      </c>
      <c r="B72" s="23" t="s">
        <v>921</v>
      </c>
      <c r="C72" s="105" t="str">
        <f>IFERROR(__xludf.DUMMYFUNCTION("SUBSTITUTE(IFERROR(REGEXREPLACE(LEFT(A72,FIND("" "",A72)-1),""^(เด็กหญิง|เด็กชาย|นาย|นางสาว|น\.ส\.|ด\.ญ\.|ด\.ช\.)"",""""),""""),""มูฮัมหมัด"",""ม."")"),"นัตตรีเซีย")</f>
        <v>นัตตรีเซีย</v>
      </c>
      <c r="D72" s="105" t="str">
        <f t="shared" si="1"/>
        <v>สองเมือง</v>
      </c>
      <c r="E72" s="106" t="s">
        <v>11649</v>
      </c>
      <c r="F72" s="105" t="s">
        <v>11627</v>
      </c>
      <c r="G72" s="106" t="s">
        <v>736</v>
      </c>
      <c r="H72" s="107" t="s">
        <v>11614</v>
      </c>
    </row>
    <row r="73" ht="22.5" hidden="1" customHeight="1">
      <c r="A73" s="23" t="s">
        <v>429</v>
      </c>
      <c r="B73" s="23" t="s">
        <v>905</v>
      </c>
      <c r="C73" s="105" t="str">
        <f>IFERROR(__xludf.DUMMYFUNCTION("SUBSTITUTE(IFERROR(REGEXREPLACE(LEFT(A73,FIND("" "",A73)-1),""^(เด็กหญิง|เด็กชาย|นาย|นางสาว|น\.ส\.|ด\.ญ\.|ด\.ช\.)"",""""),""""),""มูฮัมหมัด"",""ม."")"),"นัสริน")</f>
        <v>นัสริน</v>
      </c>
      <c r="D73" s="105" t="str">
        <f t="shared" si="1"/>
        <v>หะยีบากา</v>
      </c>
      <c r="E73" s="106" t="s">
        <v>11650</v>
      </c>
      <c r="F73" s="105" t="s">
        <v>11576</v>
      </c>
      <c r="G73" s="106" t="s">
        <v>707</v>
      </c>
      <c r="H73" s="107" t="s">
        <v>11614</v>
      </c>
    </row>
    <row r="74" ht="22.5" hidden="1" customHeight="1">
      <c r="A74" s="23" t="s">
        <v>306</v>
      </c>
      <c r="B74" s="23" t="s">
        <v>924</v>
      </c>
      <c r="C74" s="105" t="str">
        <f>IFERROR(__xludf.DUMMYFUNCTION("SUBSTITUTE(IFERROR(REGEXREPLACE(LEFT(A74,FIND("" "",A74)-1),""^(เด็กหญิง|เด็กชาย|นาย|นางสาว|น\.ส\.|ด\.ญ\.|ด\.ช\.)"",""""),""""),""มูฮัมหมัด"",""ม."")"),"นาดียา")</f>
        <v>นาดียา</v>
      </c>
      <c r="D74" s="105" t="str">
        <f t="shared" si="1"/>
        <v>แซแม็ง</v>
      </c>
      <c r="E74" s="106" t="s">
        <v>11651</v>
      </c>
      <c r="F74" s="105" t="s">
        <v>11627</v>
      </c>
      <c r="G74" s="106" t="s">
        <v>718</v>
      </c>
      <c r="H74" s="107" t="s">
        <v>11614</v>
      </c>
    </row>
    <row r="75" ht="22.5" hidden="1" customHeight="1">
      <c r="A75" s="23" t="s">
        <v>336</v>
      </c>
      <c r="B75" s="23" t="s">
        <v>843</v>
      </c>
      <c r="C75" s="105" t="str">
        <f>IFERROR(__xludf.DUMMYFUNCTION("SUBSTITUTE(IFERROR(REGEXREPLACE(LEFT(A75,FIND("" "",A75)-1),""^(เด็กหญิง|เด็กชาย|นาย|นางสาว|น\.ส\.|ด\.ญ\.|ด\.ช\.)"",""""),""""),""มูฮัมหมัด"",""ม."")"),"นารีตา")</f>
        <v>นารีตา</v>
      </c>
      <c r="D75" s="105" t="str">
        <f t="shared" si="1"/>
        <v>สาแมแน็ง</v>
      </c>
      <c r="E75" s="106" t="s">
        <v>11652</v>
      </c>
      <c r="F75" s="105" t="s">
        <v>11639</v>
      </c>
      <c r="G75" s="106" t="s">
        <v>711</v>
      </c>
      <c r="H75" s="107" t="s">
        <v>11614</v>
      </c>
    </row>
    <row r="76" ht="22.5" hidden="1" customHeight="1">
      <c r="A76" s="23" t="s">
        <v>384</v>
      </c>
      <c r="B76" s="23" t="s">
        <v>877</v>
      </c>
      <c r="C76" s="105" t="str">
        <f>IFERROR(__xludf.DUMMYFUNCTION("SUBSTITUTE(IFERROR(REGEXREPLACE(LEFT(A76,FIND("" "",A76)-1),""^(เด็กหญิง|เด็กชาย|นาย|นางสาว|น\.ส\.|ด\.ญ\.|ด\.ช\.)"",""""),""""),""มูฮัมหมัด"",""ม."")"),"นาวัล")</f>
        <v>นาวัล</v>
      </c>
      <c r="D76" s="105" t="str">
        <f t="shared" si="1"/>
        <v>มีนา</v>
      </c>
      <c r="E76" s="106" t="s">
        <v>11653</v>
      </c>
      <c r="F76" s="105" t="s">
        <v>11627</v>
      </c>
      <c r="G76" s="106" t="s">
        <v>736</v>
      </c>
      <c r="H76" s="107" t="s">
        <v>11614</v>
      </c>
    </row>
    <row r="77" ht="22.5" hidden="1" customHeight="1">
      <c r="A77" s="23" t="s">
        <v>339</v>
      </c>
      <c r="B77" s="23" t="s">
        <v>845</v>
      </c>
      <c r="C77" s="105" t="str">
        <f>IFERROR(__xludf.DUMMYFUNCTION("SUBSTITUTE(IFERROR(REGEXREPLACE(LEFT(A77,FIND("" "",A77)-1),""^(เด็กหญิง|เด็กชาย|นาย|นางสาว|น\.ส\.|ด\.ญ\.|ด\.ช\.)"",""""),""""),""มูฮัมหมัด"",""ม."")"),"นิฟาติน")</f>
        <v>นิฟาติน</v>
      </c>
      <c r="D77" s="105" t="str">
        <f t="shared" si="1"/>
        <v>ดาโอ๊ะ</v>
      </c>
      <c r="E77" s="106" t="s">
        <v>11654</v>
      </c>
      <c r="F77" s="105" t="s">
        <v>11639</v>
      </c>
      <c r="G77" s="106" t="s">
        <v>711</v>
      </c>
      <c r="H77" s="107" t="s">
        <v>11614</v>
      </c>
    </row>
    <row r="78" ht="22.5" hidden="1" customHeight="1">
      <c r="A78" s="23" t="s">
        <v>381</v>
      </c>
      <c r="B78" s="23" t="s">
        <v>872</v>
      </c>
      <c r="C78" s="105" t="str">
        <f>IFERROR(__xludf.DUMMYFUNCTION("SUBSTITUTE(IFERROR(REGEXREPLACE(LEFT(A78,FIND("" "",A78)-1),""^(เด็กหญิง|เด็กชาย|นาย|นางสาว|น\.ส\.|ด\.ญ\.|ด\.ช\.)"",""""),""""),""มูฮัมหมัด"",""ม."")"),"นิอาลียา")</f>
        <v>นิอาลียา</v>
      </c>
      <c r="D78" s="105" t="str">
        <f t="shared" si="1"/>
        <v>เจะแม</v>
      </c>
      <c r="E78" s="106" t="s">
        <v>11655</v>
      </c>
      <c r="F78" s="105" t="s">
        <v>11583</v>
      </c>
      <c r="G78" s="106" t="s">
        <v>699</v>
      </c>
      <c r="H78" s="107" t="s">
        <v>11614</v>
      </c>
    </row>
    <row r="79" ht="22.5" hidden="1" customHeight="1">
      <c r="A79" s="23" t="s">
        <v>375</v>
      </c>
      <c r="B79" s="23" t="s">
        <v>868</v>
      </c>
      <c r="C79" s="105" t="str">
        <f>IFERROR(__xludf.DUMMYFUNCTION("SUBSTITUTE(IFERROR(REGEXREPLACE(LEFT(A79,FIND("" "",A79)-1),""^(เด็กหญิง|เด็กชาย|นาย|นางสาว|น\.ส\.|ด\.ญ\.|ด\.ช\.)"",""""),""""),""มูฮัมหมัด"",""ม."")"),"นุรดีนี")</f>
        <v>นุรดีนี</v>
      </c>
      <c r="D79" s="105" t="str">
        <f t="shared" si="1"/>
        <v>สุหลง</v>
      </c>
      <c r="E79" s="106" t="s">
        <v>11656</v>
      </c>
      <c r="F79" s="105" t="s">
        <v>11583</v>
      </c>
      <c r="G79" s="106" t="s">
        <v>699</v>
      </c>
      <c r="H79" s="107" t="s">
        <v>11614</v>
      </c>
    </row>
    <row r="80" ht="22.5" hidden="1" customHeight="1">
      <c r="A80" s="23" t="s">
        <v>369</v>
      </c>
      <c r="B80" s="23" t="s">
        <v>866</v>
      </c>
      <c r="C80" s="105" t="str">
        <f>IFERROR(__xludf.DUMMYFUNCTION("SUBSTITUTE(IFERROR(REGEXREPLACE(LEFT(A80,FIND("" "",A80)-1),""^(เด็กหญิง|เด็กชาย|นาย|นางสาว|น\.ส\.|ด\.ญ\.|ด\.ช\.)"",""""),""""),""มูฮัมหมัด"",""ม."")"),"นุรมี")</f>
        <v>นุรมี</v>
      </c>
      <c r="D80" s="105" t="str">
        <f t="shared" si="1"/>
        <v>คอแบ๊ะ</v>
      </c>
      <c r="E80" s="106" t="s">
        <v>11657</v>
      </c>
      <c r="F80" s="105" t="s">
        <v>11583</v>
      </c>
      <c r="G80" s="106" t="s">
        <v>699</v>
      </c>
      <c r="H80" s="107" t="s">
        <v>11614</v>
      </c>
    </row>
    <row r="81" ht="22.5" hidden="1" customHeight="1">
      <c r="A81" s="23" t="s">
        <v>453</v>
      </c>
      <c r="B81" s="23" t="s">
        <v>47</v>
      </c>
      <c r="C81" s="105" t="str">
        <f>IFERROR(__xludf.DUMMYFUNCTION("SUBSTITUTE(IFERROR(REGEXREPLACE(LEFT(A81,FIND("" "",A81)-1),""^(เด็กหญิง|เด็กชาย|นาย|นางสาว|น\.ส\.|ด\.ญ\.|ด\.ช\.)"",""""),""""),""มูฮัมหมัด"",""ม."")"),"นูรฟิสรี")</f>
        <v>นูรฟิสรี</v>
      </c>
      <c r="D81" s="105" t="str">
        <f t="shared" si="1"/>
        <v>เหตุหาก</v>
      </c>
      <c r="E81" s="106" t="s">
        <v>11658</v>
      </c>
      <c r="F81" s="105" t="s">
        <v>11568</v>
      </c>
      <c r="G81" s="106" t="s">
        <v>812</v>
      </c>
      <c r="H81" s="107" t="s">
        <v>11614</v>
      </c>
    </row>
    <row r="82" ht="22.5" hidden="1" customHeight="1">
      <c r="A82" s="23" t="s">
        <v>345</v>
      </c>
      <c r="B82" s="23" t="s">
        <v>849</v>
      </c>
      <c r="C82" s="105" t="str">
        <f>IFERROR(__xludf.DUMMYFUNCTION("SUBSTITUTE(IFERROR(REGEXREPLACE(LEFT(A82,FIND("" "",A82)-1),""^(เด็กหญิง|เด็กชาย|นาย|นางสาว|น\.ส\.|ด\.ญ\.|ด\.ช\.)"",""""),""""),""มูฮัมหมัด"",""ม."")"),"นูรฮายาตี")</f>
        <v>นูรฮายาตี</v>
      </c>
      <c r="D82" s="105" t="str">
        <f t="shared" si="1"/>
        <v>สุหลง</v>
      </c>
      <c r="E82" s="106" t="s">
        <v>11659</v>
      </c>
      <c r="F82" s="105" t="s">
        <v>11639</v>
      </c>
      <c r="G82" s="106" t="s">
        <v>711</v>
      </c>
      <c r="H82" s="107" t="s">
        <v>11614</v>
      </c>
    </row>
    <row r="83" ht="22.5" hidden="1" customHeight="1">
      <c r="A83" s="23" t="s">
        <v>432</v>
      </c>
      <c r="B83" s="23" t="s">
        <v>907</v>
      </c>
      <c r="C83" s="105" t="str">
        <f>IFERROR(__xludf.DUMMYFUNCTION("SUBSTITUTE(IFERROR(REGEXREPLACE(LEFT(A83,FIND("" "",A83)-1),""^(เด็กหญิง|เด็กชาย|นาย|นางสาว|น\.ส\.|ด\.ญ\.|ด\.ช\.)"",""""),""""),""มูฮัมหมัด"",""ม."")"),"นูรฮีดายะห์")</f>
        <v>นูรฮีดายะห์</v>
      </c>
      <c r="D83" s="105" t="str">
        <f t="shared" si="1"/>
        <v>อาฮา</v>
      </c>
      <c r="E83" s="106" t="s">
        <v>11660</v>
      </c>
      <c r="F83" s="105" t="s">
        <v>11576</v>
      </c>
      <c r="G83" s="106" t="s">
        <v>707</v>
      </c>
      <c r="H83" s="107" t="s">
        <v>11614</v>
      </c>
    </row>
    <row r="84" ht="22.5" hidden="1" customHeight="1">
      <c r="A84" s="23" t="s">
        <v>417</v>
      </c>
      <c r="B84" s="23" t="s">
        <v>890</v>
      </c>
      <c r="C84" s="105" t="str">
        <f>IFERROR(__xludf.DUMMYFUNCTION("SUBSTITUTE(IFERROR(REGEXREPLACE(LEFT(A84,FIND("" "",A84)-1),""^(เด็กหญิง|เด็กชาย|นาย|นางสาว|น\.ส\.|ด\.ญ\.|ด\.ช\.)"",""""),""""),""มูฮัมหมัด"",""ม."")"),"นูรีตา")</f>
        <v>นูรีตา</v>
      </c>
      <c r="D84" s="105" t="str">
        <f t="shared" si="1"/>
        <v>สาแม</v>
      </c>
      <c r="E84" s="106" t="s">
        <v>11661</v>
      </c>
      <c r="F84" s="105" t="s">
        <v>11662</v>
      </c>
      <c r="G84" s="106" t="s">
        <v>699</v>
      </c>
      <c r="H84" s="107" t="s">
        <v>11614</v>
      </c>
    </row>
    <row r="85" ht="22.5" hidden="1" customHeight="1">
      <c r="A85" s="23" t="s">
        <v>408</v>
      </c>
      <c r="B85" s="23" t="s">
        <v>40</v>
      </c>
      <c r="C85" s="105" t="str">
        <f>IFERROR(__xludf.DUMMYFUNCTION("SUBSTITUTE(IFERROR(REGEXREPLACE(LEFT(A85,FIND("" "",A85)-1),""^(เด็กหญิง|เด็กชาย|นาย|นางสาว|น\.ส\.|ด\.ญ\.|ด\.ช\.)"",""""),""""),""มูฮัมหมัด"",""ม."")"),"เบนาซี")</f>
        <v>เบนาซี</v>
      </c>
      <c r="D85" s="105" t="str">
        <f t="shared" si="1"/>
        <v>ดาระโจะ</v>
      </c>
      <c r="E85" s="106" t="s">
        <v>11663</v>
      </c>
      <c r="F85" s="105" t="s">
        <v>11633</v>
      </c>
      <c r="G85" s="106" t="s">
        <v>808</v>
      </c>
      <c r="H85" s="107" t="s">
        <v>11614</v>
      </c>
    </row>
    <row r="86" ht="22.5" hidden="1" customHeight="1">
      <c r="A86" s="23" t="s">
        <v>426</v>
      </c>
      <c r="B86" s="23" t="s">
        <v>902</v>
      </c>
      <c r="C86" s="105" t="str">
        <f>IFERROR(__xludf.DUMMYFUNCTION("SUBSTITUTE(IFERROR(REGEXREPLACE(LEFT(A86,FIND("" "",A86)-1),""^(เด็กหญิง|เด็กชาย|นาย|นางสาว|น\.ส\.|ด\.ญ\.|ด\.ช\.)"",""""),""""),""มูฮัมหมัด"",""ม."")"),"ฟาดียะห์")</f>
        <v>ฟาดียะห์</v>
      </c>
      <c r="D86" s="105" t="str">
        <f t="shared" si="1"/>
        <v>ปาเนาะ</v>
      </c>
      <c r="E86" s="106" t="s">
        <v>11664</v>
      </c>
      <c r="F86" s="105" t="s">
        <v>11576</v>
      </c>
      <c r="G86" s="106" t="s">
        <v>699</v>
      </c>
      <c r="H86" s="107" t="s">
        <v>11614</v>
      </c>
    </row>
    <row r="87" ht="22.5" hidden="1" customHeight="1">
      <c r="A87" s="23" t="s">
        <v>297</v>
      </c>
      <c r="B87" s="23" t="s">
        <v>918</v>
      </c>
      <c r="C87" s="105" t="str">
        <f>IFERROR(__xludf.DUMMYFUNCTION("SUBSTITUTE(IFERROR(REGEXREPLACE(LEFT(A87,FIND("" "",A87)-1),""^(เด็กหญิง|เด็กชาย|นาย|นางสาว|น\.ส\.|ด\.ญ\.|ด\.ช\.)"",""""),""""),""มูฮัมหมัด"",""ม."")"),"ฟาตีเม๊าะ")</f>
        <v>ฟาตีเม๊าะ</v>
      </c>
      <c r="D87" s="105" t="str">
        <f t="shared" si="1"/>
        <v>ดอเลาะ</v>
      </c>
      <c r="E87" s="106" t="s">
        <v>11665</v>
      </c>
      <c r="F87" s="105" t="s">
        <v>11625</v>
      </c>
      <c r="G87" s="106" t="s">
        <v>711</v>
      </c>
      <c r="H87" s="107" t="s">
        <v>11614</v>
      </c>
    </row>
    <row r="88" ht="22.5" hidden="1" customHeight="1">
      <c r="A88" s="23" t="s">
        <v>348</v>
      </c>
      <c r="B88" s="23" t="s">
        <v>851</v>
      </c>
      <c r="C88" s="105" t="str">
        <f>IFERROR(__xludf.DUMMYFUNCTION("SUBSTITUTE(IFERROR(REGEXREPLACE(LEFT(A88,FIND("" "",A88)-1),""^(เด็กหญิง|เด็กชาย|นาย|นางสาว|น\.ส\.|ด\.ญ\.|ด\.ช\.)"",""""),""""),""มูฮัมหมัด"",""ม."")"),"ฟิรดาว")</f>
        <v>ฟิรดาว</v>
      </c>
      <c r="D88" s="105" t="str">
        <f t="shared" si="1"/>
        <v>ยาลอ</v>
      </c>
      <c r="E88" s="106" t="s">
        <v>11666</v>
      </c>
      <c r="F88" s="105" t="s">
        <v>11667</v>
      </c>
      <c r="G88" s="106" t="s">
        <v>707</v>
      </c>
      <c r="H88" s="107" t="s">
        <v>11614</v>
      </c>
    </row>
    <row r="89" ht="22.5" hidden="1" customHeight="1">
      <c r="A89" s="23" t="s">
        <v>399</v>
      </c>
      <c r="B89" s="23" t="s">
        <v>888</v>
      </c>
      <c r="C89" s="105" t="str">
        <f>IFERROR(__xludf.DUMMYFUNCTION("SUBSTITUTE(IFERROR(REGEXREPLACE(LEFT(A89,FIND("" "",A89)-1),""^(เด็กหญิง|เด็กชาย|นาย|นางสาว|น\.ส\.|ด\.ญ\.|ด\.ช\.)"",""""),""""),""มูฮัมหมัด"",""ม."")"),"ฟิร์ดาว")</f>
        <v>ฟิร์ดาว</v>
      </c>
      <c r="D89" s="105" t="str">
        <f t="shared" si="1"/>
        <v>สากา</v>
      </c>
      <c r="E89" s="106" t="s">
        <v>11668</v>
      </c>
      <c r="F89" s="105" t="s">
        <v>11625</v>
      </c>
      <c r="G89" s="106" t="s">
        <v>703</v>
      </c>
      <c r="H89" s="107" t="s">
        <v>11614</v>
      </c>
    </row>
    <row r="90" ht="22.5" hidden="1" customHeight="1">
      <c r="A90" s="23" t="s">
        <v>456</v>
      </c>
      <c r="B90" s="23" t="s">
        <v>915</v>
      </c>
      <c r="C90" s="105" t="str">
        <f>IFERROR(__xludf.DUMMYFUNCTION("SUBSTITUTE(IFERROR(REGEXREPLACE(LEFT(A90,FIND("" "",A90)-1),""^(เด็กหญิง|เด็กชาย|นาย|นางสาว|น\.ส\.|ด\.ญ\.|ด\.ช\.)"",""""),""""),""มูฮัมหมัด"",""ม."")"),"มาริษา")</f>
        <v>มาริษา</v>
      </c>
      <c r="D90" s="105" t="str">
        <f t="shared" si="1"/>
        <v>มูนะ</v>
      </c>
      <c r="E90" s="106" t="s">
        <v>11669</v>
      </c>
      <c r="F90" s="105" t="s">
        <v>11670</v>
      </c>
      <c r="G90" s="106" t="s">
        <v>699</v>
      </c>
      <c r="H90" s="107" t="s">
        <v>11614</v>
      </c>
    </row>
    <row r="91" ht="22.5" hidden="1" customHeight="1">
      <c r="A91" s="23" t="s">
        <v>333</v>
      </c>
      <c r="B91" s="23" t="s">
        <v>841</v>
      </c>
      <c r="C91" s="105" t="str">
        <f>IFERROR(__xludf.DUMMYFUNCTION("SUBSTITUTE(IFERROR(REGEXREPLACE(LEFT(A91,FIND("" "",A91)-1),""^(เด็กหญิง|เด็กชาย|นาย|นางสาว|น\.ส\.|ด\.ญ\.|ด\.ช\.)"",""""),""""),""มูฮัมหมัด"",""ม."")"),"มุสลีมะฮ์")</f>
        <v>มุสลีมะฮ์</v>
      </c>
      <c r="D91" s="105" t="str">
        <f t="shared" si="1"/>
        <v>สมาน</v>
      </c>
      <c r="E91" s="106" t="s">
        <v>11671</v>
      </c>
      <c r="F91" s="105" t="s">
        <v>11639</v>
      </c>
      <c r="G91" s="106" t="s">
        <v>711</v>
      </c>
      <c r="H91" s="107" t="s">
        <v>11614</v>
      </c>
    </row>
    <row r="92" ht="22.5" hidden="1" customHeight="1">
      <c r="A92" s="23" t="s">
        <v>462</v>
      </c>
      <c r="B92" s="23" t="s">
        <v>940</v>
      </c>
      <c r="C92" s="105" t="str">
        <f>IFERROR(__xludf.DUMMYFUNCTION("SUBSTITUTE(IFERROR(REGEXREPLACE(LEFT(A92,FIND("" "",A92)-1),""^(เด็กหญิง|เด็กชาย|นาย|นางสาว|น\.ส\.|ด\.ญ\.|ด\.ช\.)"",""""),""""),""มูฮัมหมัด"",""ม."")"),"รอยฮาน")</f>
        <v>รอยฮาน</v>
      </c>
      <c r="D92" s="105" t="str">
        <f t="shared" si="1"/>
        <v>ตาเยาะ</v>
      </c>
      <c r="E92" s="106" t="s">
        <v>11672</v>
      </c>
      <c r="F92" s="105" t="s">
        <v>11636</v>
      </c>
      <c r="G92" s="106" t="s">
        <v>728</v>
      </c>
      <c r="H92" s="107" t="s">
        <v>11614</v>
      </c>
    </row>
    <row r="93" ht="22.5" hidden="1" customHeight="1">
      <c r="A93" s="23" t="s">
        <v>342</v>
      </c>
      <c r="B93" s="23" t="s">
        <v>847</v>
      </c>
      <c r="C93" s="105" t="str">
        <f>IFERROR(__xludf.DUMMYFUNCTION("SUBSTITUTE(IFERROR(REGEXREPLACE(LEFT(A93,FIND("" "",A93)-1),""^(เด็กหญิง|เด็กชาย|นาย|นางสาว|น\.ส\.|ด\.ญ\.|ด\.ช\.)"",""""),""""),""มูฮัมหมัด"",""ม."")"),"วาสินี")</f>
        <v>วาสินี</v>
      </c>
      <c r="D93" s="105" t="str">
        <f t="shared" si="1"/>
        <v>สันบากอ</v>
      </c>
      <c r="E93" s="106" t="s">
        <v>11673</v>
      </c>
      <c r="F93" s="105" t="s">
        <v>11639</v>
      </c>
      <c r="G93" s="106" t="s">
        <v>736</v>
      </c>
      <c r="H93" s="107" t="s">
        <v>11614</v>
      </c>
    </row>
    <row r="94" ht="22.5" hidden="1" customHeight="1">
      <c r="A94" s="23" t="s">
        <v>330</v>
      </c>
      <c r="B94" s="23" t="s">
        <v>839</v>
      </c>
      <c r="C94" s="105" t="str">
        <f>IFERROR(__xludf.DUMMYFUNCTION("SUBSTITUTE(IFERROR(REGEXREPLACE(LEFT(A94,FIND("" "",A94)-1),""^(เด็กหญิง|เด็กชาย|นาย|นางสาว|น\.ส\.|ด\.ญ\.|ด\.ช\.)"",""""),""""),""มูฮัมหมัด"",""ม."")"),"โศรายา")</f>
        <v>โศรายา</v>
      </c>
      <c r="D94" s="105" t="str">
        <f t="shared" si="1"/>
        <v>จินตารา</v>
      </c>
      <c r="E94" s="106" t="s">
        <v>11674</v>
      </c>
      <c r="F94" s="105" t="s">
        <v>11639</v>
      </c>
      <c r="G94" s="106" t="s">
        <v>728</v>
      </c>
      <c r="H94" s="107" t="s">
        <v>11614</v>
      </c>
    </row>
    <row r="95" ht="22.5" hidden="1" customHeight="1">
      <c r="A95" s="23" t="s">
        <v>300</v>
      </c>
      <c r="B95" s="23" t="s">
        <v>874</v>
      </c>
      <c r="C95" s="105" t="str">
        <f>IFERROR(__xludf.DUMMYFUNCTION("SUBSTITUTE(IFERROR(REGEXREPLACE(LEFT(A95,FIND("" "",A95)-1),""^(เด็กหญิง|เด็กชาย|นาย|นางสาว|น\.ส\.|ด\.ญ\.|ด\.ช\.)"",""""),""""),""มูฮัมหมัด"",""ม."")"),"สาธิตา")</f>
        <v>สาธิตา</v>
      </c>
      <c r="D95" s="105" t="str">
        <f t="shared" si="1"/>
        <v>ดอแนเล๊าะ</v>
      </c>
      <c r="E95" s="106" t="s">
        <v>11675</v>
      </c>
      <c r="F95" s="105" t="s">
        <v>11627</v>
      </c>
      <c r="G95" s="106" t="s">
        <v>707</v>
      </c>
      <c r="H95" s="107" t="s">
        <v>11614</v>
      </c>
    </row>
    <row r="96" ht="22.5" hidden="1" customHeight="1">
      <c r="A96" s="23" t="s">
        <v>393</v>
      </c>
      <c r="B96" s="23" t="s">
        <v>884</v>
      </c>
      <c r="C96" s="105" t="str">
        <f>IFERROR(__xludf.DUMMYFUNCTION("SUBSTITUTE(IFERROR(REGEXREPLACE(LEFT(A96,FIND("" "",A96)-1),""^(เด็กหญิง|เด็กชาย|นาย|นางสาว|น\.ส\.|ด\.ญ\.|ด\.ช\.)"",""""),""""),""มูฮัมหมัด"",""ม."")"),"สีตีอาอีเส๊าะ")</f>
        <v>สีตีอาอีเส๊าะ</v>
      </c>
      <c r="D96" s="105" t="str">
        <f t="shared" si="1"/>
        <v>สุหลง</v>
      </c>
      <c r="E96" s="106" t="s">
        <v>11676</v>
      </c>
      <c r="F96" s="105" t="s">
        <v>11627</v>
      </c>
      <c r="G96" s="106" t="s">
        <v>718</v>
      </c>
      <c r="H96" s="107" t="s">
        <v>11614</v>
      </c>
    </row>
    <row r="97" ht="22.5" hidden="1" customHeight="1">
      <c r="A97" s="23" t="s">
        <v>405</v>
      </c>
      <c r="B97" s="23" t="s">
        <v>893</v>
      </c>
      <c r="C97" s="105" t="str">
        <f>IFERROR(__xludf.DUMMYFUNCTION("SUBSTITUTE(IFERROR(REGEXREPLACE(LEFT(A97,FIND("" "",A97)-1),""^(เด็กหญิง|เด็กชาย|นาย|นางสาว|น\.ส\.|ด\.ญ\.|ด\.ช\.)"",""""),""""),""มูฮัมหมัด"",""ม."")"),"อันดา")</f>
        <v>อันดา</v>
      </c>
      <c r="D97" s="105" t="str">
        <f t="shared" si="1"/>
        <v>เจะหะ</v>
      </c>
      <c r="E97" s="106" t="s">
        <v>11677</v>
      </c>
      <c r="F97" s="105" t="s">
        <v>11633</v>
      </c>
      <c r="G97" s="106" t="s">
        <v>728</v>
      </c>
      <c r="H97" s="107" t="s">
        <v>11614</v>
      </c>
    </row>
    <row r="98" ht="22.5" hidden="1" customHeight="1">
      <c r="A98" s="23" t="s">
        <v>291</v>
      </c>
      <c r="B98" s="23" t="s">
        <v>834</v>
      </c>
      <c r="C98" s="105" t="str">
        <f>IFERROR(__xludf.DUMMYFUNCTION("SUBSTITUTE(IFERROR(REGEXREPLACE(LEFT(A98,FIND("" "",A98)-1),""^(เด็กหญิง|เด็กชาย|นาย|นางสาว|น\.ส\.|ด\.ญ\.|ด\.ช\.)"",""""),""""),""มูฮัมหมัด"",""ม."")"),"อาตีน่า")</f>
        <v>อาตีน่า</v>
      </c>
      <c r="D98" s="105" t="str">
        <f t="shared" si="1"/>
        <v>มาลารัตน์</v>
      </c>
      <c r="E98" s="106" t="s">
        <v>11678</v>
      </c>
      <c r="F98" s="105" t="s">
        <v>11580</v>
      </c>
      <c r="G98" s="106" t="s">
        <v>703</v>
      </c>
      <c r="H98" s="107" t="s">
        <v>11614</v>
      </c>
    </row>
    <row r="99" ht="22.5" hidden="1" customHeight="1">
      <c r="A99" s="23" t="s">
        <v>435</v>
      </c>
      <c r="B99" s="23" t="s">
        <v>909</v>
      </c>
      <c r="C99" s="105" t="str">
        <f>IFERROR(__xludf.DUMMYFUNCTION("SUBSTITUTE(IFERROR(REGEXREPLACE(LEFT(A99,FIND("" "",A99)-1),""^(เด็กหญิง|เด็กชาย|นาย|นางสาว|น\.ส\.|ด\.ญ\.|ด\.ช\.)"",""""),""""),""มูฮัมหมัด"",""ม."")"),"อามัล")</f>
        <v>อามัล</v>
      </c>
      <c r="D99" s="105" t="str">
        <f t="shared" si="1"/>
        <v>อิละละ</v>
      </c>
      <c r="E99" s="106" t="s">
        <v>11679</v>
      </c>
      <c r="F99" s="105" t="s">
        <v>11576</v>
      </c>
      <c r="G99" s="106" t="s">
        <v>699</v>
      </c>
      <c r="H99" s="107" t="s">
        <v>11614</v>
      </c>
    </row>
    <row r="100" ht="22.5" hidden="1" customHeight="1">
      <c r="A100" s="23" t="s">
        <v>420</v>
      </c>
      <c r="B100" s="23" t="s">
        <v>900</v>
      </c>
      <c r="C100" s="105" t="str">
        <f>IFERROR(__xludf.DUMMYFUNCTION("SUBSTITUTE(IFERROR(REGEXREPLACE(LEFT(A100,FIND("" "",A100)-1),""^(เด็กหญิง|เด็กชาย|นาย|นางสาว|น\.ส\.|ด\.ญ\.|ด\.ช\.)"",""""),""""),""มูฮัมหมัด"",""ม."")"),"อาลีซา")</f>
        <v>อาลีซา</v>
      </c>
      <c r="D100" s="105" t="str">
        <f t="shared" si="1"/>
        <v>สาและ</v>
      </c>
      <c r="E100" s="106" t="s">
        <v>11680</v>
      </c>
      <c r="F100" s="105" t="s">
        <v>11633</v>
      </c>
      <c r="G100" s="106" t="s">
        <v>728</v>
      </c>
      <c r="H100" s="107" t="s">
        <v>11614</v>
      </c>
    </row>
    <row r="101" ht="22.5" hidden="1" customHeight="1">
      <c r="A101" s="23" t="s">
        <v>354</v>
      </c>
      <c r="B101" s="23" t="s">
        <v>854</v>
      </c>
      <c r="C101" s="105" t="str">
        <f>IFERROR(__xludf.DUMMYFUNCTION("SUBSTITUTE(IFERROR(REGEXREPLACE(LEFT(A101,FIND("" "",A101)-1),""^(เด็กหญิง|เด็กชาย|นาย|นางสาว|น\.ส\.|ด\.ญ\.|ด\.ช\.)"",""""),""""),""มูฮัมหมัด"",""ม."")"),"อิฟตีซาน")</f>
        <v>อิฟตีซาน</v>
      </c>
      <c r="D101" s="105" t="str">
        <f t="shared" si="1"/>
        <v>สานิ</v>
      </c>
      <c r="E101" s="106" t="s">
        <v>11681</v>
      </c>
      <c r="F101" s="105" t="s">
        <v>11667</v>
      </c>
      <c r="G101" s="106" t="s">
        <v>707</v>
      </c>
      <c r="H101" s="107" t="s">
        <v>11614</v>
      </c>
    </row>
    <row r="102" ht="22.5" hidden="1" customHeight="1">
      <c r="A102" s="23" t="s">
        <v>357</v>
      </c>
      <c r="B102" s="23" t="s">
        <v>856</v>
      </c>
      <c r="C102" s="105" t="str">
        <f>IFERROR(__xludf.DUMMYFUNCTION("SUBSTITUTE(IFERROR(REGEXREPLACE(LEFT(A102,FIND("" "",A102)-1),""^(เด็กหญิง|เด็กชาย|นาย|นางสาว|น\.ส\.|ด\.ญ\.|ด\.ช\.)"",""""),""""),""มูฮัมหมัด"",""ม."")"),"อุษวาตี")</f>
        <v>อุษวาตี</v>
      </c>
      <c r="D102" s="105" t="str">
        <f t="shared" si="1"/>
        <v>วาหะ</v>
      </c>
      <c r="E102" s="106" t="s">
        <v>11682</v>
      </c>
      <c r="F102" s="105" t="s">
        <v>11636</v>
      </c>
      <c r="G102" s="106" t="s">
        <v>718</v>
      </c>
      <c r="H102" s="107" t="s">
        <v>11614</v>
      </c>
    </row>
    <row r="103" ht="22.5" hidden="1" customHeight="1">
      <c r="A103" s="23" t="s">
        <v>396</v>
      </c>
      <c r="B103" s="23" t="s">
        <v>886</v>
      </c>
      <c r="C103" s="105" t="str">
        <f>IFERROR(__xludf.DUMMYFUNCTION("SUBSTITUTE(IFERROR(REGEXREPLACE(LEFT(A103,FIND("" "",A103)-1),""^(เด็กหญิง|เด็กชาย|นาย|นางสาว|น\.ส\.|ด\.ญ\.|ด\.ช\.)"",""""),""""),""มูฮัมหมัด"",""ม."")"),"ฮัยซูม")</f>
        <v>ฮัยซูม</v>
      </c>
      <c r="D103" s="105" t="str">
        <f t="shared" si="1"/>
        <v>ดามัน</v>
      </c>
      <c r="E103" s="106" t="s">
        <v>11683</v>
      </c>
      <c r="F103" s="105" t="s">
        <v>11627</v>
      </c>
      <c r="G103" s="106" t="s">
        <v>736</v>
      </c>
      <c r="H103" s="107" t="s">
        <v>11614</v>
      </c>
    </row>
    <row r="104">
      <c r="E104" s="16" t="s">
        <v>11684</v>
      </c>
      <c r="F104" s="16" t="s">
        <v>944</v>
      </c>
      <c r="G104" s="16" t="s">
        <v>944</v>
      </c>
    </row>
    <row r="105">
      <c r="E105" s="16" t="s">
        <v>11684</v>
      </c>
      <c r="F105" s="16" t="s">
        <v>944</v>
      </c>
      <c r="G105" s="16" t="s">
        <v>944</v>
      </c>
    </row>
    <row r="106">
      <c r="E106" s="16" t="s">
        <v>11684</v>
      </c>
      <c r="F106" s="16" t="s">
        <v>944</v>
      </c>
      <c r="G106" s="16" t="s">
        <v>944</v>
      </c>
    </row>
    <row r="107">
      <c r="E107" s="16" t="s">
        <v>11684</v>
      </c>
      <c r="F107" s="16" t="s">
        <v>944</v>
      </c>
      <c r="G107" s="16" t="s">
        <v>944</v>
      </c>
    </row>
    <row r="108">
      <c r="E108" s="16" t="s">
        <v>11684</v>
      </c>
      <c r="F108" s="16" t="s">
        <v>944</v>
      </c>
      <c r="G108" s="16" t="s">
        <v>944</v>
      </c>
    </row>
    <row r="109">
      <c r="E109" s="16" t="s">
        <v>11684</v>
      </c>
      <c r="F109" s="16" t="s">
        <v>944</v>
      </c>
      <c r="G109" s="16" t="s">
        <v>944</v>
      </c>
    </row>
    <row r="110">
      <c r="E110" s="16" t="s">
        <v>11684</v>
      </c>
      <c r="F110" s="16" t="s">
        <v>944</v>
      </c>
      <c r="G110" s="16" t="s">
        <v>944</v>
      </c>
    </row>
    <row r="111">
      <c r="E111" s="16" t="s">
        <v>11684</v>
      </c>
      <c r="F111" s="16" t="s">
        <v>944</v>
      </c>
      <c r="G111" s="16" t="s">
        <v>944</v>
      </c>
    </row>
    <row r="112">
      <c r="E112" s="16" t="s">
        <v>11684</v>
      </c>
      <c r="F112" s="16" t="s">
        <v>944</v>
      </c>
      <c r="G112" s="16" t="s">
        <v>944</v>
      </c>
    </row>
    <row r="113">
      <c r="E113" s="16" t="s">
        <v>11684</v>
      </c>
      <c r="F113" s="16" t="s">
        <v>944</v>
      </c>
      <c r="G113" s="16" t="s">
        <v>944</v>
      </c>
    </row>
    <row r="114">
      <c r="E114" s="16" t="s">
        <v>11684</v>
      </c>
      <c r="F114" s="16" t="s">
        <v>944</v>
      </c>
      <c r="G114" s="16" t="s">
        <v>944</v>
      </c>
    </row>
    <row r="115">
      <c r="E115" s="16" t="s">
        <v>11684</v>
      </c>
      <c r="F115" s="16" t="s">
        <v>944</v>
      </c>
      <c r="G115" s="16" t="s">
        <v>944</v>
      </c>
    </row>
    <row r="116">
      <c r="E116" s="16" t="s">
        <v>11684</v>
      </c>
      <c r="F116" s="16" t="s">
        <v>944</v>
      </c>
      <c r="G116" s="16" t="s">
        <v>944</v>
      </c>
    </row>
    <row r="117">
      <c r="E117" s="16" t="s">
        <v>11684</v>
      </c>
      <c r="F117" s="16" t="s">
        <v>944</v>
      </c>
      <c r="G117" s="16" t="s">
        <v>944</v>
      </c>
    </row>
    <row r="118">
      <c r="E118" s="16" t="s">
        <v>11684</v>
      </c>
      <c r="F118" s="16" t="s">
        <v>944</v>
      </c>
      <c r="G118" s="16" t="s">
        <v>944</v>
      </c>
    </row>
    <row r="119">
      <c r="E119" s="16" t="s">
        <v>11684</v>
      </c>
      <c r="F119" s="16" t="s">
        <v>944</v>
      </c>
      <c r="G119" s="16" t="s">
        <v>944</v>
      </c>
    </row>
    <row r="120">
      <c r="E120" s="16" t="s">
        <v>11684</v>
      </c>
      <c r="F120" s="16" t="s">
        <v>944</v>
      </c>
      <c r="G120" s="16" t="s">
        <v>944</v>
      </c>
    </row>
    <row r="121">
      <c r="E121" s="16" t="s">
        <v>11684</v>
      </c>
      <c r="F121" s="16" t="s">
        <v>944</v>
      </c>
      <c r="G121" s="16" t="s">
        <v>944</v>
      </c>
    </row>
    <row r="122">
      <c r="E122" s="16" t="s">
        <v>11684</v>
      </c>
      <c r="F122" s="16" t="s">
        <v>944</v>
      </c>
      <c r="G122" s="16" t="s">
        <v>944</v>
      </c>
    </row>
    <row r="123">
      <c r="E123" s="16" t="s">
        <v>11684</v>
      </c>
      <c r="F123" s="16" t="s">
        <v>944</v>
      </c>
      <c r="G123" s="16" t="s">
        <v>944</v>
      </c>
    </row>
    <row r="124">
      <c r="E124" s="16" t="s">
        <v>11684</v>
      </c>
      <c r="F124" s="16" t="s">
        <v>944</v>
      </c>
      <c r="G124" s="16" t="s">
        <v>944</v>
      </c>
    </row>
    <row r="125">
      <c r="E125" s="16" t="s">
        <v>11684</v>
      </c>
      <c r="F125" s="16" t="s">
        <v>944</v>
      </c>
      <c r="G125" s="16" t="s">
        <v>944</v>
      </c>
    </row>
    <row r="126">
      <c r="E126" s="16" t="s">
        <v>11684</v>
      </c>
      <c r="F126" s="16" t="s">
        <v>944</v>
      </c>
      <c r="G126" s="16" t="s">
        <v>944</v>
      </c>
    </row>
    <row r="127">
      <c r="E127" s="16" t="s">
        <v>11684</v>
      </c>
      <c r="F127" s="16" t="s">
        <v>944</v>
      </c>
      <c r="G127" s="16" t="s">
        <v>944</v>
      </c>
    </row>
    <row r="128">
      <c r="E128" s="16" t="s">
        <v>11684</v>
      </c>
      <c r="F128" s="16" t="s">
        <v>944</v>
      </c>
      <c r="G128" s="16" t="s">
        <v>944</v>
      </c>
    </row>
    <row r="129">
      <c r="E129" s="16" t="s">
        <v>11684</v>
      </c>
      <c r="F129" s="16" t="s">
        <v>944</v>
      </c>
      <c r="G129" s="16" t="s">
        <v>944</v>
      </c>
    </row>
    <row r="130">
      <c r="E130" s="16" t="s">
        <v>11684</v>
      </c>
      <c r="F130" s="16" t="s">
        <v>944</v>
      </c>
      <c r="G130" s="16" t="s">
        <v>944</v>
      </c>
    </row>
    <row r="131">
      <c r="E131" s="16" t="s">
        <v>11684</v>
      </c>
      <c r="F131" s="16" t="s">
        <v>944</v>
      </c>
      <c r="G131" s="16" t="s">
        <v>944</v>
      </c>
    </row>
    <row r="132">
      <c r="E132" s="16" t="s">
        <v>11684</v>
      </c>
      <c r="F132" s="16" t="s">
        <v>944</v>
      </c>
      <c r="G132" s="16" t="s">
        <v>944</v>
      </c>
    </row>
    <row r="133">
      <c r="E133" s="16" t="s">
        <v>11684</v>
      </c>
      <c r="F133" s="16" t="s">
        <v>944</v>
      </c>
      <c r="G133" s="16" t="s">
        <v>944</v>
      </c>
    </row>
    <row r="134">
      <c r="E134" s="16" t="s">
        <v>11684</v>
      </c>
      <c r="F134" s="16" t="s">
        <v>944</v>
      </c>
      <c r="G134" s="16" t="s">
        <v>944</v>
      </c>
    </row>
    <row r="135">
      <c r="E135" s="16" t="s">
        <v>11684</v>
      </c>
      <c r="F135" s="16" t="s">
        <v>944</v>
      </c>
      <c r="G135" s="16" t="s">
        <v>944</v>
      </c>
    </row>
    <row r="136">
      <c r="E136" s="16" t="s">
        <v>11684</v>
      </c>
      <c r="F136" s="16" t="s">
        <v>944</v>
      </c>
      <c r="G136" s="16" t="s">
        <v>944</v>
      </c>
    </row>
    <row r="137">
      <c r="E137" s="16" t="s">
        <v>11684</v>
      </c>
      <c r="F137" s="16" t="s">
        <v>944</v>
      </c>
      <c r="G137" s="16" t="s">
        <v>944</v>
      </c>
    </row>
    <row r="138">
      <c r="E138" s="16" t="s">
        <v>11684</v>
      </c>
      <c r="F138" s="16" t="s">
        <v>944</v>
      </c>
      <c r="G138" s="16" t="s">
        <v>944</v>
      </c>
    </row>
    <row r="139">
      <c r="E139" s="16" t="s">
        <v>11684</v>
      </c>
      <c r="F139" s="16" t="s">
        <v>944</v>
      </c>
      <c r="G139" s="16" t="s">
        <v>944</v>
      </c>
    </row>
    <row r="140">
      <c r="E140" s="16" t="s">
        <v>11684</v>
      </c>
      <c r="F140" s="16" t="s">
        <v>944</v>
      </c>
      <c r="G140" s="16" t="s">
        <v>944</v>
      </c>
    </row>
    <row r="141">
      <c r="E141" s="16" t="s">
        <v>11684</v>
      </c>
      <c r="F141" s="16" t="s">
        <v>944</v>
      </c>
      <c r="G141" s="16" t="s">
        <v>944</v>
      </c>
    </row>
    <row r="142">
      <c r="E142" s="16" t="s">
        <v>11684</v>
      </c>
      <c r="F142" s="16" t="s">
        <v>944</v>
      </c>
      <c r="G142" s="16" t="s">
        <v>944</v>
      </c>
    </row>
    <row r="143">
      <c r="E143" s="16" t="s">
        <v>11684</v>
      </c>
      <c r="F143" s="16" t="s">
        <v>944</v>
      </c>
      <c r="G143" s="16" t="s">
        <v>944</v>
      </c>
    </row>
    <row r="144">
      <c r="E144" s="16" t="s">
        <v>11684</v>
      </c>
      <c r="F144" s="16" t="s">
        <v>944</v>
      </c>
      <c r="G144" s="16" t="s">
        <v>944</v>
      </c>
    </row>
    <row r="145">
      <c r="E145" s="16" t="s">
        <v>11684</v>
      </c>
      <c r="F145" s="16" t="s">
        <v>944</v>
      </c>
      <c r="G145" s="16" t="s">
        <v>944</v>
      </c>
    </row>
    <row r="146">
      <c r="E146" s="16" t="s">
        <v>11684</v>
      </c>
      <c r="F146" s="16" t="s">
        <v>944</v>
      </c>
      <c r="G146" s="16" t="s">
        <v>944</v>
      </c>
    </row>
    <row r="147">
      <c r="E147" s="16" t="s">
        <v>11684</v>
      </c>
      <c r="F147" s="16" t="s">
        <v>944</v>
      </c>
      <c r="G147" s="16" t="s">
        <v>944</v>
      </c>
    </row>
    <row r="148">
      <c r="E148" s="16" t="s">
        <v>11684</v>
      </c>
      <c r="F148" s="16" t="s">
        <v>944</v>
      </c>
      <c r="G148" s="16" t="s">
        <v>944</v>
      </c>
    </row>
    <row r="149">
      <c r="E149" s="16" t="s">
        <v>11684</v>
      </c>
      <c r="F149" s="16" t="s">
        <v>944</v>
      </c>
      <c r="G149" s="16" t="s">
        <v>944</v>
      </c>
    </row>
    <row r="150">
      <c r="E150" s="16" t="s">
        <v>11684</v>
      </c>
      <c r="F150" s="16" t="s">
        <v>944</v>
      </c>
      <c r="G150" s="16" t="s">
        <v>944</v>
      </c>
    </row>
    <row r="151">
      <c r="E151" s="16" t="s">
        <v>11684</v>
      </c>
      <c r="F151" s="16" t="s">
        <v>944</v>
      </c>
      <c r="G151" s="16" t="s">
        <v>944</v>
      </c>
    </row>
    <row r="152">
      <c r="E152" s="16" t="s">
        <v>11684</v>
      </c>
      <c r="F152" s="16" t="s">
        <v>944</v>
      </c>
      <c r="G152" s="16" t="s">
        <v>944</v>
      </c>
    </row>
    <row r="153">
      <c r="E153" s="16" t="s">
        <v>11684</v>
      </c>
      <c r="F153" s="16" t="s">
        <v>944</v>
      </c>
      <c r="G153" s="16" t="s">
        <v>944</v>
      </c>
    </row>
    <row r="154">
      <c r="E154" s="16" t="s">
        <v>11684</v>
      </c>
      <c r="F154" s="16" t="s">
        <v>944</v>
      </c>
      <c r="G154" s="16" t="s">
        <v>944</v>
      </c>
    </row>
    <row r="155">
      <c r="E155" s="16" t="s">
        <v>11684</v>
      </c>
      <c r="F155" s="16" t="s">
        <v>944</v>
      </c>
      <c r="G155" s="16" t="s">
        <v>944</v>
      </c>
    </row>
    <row r="156">
      <c r="E156" s="16" t="s">
        <v>11684</v>
      </c>
      <c r="F156" s="16" t="s">
        <v>944</v>
      </c>
      <c r="G156" s="16" t="s">
        <v>944</v>
      </c>
    </row>
    <row r="157">
      <c r="E157" s="16" t="s">
        <v>11684</v>
      </c>
      <c r="F157" s="16" t="s">
        <v>944</v>
      </c>
      <c r="G157" s="16" t="s">
        <v>944</v>
      </c>
    </row>
    <row r="158">
      <c r="E158" s="16" t="s">
        <v>11684</v>
      </c>
      <c r="F158" s="16" t="s">
        <v>944</v>
      </c>
      <c r="G158" s="16" t="s">
        <v>944</v>
      </c>
    </row>
    <row r="159">
      <c r="E159" s="16" t="s">
        <v>11684</v>
      </c>
      <c r="F159" s="16" t="s">
        <v>944</v>
      </c>
      <c r="G159" s="16" t="s">
        <v>944</v>
      </c>
    </row>
    <row r="160">
      <c r="E160" s="16" t="s">
        <v>11684</v>
      </c>
      <c r="F160" s="16" t="s">
        <v>944</v>
      </c>
      <c r="G160" s="16" t="s">
        <v>944</v>
      </c>
    </row>
    <row r="161">
      <c r="E161" s="16" t="s">
        <v>11684</v>
      </c>
      <c r="F161" s="16" t="s">
        <v>944</v>
      </c>
      <c r="G161" s="16" t="s">
        <v>944</v>
      </c>
    </row>
    <row r="162">
      <c r="E162" s="16" t="s">
        <v>11684</v>
      </c>
      <c r="F162" s="16" t="s">
        <v>944</v>
      </c>
      <c r="G162" s="16" t="s">
        <v>944</v>
      </c>
    </row>
    <row r="163">
      <c r="E163" s="16" t="s">
        <v>11684</v>
      </c>
      <c r="F163" s="16" t="s">
        <v>944</v>
      </c>
      <c r="G163" s="16" t="s">
        <v>944</v>
      </c>
    </row>
    <row r="164">
      <c r="E164" s="16" t="s">
        <v>11684</v>
      </c>
      <c r="F164" s="16" t="s">
        <v>944</v>
      </c>
      <c r="G164" s="16" t="s">
        <v>944</v>
      </c>
    </row>
    <row r="165">
      <c r="E165" s="16" t="s">
        <v>11684</v>
      </c>
      <c r="F165" s="16" t="s">
        <v>944</v>
      </c>
      <c r="G165" s="16" t="s">
        <v>944</v>
      </c>
    </row>
    <row r="166">
      <c r="E166" s="16" t="s">
        <v>11684</v>
      </c>
      <c r="F166" s="16" t="s">
        <v>944</v>
      </c>
      <c r="G166" s="16" t="s">
        <v>944</v>
      </c>
    </row>
    <row r="167">
      <c r="E167" s="16" t="s">
        <v>11684</v>
      </c>
      <c r="F167" s="16" t="s">
        <v>944</v>
      </c>
      <c r="G167" s="16" t="s">
        <v>944</v>
      </c>
    </row>
    <row r="168">
      <c r="E168" s="16" t="s">
        <v>11684</v>
      </c>
      <c r="F168" s="16" t="s">
        <v>944</v>
      </c>
      <c r="G168" s="16" t="s">
        <v>944</v>
      </c>
    </row>
    <row r="169">
      <c r="E169" s="16" t="s">
        <v>11684</v>
      </c>
      <c r="F169" s="16" t="s">
        <v>944</v>
      </c>
      <c r="G169" s="16" t="s">
        <v>944</v>
      </c>
    </row>
    <row r="170">
      <c r="E170" s="16" t="s">
        <v>11684</v>
      </c>
      <c r="F170" s="16" t="s">
        <v>944</v>
      </c>
      <c r="G170" s="16" t="s">
        <v>944</v>
      </c>
    </row>
    <row r="171">
      <c r="E171" s="16" t="s">
        <v>11684</v>
      </c>
      <c r="F171" s="16" t="s">
        <v>944</v>
      </c>
      <c r="G171" s="16" t="s">
        <v>944</v>
      </c>
    </row>
    <row r="172">
      <c r="E172" s="16" t="s">
        <v>11684</v>
      </c>
      <c r="F172" s="16" t="s">
        <v>944</v>
      </c>
      <c r="G172" s="16" t="s">
        <v>944</v>
      </c>
    </row>
    <row r="173">
      <c r="E173" s="16" t="s">
        <v>11684</v>
      </c>
      <c r="F173" s="16" t="s">
        <v>944</v>
      </c>
      <c r="G173" s="16" t="s">
        <v>944</v>
      </c>
    </row>
    <row r="174">
      <c r="E174" s="16" t="s">
        <v>11684</v>
      </c>
      <c r="F174" s="16" t="s">
        <v>944</v>
      </c>
      <c r="G174" s="16" t="s">
        <v>944</v>
      </c>
    </row>
    <row r="175">
      <c r="E175" s="16" t="s">
        <v>11684</v>
      </c>
      <c r="F175" s="16" t="s">
        <v>944</v>
      </c>
      <c r="G175" s="16" t="s">
        <v>944</v>
      </c>
    </row>
    <row r="176">
      <c r="E176" s="16" t="s">
        <v>11684</v>
      </c>
      <c r="F176" s="16" t="s">
        <v>944</v>
      </c>
      <c r="G176" s="16" t="s">
        <v>944</v>
      </c>
    </row>
    <row r="177">
      <c r="E177" s="16" t="s">
        <v>11684</v>
      </c>
      <c r="F177" s="16" t="s">
        <v>944</v>
      </c>
      <c r="G177" s="16" t="s">
        <v>944</v>
      </c>
    </row>
    <row r="178">
      <c r="E178" s="16" t="s">
        <v>11684</v>
      </c>
      <c r="F178" s="16" t="s">
        <v>944</v>
      </c>
      <c r="G178" s="16" t="s">
        <v>944</v>
      </c>
    </row>
    <row r="179">
      <c r="E179" s="16" t="s">
        <v>11684</v>
      </c>
      <c r="F179" s="16" t="s">
        <v>944</v>
      </c>
      <c r="G179" s="16" t="s">
        <v>944</v>
      </c>
    </row>
    <row r="180">
      <c r="E180" s="16" t="s">
        <v>11684</v>
      </c>
      <c r="F180" s="16" t="s">
        <v>944</v>
      </c>
      <c r="G180" s="16" t="s">
        <v>944</v>
      </c>
    </row>
    <row r="181">
      <c r="E181" s="16" t="s">
        <v>11684</v>
      </c>
      <c r="F181" s="16" t="s">
        <v>944</v>
      </c>
      <c r="G181" s="16" t="s">
        <v>944</v>
      </c>
    </row>
    <row r="182">
      <c r="E182" s="16" t="s">
        <v>11684</v>
      </c>
      <c r="F182" s="16" t="s">
        <v>944</v>
      </c>
      <c r="G182" s="16" t="s">
        <v>944</v>
      </c>
    </row>
    <row r="183">
      <c r="E183" s="16" t="s">
        <v>11684</v>
      </c>
      <c r="F183" s="16" t="s">
        <v>944</v>
      </c>
      <c r="G183" s="16" t="s">
        <v>944</v>
      </c>
    </row>
    <row r="184">
      <c r="E184" s="16" t="s">
        <v>11684</v>
      </c>
      <c r="F184" s="16" t="s">
        <v>944</v>
      </c>
      <c r="G184" s="16" t="s">
        <v>944</v>
      </c>
    </row>
    <row r="185">
      <c r="E185" s="16" t="s">
        <v>11684</v>
      </c>
      <c r="F185" s="16" t="s">
        <v>944</v>
      </c>
      <c r="G185" s="16" t="s">
        <v>944</v>
      </c>
    </row>
    <row r="186">
      <c r="E186" s="16" t="s">
        <v>11684</v>
      </c>
      <c r="F186" s="16" t="s">
        <v>944</v>
      </c>
      <c r="G186" s="16" t="s">
        <v>944</v>
      </c>
    </row>
    <row r="187">
      <c r="E187" s="16" t="s">
        <v>11684</v>
      </c>
      <c r="F187" s="16" t="s">
        <v>944</v>
      </c>
      <c r="G187" s="16" t="s">
        <v>944</v>
      </c>
    </row>
    <row r="188">
      <c r="E188" s="16" t="s">
        <v>11684</v>
      </c>
      <c r="F188" s="16" t="s">
        <v>944</v>
      </c>
      <c r="G188" s="16" t="s">
        <v>944</v>
      </c>
    </row>
    <row r="189">
      <c r="E189" s="16" t="s">
        <v>11684</v>
      </c>
      <c r="F189" s="16" t="s">
        <v>944</v>
      </c>
      <c r="G189" s="16" t="s">
        <v>944</v>
      </c>
    </row>
    <row r="190">
      <c r="E190" s="16" t="s">
        <v>11684</v>
      </c>
      <c r="F190" s="16" t="s">
        <v>944</v>
      </c>
      <c r="G190" s="16" t="s">
        <v>944</v>
      </c>
    </row>
    <row r="191">
      <c r="E191" s="16" t="s">
        <v>11684</v>
      </c>
      <c r="F191" s="16" t="s">
        <v>944</v>
      </c>
      <c r="G191" s="16" t="s">
        <v>944</v>
      </c>
    </row>
    <row r="192">
      <c r="E192" s="16" t="s">
        <v>11684</v>
      </c>
      <c r="F192" s="16" t="s">
        <v>944</v>
      </c>
      <c r="G192" s="16" t="s">
        <v>944</v>
      </c>
    </row>
    <row r="193">
      <c r="E193" s="16" t="s">
        <v>11684</v>
      </c>
      <c r="F193" s="16" t="s">
        <v>944</v>
      </c>
      <c r="G193" s="16" t="s">
        <v>944</v>
      </c>
    </row>
    <row r="194">
      <c r="E194" s="16" t="s">
        <v>11684</v>
      </c>
      <c r="F194" s="16" t="s">
        <v>944</v>
      </c>
      <c r="G194" s="16" t="s">
        <v>944</v>
      </c>
    </row>
    <row r="195">
      <c r="E195" s="16" t="s">
        <v>11684</v>
      </c>
      <c r="F195" s="16" t="s">
        <v>944</v>
      </c>
      <c r="G195" s="16" t="s">
        <v>944</v>
      </c>
    </row>
    <row r="196">
      <c r="E196" s="16" t="s">
        <v>11684</v>
      </c>
      <c r="F196" s="16" t="s">
        <v>944</v>
      </c>
      <c r="G196" s="16" t="s">
        <v>944</v>
      </c>
    </row>
    <row r="197">
      <c r="E197" s="16" t="s">
        <v>11684</v>
      </c>
      <c r="F197" s="16" t="s">
        <v>944</v>
      </c>
      <c r="G197" s="16" t="s">
        <v>944</v>
      </c>
    </row>
    <row r="198">
      <c r="E198" s="16" t="s">
        <v>11684</v>
      </c>
      <c r="F198" s="16" t="s">
        <v>944</v>
      </c>
      <c r="G198" s="16" t="s">
        <v>944</v>
      </c>
    </row>
    <row r="199">
      <c r="E199" s="16" t="s">
        <v>11684</v>
      </c>
      <c r="F199" s="16" t="s">
        <v>944</v>
      </c>
      <c r="G199" s="16" t="s">
        <v>944</v>
      </c>
    </row>
    <row r="200">
      <c r="E200" s="16" t="s">
        <v>11684</v>
      </c>
      <c r="F200" s="16" t="s">
        <v>944</v>
      </c>
      <c r="G200" s="16" t="s">
        <v>944</v>
      </c>
    </row>
    <row r="201">
      <c r="E201" s="16" t="s">
        <v>11684</v>
      </c>
      <c r="F201" s="16" t="s">
        <v>944</v>
      </c>
      <c r="G201" s="16" t="s">
        <v>944</v>
      </c>
    </row>
    <row r="202">
      <c r="E202" s="16" t="s">
        <v>11684</v>
      </c>
      <c r="F202" s="16" t="s">
        <v>944</v>
      </c>
      <c r="G202" s="16" t="s">
        <v>944</v>
      </c>
    </row>
    <row r="203">
      <c r="E203" s="16" t="s">
        <v>11684</v>
      </c>
      <c r="F203" s="16" t="s">
        <v>944</v>
      </c>
      <c r="G203" s="16" t="s">
        <v>944</v>
      </c>
    </row>
    <row r="204">
      <c r="E204" s="16" t="s">
        <v>11684</v>
      </c>
      <c r="F204" s="16" t="s">
        <v>944</v>
      </c>
      <c r="G204" s="16" t="s">
        <v>944</v>
      </c>
    </row>
    <row r="205">
      <c r="E205" s="16" t="s">
        <v>11684</v>
      </c>
      <c r="F205" s="16" t="s">
        <v>944</v>
      </c>
      <c r="G205" s="16" t="s">
        <v>944</v>
      </c>
    </row>
    <row r="206">
      <c r="E206" s="16" t="s">
        <v>11684</v>
      </c>
      <c r="F206" s="16" t="s">
        <v>944</v>
      </c>
      <c r="G206" s="16" t="s">
        <v>944</v>
      </c>
    </row>
    <row r="207">
      <c r="E207" s="16" t="s">
        <v>11684</v>
      </c>
      <c r="F207" s="16" t="s">
        <v>944</v>
      </c>
      <c r="G207" s="16" t="s">
        <v>944</v>
      </c>
    </row>
    <row r="208">
      <c r="E208" s="16" t="s">
        <v>11684</v>
      </c>
      <c r="F208" s="16" t="s">
        <v>944</v>
      </c>
      <c r="G208" s="16" t="s">
        <v>944</v>
      </c>
    </row>
    <row r="209">
      <c r="E209" s="16" t="s">
        <v>11684</v>
      </c>
      <c r="F209" s="16" t="s">
        <v>944</v>
      </c>
      <c r="G209" s="16" t="s">
        <v>944</v>
      </c>
    </row>
    <row r="210">
      <c r="E210" s="16" t="s">
        <v>11684</v>
      </c>
      <c r="F210" s="16" t="s">
        <v>944</v>
      </c>
      <c r="G210" s="16" t="s">
        <v>944</v>
      </c>
    </row>
    <row r="211">
      <c r="E211" s="16" t="s">
        <v>11684</v>
      </c>
      <c r="F211" s="16" t="s">
        <v>944</v>
      </c>
      <c r="G211" s="16" t="s">
        <v>944</v>
      </c>
    </row>
    <row r="212">
      <c r="E212" s="16" t="s">
        <v>11684</v>
      </c>
      <c r="F212" s="16" t="s">
        <v>944</v>
      </c>
      <c r="G212" s="16" t="s">
        <v>944</v>
      </c>
    </row>
    <row r="213">
      <c r="E213" s="16" t="s">
        <v>11684</v>
      </c>
      <c r="F213" s="16" t="s">
        <v>944</v>
      </c>
      <c r="G213" s="16" t="s">
        <v>944</v>
      </c>
    </row>
    <row r="214">
      <c r="E214" s="16" t="s">
        <v>11684</v>
      </c>
      <c r="F214" s="16" t="s">
        <v>944</v>
      </c>
      <c r="G214" s="16" t="s">
        <v>944</v>
      </c>
    </row>
    <row r="215">
      <c r="E215" s="16" t="s">
        <v>11684</v>
      </c>
      <c r="F215" s="16" t="s">
        <v>944</v>
      </c>
      <c r="G215" s="16" t="s">
        <v>944</v>
      </c>
    </row>
    <row r="216">
      <c r="E216" s="16" t="s">
        <v>11684</v>
      </c>
      <c r="F216" s="16" t="s">
        <v>944</v>
      </c>
      <c r="G216" s="16" t="s">
        <v>944</v>
      </c>
    </row>
    <row r="217">
      <c r="E217" s="16" t="s">
        <v>11684</v>
      </c>
      <c r="F217" s="16" t="s">
        <v>944</v>
      </c>
      <c r="G217" s="16" t="s">
        <v>944</v>
      </c>
    </row>
    <row r="218">
      <c r="E218" s="16" t="s">
        <v>11684</v>
      </c>
      <c r="F218" s="16" t="s">
        <v>944</v>
      </c>
      <c r="G218" s="16" t="s">
        <v>944</v>
      </c>
    </row>
    <row r="219">
      <c r="E219" s="16" t="s">
        <v>11684</v>
      </c>
      <c r="F219" s="16" t="s">
        <v>944</v>
      </c>
      <c r="G219" s="16" t="s">
        <v>944</v>
      </c>
    </row>
    <row r="220">
      <c r="E220" s="16" t="s">
        <v>11684</v>
      </c>
      <c r="F220" s="16" t="s">
        <v>944</v>
      </c>
      <c r="G220" s="16" t="s">
        <v>944</v>
      </c>
    </row>
    <row r="221">
      <c r="E221" s="16" t="s">
        <v>11684</v>
      </c>
      <c r="F221" s="16" t="s">
        <v>944</v>
      </c>
      <c r="G221" s="16" t="s">
        <v>944</v>
      </c>
    </row>
    <row r="222">
      <c r="E222" s="16" t="s">
        <v>11684</v>
      </c>
      <c r="F222" s="16" t="s">
        <v>944</v>
      </c>
      <c r="G222" s="16" t="s">
        <v>944</v>
      </c>
    </row>
    <row r="223">
      <c r="E223" s="16" t="s">
        <v>11684</v>
      </c>
      <c r="F223" s="16" t="s">
        <v>944</v>
      </c>
      <c r="G223" s="16" t="s">
        <v>944</v>
      </c>
    </row>
    <row r="224">
      <c r="E224" s="16" t="s">
        <v>11684</v>
      </c>
      <c r="F224" s="16" t="s">
        <v>944</v>
      </c>
      <c r="G224" s="16" t="s">
        <v>944</v>
      </c>
    </row>
    <row r="225">
      <c r="E225" s="16" t="s">
        <v>11684</v>
      </c>
      <c r="F225" s="16" t="s">
        <v>944</v>
      </c>
      <c r="G225" s="16" t="s">
        <v>944</v>
      </c>
    </row>
    <row r="226">
      <c r="E226" s="16" t="s">
        <v>11684</v>
      </c>
      <c r="F226" s="16" t="s">
        <v>944</v>
      </c>
      <c r="G226" s="16" t="s">
        <v>944</v>
      </c>
    </row>
    <row r="227">
      <c r="E227" s="16" t="s">
        <v>11684</v>
      </c>
      <c r="F227" s="16" t="s">
        <v>944</v>
      </c>
      <c r="G227" s="16" t="s">
        <v>944</v>
      </c>
    </row>
    <row r="228">
      <c r="E228" s="16" t="s">
        <v>11684</v>
      </c>
      <c r="F228" s="16" t="s">
        <v>944</v>
      </c>
      <c r="G228" s="16" t="s">
        <v>944</v>
      </c>
    </row>
    <row r="229">
      <c r="E229" s="16" t="s">
        <v>11684</v>
      </c>
      <c r="F229" s="16" t="s">
        <v>944</v>
      </c>
      <c r="G229" s="16" t="s">
        <v>944</v>
      </c>
    </row>
    <row r="230">
      <c r="E230" s="16" t="s">
        <v>11684</v>
      </c>
      <c r="F230" s="16" t="s">
        <v>944</v>
      </c>
      <c r="G230" s="16" t="s">
        <v>944</v>
      </c>
    </row>
    <row r="231">
      <c r="E231" s="16" t="s">
        <v>11684</v>
      </c>
      <c r="F231" s="16" t="s">
        <v>944</v>
      </c>
      <c r="G231" s="16" t="s">
        <v>944</v>
      </c>
    </row>
    <row r="232">
      <c r="E232" s="16" t="s">
        <v>11684</v>
      </c>
      <c r="F232" s="16" t="s">
        <v>944</v>
      </c>
      <c r="G232" s="16" t="s">
        <v>944</v>
      </c>
    </row>
    <row r="233">
      <c r="E233" s="16" t="s">
        <v>11684</v>
      </c>
      <c r="F233" s="16" t="s">
        <v>944</v>
      </c>
      <c r="G233" s="16" t="s">
        <v>944</v>
      </c>
    </row>
    <row r="234">
      <c r="E234" s="16" t="s">
        <v>11684</v>
      </c>
      <c r="F234" s="16" t="s">
        <v>944</v>
      </c>
      <c r="G234" s="16" t="s">
        <v>944</v>
      </c>
    </row>
    <row r="235">
      <c r="E235" s="16" t="s">
        <v>11684</v>
      </c>
      <c r="F235" s="16" t="s">
        <v>944</v>
      </c>
      <c r="G235" s="16" t="s">
        <v>944</v>
      </c>
    </row>
    <row r="236">
      <c r="E236" s="16" t="s">
        <v>11684</v>
      </c>
      <c r="F236" s="16" t="s">
        <v>944</v>
      </c>
      <c r="G236" s="16" t="s">
        <v>944</v>
      </c>
    </row>
    <row r="237">
      <c r="E237" s="16" t="s">
        <v>11684</v>
      </c>
      <c r="F237" s="16" t="s">
        <v>944</v>
      </c>
      <c r="G237" s="16" t="s">
        <v>944</v>
      </c>
    </row>
    <row r="238">
      <c r="E238" s="16" t="s">
        <v>11684</v>
      </c>
      <c r="F238" s="16" t="s">
        <v>944</v>
      </c>
      <c r="G238" s="16" t="s">
        <v>944</v>
      </c>
    </row>
    <row r="239">
      <c r="E239" s="16" t="s">
        <v>11684</v>
      </c>
      <c r="F239" s="16" t="s">
        <v>944</v>
      </c>
      <c r="G239" s="16" t="s">
        <v>944</v>
      </c>
    </row>
    <row r="240">
      <c r="E240" s="16" t="s">
        <v>11684</v>
      </c>
      <c r="F240" s="16" t="s">
        <v>944</v>
      </c>
      <c r="G240" s="16" t="s">
        <v>944</v>
      </c>
    </row>
    <row r="241">
      <c r="E241" s="16" t="s">
        <v>11684</v>
      </c>
      <c r="F241" s="16" t="s">
        <v>944</v>
      </c>
      <c r="G241" s="16" t="s">
        <v>944</v>
      </c>
    </row>
    <row r="242">
      <c r="E242" s="16" t="s">
        <v>11684</v>
      </c>
      <c r="F242" s="16" t="s">
        <v>944</v>
      </c>
      <c r="G242" s="16" t="s">
        <v>944</v>
      </c>
    </row>
    <row r="243">
      <c r="E243" s="16" t="s">
        <v>11684</v>
      </c>
      <c r="F243" s="16" t="s">
        <v>944</v>
      </c>
      <c r="G243" s="16" t="s">
        <v>944</v>
      </c>
    </row>
    <row r="244">
      <c r="E244" s="16" t="s">
        <v>11684</v>
      </c>
      <c r="F244" s="16" t="s">
        <v>944</v>
      </c>
      <c r="G244" s="16" t="s">
        <v>944</v>
      </c>
    </row>
    <row r="245">
      <c r="E245" s="16" t="s">
        <v>11684</v>
      </c>
      <c r="F245" s="16" t="s">
        <v>944</v>
      </c>
      <c r="G245" s="16" t="s">
        <v>944</v>
      </c>
    </row>
    <row r="246">
      <c r="E246" s="16" t="s">
        <v>11684</v>
      </c>
      <c r="F246" s="16" t="s">
        <v>944</v>
      </c>
      <c r="G246" s="16" t="s">
        <v>944</v>
      </c>
    </row>
    <row r="247">
      <c r="E247" s="16" t="s">
        <v>11684</v>
      </c>
      <c r="F247" s="16" t="s">
        <v>944</v>
      </c>
      <c r="G247" s="16" t="s">
        <v>944</v>
      </c>
    </row>
    <row r="248">
      <c r="E248" s="16" t="s">
        <v>11684</v>
      </c>
      <c r="F248" s="16" t="s">
        <v>944</v>
      </c>
      <c r="G248" s="16" t="s">
        <v>944</v>
      </c>
    </row>
    <row r="249">
      <c r="E249" s="16" t="s">
        <v>11684</v>
      </c>
      <c r="F249" s="16" t="s">
        <v>944</v>
      </c>
      <c r="G249" s="16" t="s">
        <v>944</v>
      </c>
    </row>
    <row r="250">
      <c r="E250" s="16" t="s">
        <v>11684</v>
      </c>
      <c r="F250" s="16" t="s">
        <v>944</v>
      </c>
      <c r="G250" s="16" t="s">
        <v>944</v>
      </c>
    </row>
    <row r="251">
      <c r="E251" s="16" t="s">
        <v>11684</v>
      </c>
      <c r="F251" s="16" t="s">
        <v>944</v>
      </c>
      <c r="G251" s="16" t="s">
        <v>944</v>
      </c>
    </row>
    <row r="252">
      <c r="E252" s="16" t="s">
        <v>11684</v>
      </c>
      <c r="F252" s="16" t="s">
        <v>944</v>
      </c>
      <c r="G252" s="16" t="s">
        <v>944</v>
      </c>
    </row>
    <row r="253">
      <c r="E253" s="16" t="s">
        <v>11684</v>
      </c>
      <c r="F253" s="16" t="s">
        <v>944</v>
      </c>
      <c r="G253" s="16" t="s">
        <v>944</v>
      </c>
    </row>
    <row r="254">
      <c r="E254" s="16" t="s">
        <v>11684</v>
      </c>
      <c r="F254" s="16" t="s">
        <v>944</v>
      </c>
      <c r="G254" s="16" t="s">
        <v>944</v>
      </c>
    </row>
    <row r="255">
      <c r="E255" s="16" t="s">
        <v>11684</v>
      </c>
      <c r="F255" s="16" t="s">
        <v>944</v>
      </c>
      <c r="G255" s="16" t="s">
        <v>944</v>
      </c>
    </row>
    <row r="256">
      <c r="E256" s="16" t="s">
        <v>11684</v>
      </c>
      <c r="F256" s="16" t="s">
        <v>944</v>
      </c>
      <c r="G256" s="16" t="s">
        <v>944</v>
      </c>
    </row>
    <row r="257">
      <c r="E257" s="16" t="s">
        <v>11684</v>
      </c>
      <c r="F257" s="16" t="s">
        <v>944</v>
      </c>
      <c r="G257" s="16" t="s">
        <v>944</v>
      </c>
    </row>
    <row r="258">
      <c r="E258" s="16" t="s">
        <v>11684</v>
      </c>
      <c r="F258" s="16" t="s">
        <v>944</v>
      </c>
      <c r="G258" s="16" t="s">
        <v>944</v>
      </c>
    </row>
    <row r="259">
      <c r="E259" s="16" t="s">
        <v>11684</v>
      </c>
      <c r="F259" s="16" t="s">
        <v>944</v>
      </c>
      <c r="G259" s="16" t="s">
        <v>944</v>
      </c>
    </row>
    <row r="260">
      <c r="E260" s="16" t="s">
        <v>11684</v>
      </c>
      <c r="F260" s="16" t="s">
        <v>944</v>
      </c>
      <c r="G260" s="16" t="s">
        <v>944</v>
      </c>
    </row>
    <row r="261">
      <c r="E261" s="16" t="s">
        <v>11684</v>
      </c>
      <c r="F261" s="16" t="s">
        <v>944</v>
      </c>
      <c r="G261" s="16" t="s">
        <v>944</v>
      </c>
    </row>
    <row r="262">
      <c r="E262" s="16" t="s">
        <v>11684</v>
      </c>
      <c r="F262" s="16" t="s">
        <v>944</v>
      </c>
      <c r="G262" s="16" t="s">
        <v>944</v>
      </c>
    </row>
    <row r="263">
      <c r="E263" s="16" t="s">
        <v>11684</v>
      </c>
      <c r="F263" s="16" t="s">
        <v>944</v>
      </c>
      <c r="G263" s="16" t="s">
        <v>944</v>
      </c>
    </row>
    <row r="264">
      <c r="E264" s="16" t="s">
        <v>11684</v>
      </c>
      <c r="F264" s="16" t="s">
        <v>944</v>
      </c>
      <c r="G264" s="16" t="s">
        <v>944</v>
      </c>
    </row>
    <row r="265">
      <c r="E265" s="16" t="s">
        <v>11684</v>
      </c>
      <c r="F265" s="16" t="s">
        <v>944</v>
      </c>
      <c r="G265" s="16" t="s">
        <v>944</v>
      </c>
    </row>
    <row r="266">
      <c r="E266" s="16" t="s">
        <v>11684</v>
      </c>
      <c r="F266" s="16" t="s">
        <v>944</v>
      </c>
      <c r="G266" s="16" t="s">
        <v>944</v>
      </c>
    </row>
    <row r="267">
      <c r="E267" s="16" t="s">
        <v>11684</v>
      </c>
      <c r="F267" s="16" t="s">
        <v>944</v>
      </c>
      <c r="G267" s="16" t="s">
        <v>944</v>
      </c>
    </row>
    <row r="268">
      <c r="E268" s="16" t="s">
        <v>11684</v>
      </c>
      <c r="F268" s="16" t="s">
        <v>944</v>
      </c>
      <c r="G268" s="16" t="s">
        <v>944</v>
      </c>
    </row>
    <row r="269">
      <c r="E269" s="16" t="s">
        <v>11684</v>
      </c>
      <c r="F269" s="16" t="s">
        <v>944</v>
      </c>
      <c r="G269" s="16" t="s">
        <v>944</v>
      </c>
    </row>
    <row r="270">
      <c r="E270" s="16" t="s">
        <v>11684</v>
      </c>
      <c r="F270" s="16" t="s">
        <v>944</v>
      </c>
      <c r="G270" s="16" t="s">
        <v>944</v>
      </c>
    </row>
    <row r="271">
      <c r="E271" s="16" t="s">
        <v>11684</v>
      </c>
      <c r="F271" s="16" t="s">
        <v>944</v>
      </c>
      <c r="G271" s="16" t="s">
        <v>944</v>
      </c>
    </row>
    <row r="272">
      <c r="E272" s="16" t="s">
        <v>11684</v>
      </c>
      <c r="F272" s="16" t="s">
        <v>944</v>
      </c>
      <c r="G272" s="16" t="s">
        <v>944</v>
      </c>
    </row>
    <row r="273">
      <c r="E273" s="16" t="s">
        <v>11684</v>
      </c>
      <c r="F273" s="16" t="s">
        <v>944</v>
      </c>
      <c r="G273" s="16" t="s">
        <v>944</v>
      </c>
    </row>
    <row r="274">
      <c r="E274" s="16" t="s">
        <v>11684</v>
      </c>
      <c r="F274" s="16" t="s">
        <v>944</v>
      </c>
      <c r="G274" s="16" t="s">
        <v>944</v>
      </c>
    </row>
    <row r="275">
      <c r="E275" s="16" t="s">
        <v>11684</v>
      </c>
      <c r="F275" s="16" t="s">
        <v>944</v>
      </c>
      <c r="G275" s="16" t="s">
        <v>944</v>
      </c>
    </row>
    <row r="276">
      <c r="E276" s="16" t="s">
        <v>11684</v>
      </c>
      <c r="F276" s="16" t="s">
        <v>944</v>
      </c>
      <c r="G276" s="16" t="s">
        <v>944</v>
      </c>
    </row>
    <row r="277">
      <c r="E277" s="16" t="s">
        <v>11684</v>
      </c>
      <c r="F277" s="16" t="s">
        <v>944</v>
      </c>
      <c r="G277" s="16" t="s">
        <v>944</v>
      </c>
    </row>
    <row r="278">
      <c r="E278" s="16" t="s">
        <v>11684</v>
      </c>
      <c r="F278" s="16" t="s">
        <v>944</v>
      </c>
      <c r="G278" s="16" t="s">
        <v>944</v>
      </c>
    </row>
    <row r="279">
      <c r="E279" s="16" t="s">
        <v>11684</v>
      </c>
      <c r="F279" s="16" t="s">
        <v>944</v>
      </c>
      <c r="G279" s="16" t="s">
        <v>944</v>
      </c>
    </row>
    <row r="280">
      <c r="E280" s="16" t="s">
        <v>11684</v>
      </c>
      <c r="F280" s="16" t="s">
        <v>944</v>
      </c>
      <c r="G280" s="16" t="s">
        <v>944</v>
      </c>
    </row>
    <row r="281">
      <c r="E281" s="16" t="s">
        <v>11684</v>
      </c>
      <c r="F281" s="16" t="s">
        <v>944</v>
      </c>
      <c r="G281" s="16" t="s">
        <v>944</v>
      </c>
    </row>
    <row r="282">
      <c r="E282" s="16" t="s">
        <v>11684</v>
      </c>
      <c r="F282" s="16" t="s">
        <v>944</v>
      </c>
      <c r="G282" s="16" t="s">
        <v>944</v>
      </c>
    </row>
    <row r="283">
      <c r="E283" s="16" t="s">
        <v>11684</v>
      </c>
      <c r="F283" s="16" t="s">
        <v>944</v>
      </c>
      <c r="G283" s="16" t="s">
        <v>944</v>
      </c>
    </row>
    <row r="284">
      <c r="E284" s="16" t="s">
        <v>11684</v>
      </c>
      <c r="F284" s="16" t="s">
        <v>944</v>
      </c>
      <c r="G284" s="16" t="s">
        <v>944</v>
      </c>
    </row>
    <row r="285">
      <c r="E285" s="16" t="s">
        <v>11684</v>
      </c>
      <c r="F285" s="16" t="s">
        <v>944</v>
      </c>
      <c r="G285" s="16" t="s">
        <v>944</v>
      </c>
    </row>
    <row r="286">
      <c r="E286" s="16" t="s">
        <v>11684</v>
      </c>
      <c r="F286" s="16" t="s">
        <v>944</v>
      </c>
      <c r="G286" s="16" t="s">
        <v>944</v>
      </c>
    </row>
    <row r="287">
      <c r="E287" s="16" t="s">
        <v>11684</v>
      </c>
      <c r="F287" s="16" t="s">
        <v>944</v>
      </c>
      <c r="G287" s="16" t="s">
        <v>944</v>
      </c>
    </row>
    <row r="288">
      <c r="E288" s="16" t="s">
        <v>11684</v>
      </c>
      <c r="F288" s="16" t="s">
        <v>944</v>
      </c>
      <c r="G288" s="16" t="s">
        <v>944</v>
      </c>
    </row>
    <row r="289">
      <c r="E289" s="16" t="s">
        <v>11684</v>
      </c>
      <c r="F289" s="16" t="s">
        <v>944</v>
      </c>
      <c r="G289" s="16" t="s">
        <v>944</v>
      </c>
    </row>
    <row r="290">
      <c r="E290" s="16" t="s">
        <v>11684</v>
      </c>
      <c r="F290" s="16" t="s">
        <v>944</v>
      </c>
      <c r="G290" s="16" t="s">
        <v>944</v>
      </c>
    </row>
    <row r="291">
      <c r="E291" s="16" t="s">
        <v>11684</v>
      </c>
      <c r="F291" s="16" t="s">
        <v>944</v>
      </c>
      <c r="G291" s="16" t="s">
        <v>944</v>
      </c>
    </row>
    <row r="292">
      <c r="E292" s="16" t="s">
        <v>11684</v>
      </c>
      <c r="F292" s="16" t="s">
        <v>944</v>
      </c>
      <c r="G292" s="16" t="s">
        <v>944</v>
      </c>
    </row>
    <row r="293">
      <c r="E293" s="16" t="s">
        <v>11684</v>
      </c>
      <c r="F293" s="16" t="s">
        <v>944</v>
      </c>
      <c r="G293" s="16" t="s">
        <v>944</v>
      </c>
    </row>
    <row r="294">
      <c r="E294" s="16" t="s">
        <v>11684</v>
      </c>
      <c r="F294" s="16" t="s">
        <v>944</v>
      </c>
      <c r="G294" s="16" t="s">
        <v>944</v>
      </c>
    </row>
    <row r="295">
      <c r="E295" s="16" t="s">
        <v>11684</v>
      </c>
      <c r="F295" s="16" t="s">
        <v>944</v>
      </c>
      <c r="G295" s="16" t="s">
        <v>944</v>
      </c>
    </row>
    <row r="296">
      <c r="E296" s="16" t="s">
        <v>11684</v>
      </c>
      <c r="F296" s="16" t="s">
        <v>944</v>
      </c>
      <c r="G296" s="16" t="s">
        <v>944</v>
      </c>
    </row>
    <row r="297">
      <c r="E297" s="16" t="s">
        <v>11684</v>
      </c>
      <c r="F297" s="16" t="s">
        <v>944</v>
      </c>
      <c r="G297" s="16" t="s">
        <v>944</v>
      </c>
    </row>
    <row r="298">
      <c r="E298" s="16" t="s">
        <v>11684</v>
      </c>
      <c r="F298" s="16" t="s">
        <v>944</v>
      </c>
      <c r="G298" s="16" t="s">
        <v>944</v>
      </c>
    </row>
    <row r="299">
      <c r="E299" s="16" t="s">
        <v>11684</v>
      </c>
      <c r="F299" s="16" t="s">
        <v>944</v>
      </c>
      <c r="G299" s="16" t="s">
        <v>944</v>
      </c>
    </row>
    <row r="300">
      <c r="E300" s="16" t="s">
        <v>11684</v>
      </c>
      <c r="F300" s="16" t="s">
        <v>944</v>
      </c>
      <c r="G300" s="16" t="s">
        <v>944</v>
      </c>
    </row>
    <row r="301">
      <c r="E301" s="16" t="s">
        <v>11684</v>
      </c>
      <c r="F301" s="16" t="s">
        <v>944</v>
      </c>
      <c r="G301" s="16" t="s">
        <v>944</v>
      </c>
    </row>
    <row r="302">
      <c r="E302" s="16" t="s">
        <v>11684</v>
      </c>
      <c r="F302" s="16" t="s">
        <v>944</v>
      </c>
      <c r="G302" s="16" t="s">
        <v>944</v>
      </c>
    </row>
    <row r="303">
      <c r="E303" s="16" t="s">
        <v>11684</v>
      </c>
      <c r="F303" s="16" t="s">
        <v>944</v>
      </c>
      <c r="G303" s="16" t="s">
        <v>944</v>
      </c>
    </row>
    <row r="304">
      <c r="E304" s="16" t="s">
        <v>11684</v>
      </c>
      <c r="F304" s="16" t="s">
        <v>944</v>
      </c>
      <c r="G304" s="16" t="s">
        <v>944</v>
      </c>
    </row>
    <row r="305">
      <c r="E305" s="16" t="s">
        <v>11684</v>
      </c>
      <c r="F305" s="16" t="s">
        <v>944</v>
      </c>
      <c r="G305" s="16" t="s">
        <v>944</v>
      </c>
    </row>
    <row r="306">
      <c r="E306" s="16" t="s">
        <v>11684</v>
      </c>
      <c r="F306" s="16" t="s">
        <v>944</v>
      </c>
      <c r="G306" s="16" t="s">
        <v>944</v>
      </c>
    </row>
    <row r="307">
      <c r="E307" s="16" t="s">
        <v>11684</v>
      </c>
      <c r="F307" s="16" t="s">
        <v>944</v>
      </c>
      <c r="G307" s="16" t="s">
        <v>944</v>
      </c>
    </row>
    <row r="308">
      <c r="E308" s="16" t="s">
        <v>11684</v>
      </c>
      <c r="F308" s="16" t="s">
        <v>944</v>
      </c>
      <c r="G308" s="16" t="s">
        <v>944</v>
      </c>
    </row>
    <row r="309">
      <c r="E309" s="16" t="s">
        <v>11684</v>
      </c>
      <c r="F309" s="16" t="s">
        <v>944</v>
      </c>
      <c r="G309" s="16" t="s">
        <v>944</v>
      </c>
    </row>
    <row r="310">
      <c r="E310" s="16" t="s">
        <v>11684</v>
      </c>
      <c r="F310" s="16" t="s">
        <v>944</v>
      </c>
      <c r="G310" s="16" t="s">
        <v>944</v>
      </c>
    </row>
    <row r="311">
      <c r="E311" s="16" t="s">
        <v>11684</v>
      </c>
      <c r="F311" s="16" t="s">
        <v>944</v>
      </c>
      <c r="G311" s="16" t="s">
        <v>944</v>
      </c>
    </row>
    <row r="312">
      <c r="E312" s="16" t="s">
        <v>11684</v>
      </c>
      <c r="F312" s="16" t="s">
        <v>944</v>
      </c>
      <c r="G312" s="16" t="s">
        <v>944</v>
      </c>
    </row>
    <row r="313">
      <c r="E313" s="16" t="s">
        <v>11684</v>
      </c>
      <c r="F313" s="16" t="s">
        <v>944</v>
      </c>
      <c r="G313" s="16" t="s">
        <v>944</v>
      </c>
    </row>
    <row r="314">
      <c r="E314" s="16" t="s">
        <v>11684</v>
      </c>
      <c r="F314" s="16" t="s">
        <v>944</v>
      </c>
      <c r="G314" s="16" t="s">
        <v>944</v>
      </c>
    </row>
    <row r="315">
      <c r="E315" s="16" t="s">
        <v>11684</v>
      </c>
      <c r="F315" s="16" t="s">
        <v>944</v>
      </c>
      <c r="G315" s="16" t="s">
        <v>944</v>
      </c>
    </row>
    <row r="316">
      <c r="E316" s="16" t="s">
        <v>11684</v>
      </c>
      <c r="F316" s="16" t="s">
        <v>944</v>
      </c>
      <c r="G316" s="16" t="s">
        <v>944</v>
      </c>
    </row>
    <row r="317">
      <c r="E317" s="16" t="s">
        <v>11684</v>
      </c>
      <c r="F317" s="16" t="s">
        <v>944</v>
      </c>
      <c r="G317" s="16" t="s">
        <v>944</v>
      </c>
    </row>
    <row r="318">
      <c r="E318" s="16" t="s">
        <v>11684</v>
      </c>
      <c r="F318" s="16" t="s">
        <v>944</v>
      </c>
      <c r="G318" s="16" t="s">
        <v>944</v>
      </c>
    </row>
    <row r="319">
      <c r="E319" s="16" t="s">
        <v>11684</v>
      </c>
      <c r="F319" s="16" t="s">
        <v>944</v>
      </c>
      <c r="G319" s="16" t="s">
        <v>944</v>
      </c>
    </row>
    <row r="320">
      <c r="E320" s="16" t="s">
        <v>11684</v>
      </c>
      <c r="F320" s="16" t="s">
        <v>944</v>
      </c>
      <c r="G320" s="16" t="s">
        <v>944</v>
      </c>
    </row>
    <row r="321">
      <c r="E321" s="16" t="s">
        <v>11684</v>
      </c>
      <c r="F321" s="16" t="s">
        <v>944</v>
      </c>
      <c r="G321" s="16" t="s">
        <v>944</v>
      </c>
    </row>
    <row r="322">
      <c r="E322" s="16" t="s">
        <v>11684</v>
      </c>
      <c r="F322" s="16" t="s">
        <v>944</v>
      </c>
      <c r="G322" s="16" t="s">
        <v>944</v>
      </c>
    </row>
    <row r="323">
      <c r="E323" s="16" t="s">
        <v>11684</v>
      </c>
      <c r="F323" s="16" t="s">
        <v>944</v>
      </c>
      <c r="G323" s="16" t="s">
        <v>944</v>
      </c>
    </row>
    <row r="324">
      <c r="E324" s="16" t="s">
        <v>11684</v>
      </c>
      <c r="F324" s="16" t="s">
        <v>944</v>
      </c>
      <c r="G324" s="16" t="s">
        <v>944</v>
      </c>
    </row>
    <row r="325">
      <c r="E325" s="16" t="s">
        <v>11684</v>
      </c>
      <c r="F325" s="16" t="s">
        <v>944</v>
      </c>
      <c r="G325" s="16" t="s">
        <v>944</v>
      </c>
    </row>
    <row r="326">
      <c r="E326" s="16" t="s">
        <v>11684</v>
      </c>
      <c r="F326" s="16" t="s">
        <v>944</v>
      </c>
      <c r="G326" s="16" t="s">
        <v>944</v>
      </c>
    </row>
    <row r="327">
      <c r="E327" s="16" t="s">
        <v>11684</v>
      </c>
      <c r="F327" s="16" t="s">
        <v>944</v>
      </c>
      <c r="G327" s="16" t="s">
        <v>944</v>
      </c>
    </row>
    <row r="328">
      <c r="E328" s="16" t="s">
        <v>11684</v>
      </c>
      <c r="F328" s="16" t="s">
        <v>944</v>
      </c>
      <c r="G328" s="16" t="s">
        <v>944</v>
      </c>
    </row>
    <row r="329">
      <c r="E329" s="16" t="s">
        <v>11684</v>
      </c>
      <c r="F329" s="16" t="s">
        <v>944</v>
      </c>
      <c r="G329" s="16" t="s">
        <v>944</v>
      </c>
    </row>
    <row r="330">
      <c r="E330" s="16" t="s">
        <v>11684</v>
      </c>
      <c r="F330" s="16" t="s">
        <v>944</v>
      </c>
      <c r="G330" s="16" t="s">
        <v>944</v>
      </c>
    </row>
    <row r="331">
      <c r="E331" s="16" t="s">
        <v>11684</v>
      </c>
      <c r="F331" s="16" t="s">
        <v>944</v>
      </c>
      <c r="G331" s="16" t="s">
        <v>944</v>
      </c>
    </row>
    <row r="332">
      <c r="E332" s="16" t="s">
        <v>11684</v>
      </c>
      <c r="F332" s="16" t="s">
        <v>944</v>
      </c>
      <c r="G332" s="16" t="s">
        <v>944</v>
      </c>
    </row>
    <row r="333">
      <c r="E333" s="16" t="s">
        <v>11684</v>
      </c>
      <c r="F333" s="16" t="s">
        <v>944</v>
      </c>
      <c r="G333" s="16" t="s">
        <v>944</v>
      </c>
    </row>
    <row r="334">
      <c r="E334" s="16" t="s">
        <v>11684</v>
      </c>
      <c r="F334" s="16" t="s">
        <v>944</v>
      </c>
      <c r="G334" s="16" t="s">
        <v>944</v>
      </c>
    </row>
    <row r="335">
      <c r="E335" s="16" t="s">
        <v>11684</v>
      </c>
      <c r="F335" s="16" t="s">
        <v>944</v>
      </c>
      <c r="G335" s="16" t="s">
        <v>944</v>
      </c>
    </row>
    <row r="336">
      <c r="E336" s="16" t="s">
        <v>11684</v>
      </c>
      <c r="F336" s="16" t="s">
        <v>944</v>
      </c>
      <c r="G336" s="16" t="s">
        <v>944</v>
      </c>
    </row>
    <row r="337">
      <c r="E337" s="16" t="s">
        <v>11684</v>
      </c>
      <c r="F337" s="16" t="s">
        <v>944</v>
      </c>
      <c r="G337" s="16" t="s">
        <v>944</v>
      </c>
    </row>
    <row r="338">
      <c r="E338" s="16" t="s">
        <v>11684</v>
      </c>
      <c r="F338" s="16" t="s">
        <v>944</v>
      </c>
      <c r="G338" s="16" t="s">
        <v>944</v>
      </c>
    </row>
    <row r="339">
      <c r="E339" s="16" t="s">
        <v>11684</v>
      </c>
      <c r="F339" s="16" t="s">
        <v>944</v>
      </c>
      <c r="G339" s="16" t="s">
        <v>944</v>
      </c>
    </row>
    <row r="340">
      <c r="E340" s="16" t="s">
        <v>11684</v>
      </c>
      <c r="F340" s="16" t="s">
        <v>944</v>
      </c>
      <c r="G340" s="16" t="s">
        <v>944</v>
      </c>
    </row>
    <row r="341">
      <c r="E341" s="16" t="s">
        <v>11684</v>
      </c>
      <c r="F341" s="16" t="s">
        <v>944</v>
      </c>
      <c r="G341" s="16" t="s">
        <v>944</v>
      </c>
    </row>
    <row r="342">
      <c r="E342" s="16" t="s">
        <v>11684</v>
      </c>
      <c r="F342" s="16" t="s">
        <v>944</v>
      </c>
      <c r="G342" s="16" t="s">
        <v>944</v>
      </c>
    </row>
    <row r="343">
      <c r="E343" s="16" t="s">
        <v>11684</v>
      </c>
      <c r="F343" s="16" t="s">
        <v>944</v>
      </c>
      <c r="G343" s="16" t="s">
        <v>944</v>
      </c>
    </row>
    <row r="344">
      <c r="E344" s="16" t="s">
        <v>11684</v>
      </c>
      <c r="F344" s="16" t="s">
        <v>944</v>
      </c>
      <c r="G344" s="16" t="s">
        <v>944</v>
      </c>
    </row>
    <row r="345">
      <c r="E345" s="16" t="s">
        <v>11684</v>
      </c>
      <c r="F345" s="16" t="s">
        <v>944</v>
      </c>
      <c r="G345" s="16" t="s">
        <v>944</v>
      </c>
    </row>
    <row r="346">
      <c r="E346" s="16" t="s">
        <v>11684</v>
      </c>
      <c r="F346" s="16" t="s">
        <v>944</v>
      </c>
      <c r="G346" s="16" t="s">
        <v>944</v>
      </c>
    </row>
    <row r="347">
      <c r="E347" s="16" t="s">
        <v>11684</v>
      </c>
      <c r="F347" s="16" t="s">
        <v>944</v>
      </c>
      <c r="G347" s="16" t="s">
        <v>944</v>
      </c>
    </row>
    <row r="348">
      <c r="E348" s="16" t="s">
        <v>11684</v>
      </c>
      <c r="F348" s="16" t="s">
        <v>944</v>
      </c>
      <c r="G348" s="16" t="s">
        <v>944</v>
      </c>
    </row>
    <row r="349">
      <c r="E349" s="16" t="s">
        <v>11684</v>
      </c>
      <c r="F349" s="16" t="s">
        <v>944</v>
      </c>
      <c r="G349" s="16" t="s">
        <v>944</v>
      </c>
    </row>
    <row r="350">
      <c r="E350" s="16" t="s">
        <v>11684</v>
      </c>
      <c r="F350" s="16" t="s">
        <v>944</v>
      </c>
      <c r="G350" s="16" t="s">
        <v>944</v>
      </c>
    </row>
    <row r="351">
      <c r="E351" s="16" t="s">
        <v>11684</v>
      </c>
      <c r="F351" s="16" t="s">
        <v>944</v>
      </c>
      <c r="G351" s="16" t="s">
        <v>944</v>
      </c>
    </row>
    <row r="352">
      <c r="E352" s="16" t="s">
        <v>11684</v>
      </c>
      <c r="F352" s="16" t="s">
        <v>944</v>
      </c>
      <c r="G352" s="16" t="s">
        <v>944</v>
      </c>
    </row>
    <row r="353">
      <c r="E353" s="16" t="s">
        <v>11684</v>
      </c>
      <c r="F353" s="16" t="s">
        <v>944</v>
      </c>
      <c r="G353" s="16" t="s">
        <v>944</v>
      </c>
    </row>
    <row r="354">
      <c r="E354" s="16" t="s">
        <v>11684</v>
      </c>
      <c r="F354" s="16" t="s">
        <v>944</v>
      </c>
      <c r="G354" s="16" t="s">
        <v>944</v>
      </c>
    </row>
    <row r="355">
      <c r="E355" s="16" t="s">
        <v>11684</v>
      </c>
      <c r="F355" s="16" t="s">
        <v>944</v>
      </c>
      <c r="G355" s="16" t="s">
        <v>944</v>
      </c>
    </row>
    <row r="356">
      <c r="E356" s="16" t="s">
        <v>11684</v>
      </c>
      <c r="F356" s="16" t="s">
        <v>944</v>
      </c>
      <c r="G356" s="16" t="s">
        <v>944</v>
      </c>
    </row>
    <row r="357">
      <c r="E357" s="16" t="s">
        <v>11684</v>
      </c>
      <c r="F357" s="16" t="s">
        <v>944</v>
      </c>
      <c r="G357" s="16" t="s">
        <v>944</v>
      </c>
    </row>
    <row r="358">
      <c r="E358" s="16" t="s">
        <v>11684</v>
      </c>
      <c r="F358" s="16" t="s">
        <v>944</v>
      </c>
      <c r="G358" s="16" t="s">
        <v>944</v>
      </c>
    </row>
    <row r="359">
      <c r="E359" s="16" t="s">
        <v>11684</v>
      </c>
      <c r="F359" s="16" t="s">
        <v>944</v>
      </c>
      <c r="G359" s="16" t="s">
        <v>944</v>
      </c>
    </row>
    <row r="360">
      <c r="E360" s="16" t="s">
        <v>11684</v>
      </c>
      <c r="F360" s="16" t="s">
        <v>944</v>
      </c>
      <c r="G360" s="16" t="s">
        <v>944</v>
      </c>
    </row>
    <row r="361">
      <c r="E361" s="16" t="s">
        <v>11684</v>
      </c>
      <c r="F361" s="16" t="s">
        <v>944</v>
      </c>
      <c r="G361" s="16" t="s">
        <v>944</v>
      </c>
    </row>
    <row r="362">
      <c r="E362" s="16" t="s">
        <v>11684</v>
      </c>
      <c r="F362" s="16" t="s">
        <v>944</v>
      </c>
      <c r="G362" s="16" t="s">
        <v>944</v>
      </c>
    </row>
    <row r="363">
      <c r="E363" s="16" t="s">
        <v>11684</v>
      </c>
      <c r="F363" s="16" t="s">
        <v>944</v>
      </c>
      <c r="G363" s="16" t="s">
        <v>944</v>
      </c>
    </row>
    <row r="364">
      <c r="E364" s="16" t="s">
        <v>11684</v>
      </c>
      <c r="F364" s="16" t="s">
        <v>944</v>
      </c>
      <c r="G364" s="16" t="s">
        <v>944</v>
      </c>
    </row>
    <row r="365">
      <c r="E365" s="16" t="s">
        <v>11684</v>
      </c>
      <c r="F365" s="16" t="s">
        <v>944</v>
      </c>
      <c r="G365" s="16" t="s">
        <v>944</v>
      </c>
    </row>
    <row r="366">
      <c r="E366" s="16" t="s">
        <v>11684</v>
      </c>
      <c r="F366" s="16" t="s">
        <v>944</v>
      </c>
      <c r="G366" s="16" t="s">
        <v>944</v>
      </c>
    </row>
    <row r="367">
      <c r="E367" s="16" t="s">
        <v>11684</v>
      </c>
      <c r="F367" s="16" t="s">
        <v>944</v>
      </c>
      <c r="G367" s="16" t="s">
        <v>944</v>
      </c>
    </row>
    <row r="368">
      <c r="E368" s="16" t="s">
        <v>11684</v>
      </c>
      <c r="F368" s="16" t="s">
        <v>944</v>
      </c>
      <c r="G368" s="16" t="s">
        <v>944</v>
      </c>
    </row>
    <row r="369">
      <c r="E369" s="16" t="s">
        <v>11684</v>
      </c>
      <c r="F369" s="16" t="s">
        <v>944</v>
      </c>
      <c r="G369" s="16" t="s">
        <v>944</v>
      </c>
    </row>
    <row r="370">
      <c r="E370" s="16" t="s">
        <v>11684</v>
      </c>
      <c r="F370" s="16" t="s">
        <v>944</v>
      </c>
      <c r="G370" s="16" t="s">
        <v>944</v>
      </c>
    </row>
    <row r="371">
      <c r="E371" s="16" t="s">
        <v>11684</v>
      </c>
      <c r="F371" s="16" t="s">
        <v>944</v>
      </c>
      <c r="G371" s="16" t="s">
        <v>944</v>
      </c>
    </row>
    <row r="372">
      <c r="E372" s="16" t="s">
        <v>11684</v>
      </c>
      <c r="F372" s="16" t="s">
        <v>944</v>
      </c>
      <c r="G372" s="16" t="s">
        <v>944</v>
      </c>
    </row>
    <row r="373">
      <c r="E373" s="16" t="s">
        <v>11684</v>
      </c>
      <c r="F373" s="16" t="s">
        <v>944</v>
      </c>
      <c r="G373" s="16" t="s">
        <v>944</v>
      </c>
    </row>
    <row r="374">
      <c r="E374" s="16" t="s">
        <v>11684</v>
      </c>
      <c r="F374" s="16" t="s">
        <v>944</v>
      </c>
      <c r="G374" s="16" t="s">
        <v>944</v>
      </c>
    </row>
    <row r="375">
      <c r="E375" s="16" t="s">
        <v>11684</v>
      </c>
      <c r="F375" s="16" t="s">
        <v>944</v>
      </c>
      <c r="G375" s="16" t="s">
        <v>944</v>
      </c>
    </row>
    <row r="376">
      <c r="E376" s="16" t="s">
        <v>11684</v>
      </c>
      <c r="F376" s="16" t="s">
        <v>944</v>
      </c>
      <c r="G376" s="16" t="s">
        <v>944</v>
      </c>
    </row>
    <row r="377">
      <c r="E377" s="16" t="s">
        <v>11684</v>
      </c>
      <c r="F377" s="16" t="s">
        <v>944</v>
      </c>
      <c r="G377" s="16" t="s">
        <v>944</v>
      </c>
    </row>
    <row r="378">
      <c r="E378" s="16" t="s">
        <v>11684</v>
      </c>
      <c r="F378" s="16" t="s">
        <v>944</v>
      </c>
      <c r="G378" s="16" t="s">
        <v>944</v>
      </c>
    </row>
    <row r="379">
      <c r="E379" s="16" t="s">
        <v>11684</v>
      </c>
      <c r="F379" s="16" t="s">
        <v>944</v>
      </c>
      <c r="G379" s="16" t="s">
        <v>944</v>
      </c>
    </row>
    <row r="380">
      <c r="E380" s="16" t="s">
        <v>11684</v>
      </c>
      <c r="F380" s="16" t="s">
        <v>944</v>
      </c>
      <c r="G380" s="16" t="s">
        <v>944</v>
      </c>
    </row>
    <row r="381">
      <c r="E381" s="16" t="s">
        <v>11684</v>
      </c>
      <c r="F381" s="16" t="s">
        <v>944</v>
      </c>
      <c r="G381" s="16" t="s">
        <v>944</v>
      </c>
    </row>
    <row r="382">
      <c r="E382" s="16" t="s">
        <v>11684</v>
      </c>
      <c r="F382" s="16" t="s">
        <v>944</v>
      </c>
      <c r="G382" s="16" t="s">
        <v>944</v>
      </c>
    </row>
    <row r="383">
      <c r="E383" s="16" t="s">
        <v>11684</v>
      </c>
      <c r="F383" s="16" t="s">
        <v>944</v>
      </c>
      <c r="G383" s="16" t="s">
        <v>944</v>
      </c>
    </row>
    <row r="384">
      <c r="E384" s="16" t="s">
        <v>11684</v>
      </c>
      <c r="F384" s="16" t="s">
        <v>944</v>
      </c>
      <c r="G384" s="16" t="s">
        <v>944</v>
      </c>
    </row>
    <row r="385">
      <c r="E385" s="16" t="s">
        <v>11684</v>
      </c>
      <c r="F385" s="16" t="s">
        <v>944</v>
      </c>
      <c r="G385" s="16" t="s">
        <v>944</v>
      </c>
    </row>
    <row r="386">
      <c r="E386" s="16" t="s">
        <v>11684</v>
      </c>
      <c r="F386" s="16" t="s">
        <v>944</v>
      </c>
      <c r="G386" s="16" t="s">
        <v>944</v>
      </c>
    </row>
    <row r="387">
      <c r="E387" s="16" t="s">
        <v>11684</v>
      </c>
      <c r="F387" s="16" t="s">
        <v>944</v>
      </c>
      <c r="G387" s="16" t="s">
        <v>944</v>
      </c>
    </row>
    <row r="388">
      <c r="E388" s="16" t="s">
        <v>11684</v>
      </c>
      <c r="F388" s="16" t="s">
        <v>944</v>
      </c>
      <c r="G388" s="16" t="s">
        <v>944</v>
      </c>
    </row>
    <row r="389">
      <c r="E389" s="16" t="s">
        <v>11684</v>
      </c>
      <c r="F389" s="16" t="s">
        <v>944</v>
      </c>
      <c r="G389" s="16" t="s">
        <v>944</v>
      </c>
    </row>
    <row r="390">
      <c r="E390" s="16" t="s">
        <v>11684</v>
      </c>
      <c r="F390" s="16" t="s">
        <v>944</v>
      </c>
      <c r="G390" s="16" t="s">
        <v>944</v>
      </c>
    </row>
    <row r="391">
      <c r="E391" s="16" t="s">
        <v>11684</v>
      </c>
      <c r="F391" s="16" t="s">
        <v>944</v>
      </c>
      <c r="G391" s="16" t="s">
        <v>944</v>
      </c>
    </row>
    <row r="392">
      <c r="E392" s="16" t="s">
        <v>11684</v>
      </c>
      <c r="F392" s="16" t="s">
        <v>944</v>
      </c>
      <c r="G392" s="16" t="s">
        <v>944</v>
      </c>
    </row>
    <row r="393">
      <c r="E393" s="16" t="s">
        <v>11684</v>
      </c>
      <c r="F393" s="16" t="s">
        <v>944</v>
      </c>
      <c r="G393" s="16" t="s">
        <v>944</v>
      </c>
    </row>
    <row r="394">
      <c r="E394" s="16" t="s">
        <v>11684</v>
      </c>
      <c r="F394" s="16" t="s">
        <v>944</v>
      </c>
      <c r="G394" s="16" t="s">
        <v>944</v>
      </c>
    </row>
    <row r="395">
      <c r="E395" s="16" t="s">
        <v>11684</v>
      </c>
      <c r="F395" s="16" t="s">
        <v>944</v>
      </c>
      <c r="G395" s="16" t="s">
        <v>944</v>
      </c>
    </row>
    <row r="396">
      <c r="E396" s="16" t="s">
        <v>11684</v>
      </c>
      <c r="F396" s="16" t="s">
        <v>944</v>
      </c>
      <c r="G396" s="16" t="s">
        <v>944</v>
      </c>
    </row>
    <row r="397">
      <c r="E397" s="16" t="s">
        <v>11684</v>
      </c>
      <c r="F397" s="16" t="s">
        <v>944</v>
      </c>
      <c r="G397" s="16" t="s">
        <v>944</v>
      </c>
    </row>
    <row r="398">
      <c r="E398" s="16" t="s">
        <v>11684</v>
      </c>
      <c r="F398" s="16" t="s">
        <v>944</v>
      </c>
      <c r="G398" s="16" t="s">
        <v>944</v>
      </c>
    </row>
    <row r="399">
      <c r="E399" s="16" t="s">
        <v>11684</v>
      </c>
      <c r="F399" s="16" t="s">
        <v>944</v>
      </c>
      <c r="G399" s="16" t="s">
        <v>944</v>
      </c>
    </row>
    <row r="400">
      <c r="E400" s="16" t="s">
        <v>11684</v>
      </c>
      <c r="F400" s="16" t="s">
        <v>944</v>
      </c>
      <c r="G400" s="16" t="s">
        <v>944</v>
      </c>
    </row>
    <row r="401">
      <c r="E401" s="16" t="s">
        <v>11684</v>
      </c>
      <c r="F401" s="16" t="s">
        <v>944</v>
      </c>
      <c r="G401" s="16" t="s">
        <v>944</v>
      </c>
    </row>
    <row r="402">
      <c r="E402" s="16" t="s">
        <v>11684</v>
      </c>
      <c r="F402" s="16" t="s">
        <v>944</v>
      </c>
      <c r="G402" s="16" t="s">
        <v>944</v>
      </c>
    </row>
    <row r="403">
      <c r="E403" s="16" t="s">
        <v>11684</v>
      </c>
      <c r="F403" s="16" t="s">
        <v>944</v>
      </c>
      <c r="G403" s="16" t="s">
        <v>944</v>
      </c>
    </row>
    <row r="404">
      <c r="E404" s="16" t="s">
        <v>11684</v>
      </c>
      <c r="F404" s="16" t="s">
        <v>944</v>
      </c>
      <c r="G404" s="16" t="s">
        <v>944</v>
      </c>
    </row>
    <row r="405">
      <c r="E405" s="16" t="s">
        <v>11684</v>
      </c>
      <c r="F405" s="16" t="s">
        <v>944</v>
      </c>
      <c r="G405" s="16" t="s">
        <v>944</v>
      </c>
    </row>
    <row r="406">
      <c r="E406" s="16" t="s">
        <v>11684</v>
      </c>
      <c r="F406" s="16" t="s">
        <v>944</v>
      </c>
      <c r="G406" s="16" t="s">
        <v>944</v>
      </c>
    </row>
    <row r="407">
      <c r="E407" s="16" t="s">
        <v>11684</v>
      </c>
      <c r="F407" s="16" t="s">
        <v>944</v>
      </c>
      <c r="G407" s="16" t="s">
        <v>944</v>
      </c>
    </row>
    <row r="408">
      <c r="E408" s="16" t="s">
        <v>11684</v>
      </c>
      <c r="F408" s="16" t="s">
        <v>944</v>
      </c>
      <c r="G408" s="16" t="s">
        <v>944</v>
      </c>
    </row>
    <row r="409">
      <c r="E409" s="16" t="s">
        <v>11684</v>
      </c>
      <c r="F409" s="16" t="s">
        <v>944</v>
      </c>
      <c r="G409" s="16" t="s">
        <v>944</v>
      </c>
    </row>
    <row r="410">
      <c r="E410" s="16" t="s">
        <v>11684</v>
      </c>
      <c r="F410" s="16" t="s">
        <v>944</v>
      </c>
      <c r="G410" s="16" t="s">
        <v>944</v>
      </c>
    </row>
    <row r="411">
      <c r="E411" s="16" t="s">
        <v>11684</v>
      </c>
      <c r="F411" s="16" t="s">
        <v>944</v>
      </c>
      <c r="G411" s="16" t="s">
        <v>944</v>
      </c>
    </row>
    <row r="412">
      <c r="E412" s="16" t="s">
        <v>11684</v>
      </c>
      <c r="F412" s="16" t="s">
        <v>944</v>
      </c>
      <c r="G412" s="16" t="s">
        <v>944</v>
      </c>
    </row>
    <row r="413">
      <c r="E413" s="16" t="s">
        <v>11684</v>
      </c>
      <c r="F413" s="16" t="s">
        <v>944</v>
      </c>
      <c r="G413" s="16" t="s">
        <v>944</v>
      </c>
    </row>
    <row r="414">
      <c r="E414" s="16" t="s">
        <v>11684</v>
      </c>
      <c r="F414" s="16" t="s">
        <v>944</v>
      </c>
      <c r="G414" s="16" t="s">
        <v>944</v>
      </c>
    </row>
    <row r="415">
      <c r="E415" s="16" t="s">
        <v>11684</v>
      </c>
      <c r="F415" s="16" t="s">
        <v>944</v>
      </c>
      <c r="G415" s="16" t="s">
        <v>944</v>
      </c>
    </row>
    <row r="416">
      <c r="E416" s="16" t="s">
        <v>11684</v>
      </c>
      <c r="F416" s="16" t="s">
        <v>944</v>
      </c>
      <c r="G416" s="16" t="s">
        <v>944</v>
      </c>
    </row>
    <row r="417">
      <c r="E417" s="16" t="s">
        <v>11684</v>
      </c>
      <c r="F417" s="16" t="s">
        <v>944</v>
      </c>
      <c r="G417" s="16" t="s">
        <v>944</v>
      </c>
    </row>
    <row r="418">
      <c r="E418" s="16" t="s">
        <v>11684</v>
      </c>
      <c r="F418" s="16" t="s">
        <v>944</v>
      </c>
      <c r="G418" s="16" t="s">
        <v>944</v>
      </c>
    </row>
    <row r="419">
      <c r="E419" s="16" t="s">
        <v>11684</v>
      </c>
      <c r="F419" s="16" t="s">
        <v>944</v>
      </c>
      <c r="G419" s="16" t="s">
        <v>944</v>
      </c>
    </row>
    <row r="420">
      <c r="E420" s="16" t="s">
        <v>11684</v>
      </c>
      <c r="F420" s="16" t="s">
        <v>944</v>
      </c>
      <c r="G420" s="16" t="s">
        <v>944</v>
      </c>
    </row>
    <row r="421">
      <c r="E421" s="16" t="s">
        <v>11684</v>
      </c>
      <c r="F421" s="16" t="s">
        <v>944</v>
      </c>
      <c r="G421" s="16" t="s">
        <v>944</v>
      </c>
    </row>
    <row r="422">
      <c r="E422" s="16" t="s">
        <v>11684</v>
      </c>
      <c r="F422" s="16" t="s">
        <v>944</v>
      </c>
      <c r="G422" s="16" t="s">
        <v>944</v>
      </c>
    </row>
    <row r="423">
      <c r="E423" s="16" t="s">
        <v>11684</v>
      </c>
      <c r="F423" s="16" t="s">
        <v>944</v>
      </c>
      <c r="G423" s="16" t="s">
        <v>944</v>
      </c>
    </row>
    <row r="424">
      <c r="E424" s="16" t="s">
        <v>11684</v>
      </c>
      <c r="F424" s="16" t="s">
        <v>944</v>
      </c>
      <c r="G424" s="16" t="s">
        <v>944</v>
      </c>
    </row>
    <row r="425">
      <c r="E425" s="16" t="s">
        <v>11684</v>
      </c>
      <c r="F425" s="16" t="s">
        <v>944</v>
      </c>
      <c r="G425" s="16" t="s">
        <v>944</v>
      </c>
    </row>
    <row r="426">
      <c r="E426" s="16" t="s">
        <v>11684</v>
      </c>
      <c r="F426" s="16" t="s">
        <v>944</v>
      </c>
      <c r="G426" s="16" t="s">
        <v>944</v>
      </c>
    </row>
    <row r="427">
      <c r="E427" s="16" t="s">
        <v>11684</v>
      </c>
      <c r="F427" s="16" t="s">
        <v>944</v>
      </c>
      <c r="G427" s="16" t="s">
        <v>944</v>
      </c>
    </row>
    <row r="428">
      <c r="E428" s="16" t="s">
        <v>11684</v>
      </c>
      <c r="F428" s="16" t="s">
        <v>944</v>
      </c>
      <c r="G428" s="16" t="s">
        <v>944</v>
      </c>
    </row>
    <row r="429">
      <c r="E429" s="16" t="s">
        <v>11684</v>
      </c>
      <c r="F429" s="16" t="s">
        <v>944</v>
      </c>
      <c r="G429" s="16" t="s">
        <v>944</v>
      </c>
    </row>
    <row r="430">
      <c r="E430" s="16" t="s">
        <v>11684</v>
      </c>
      <c r="F430" s="16" t="s">
        <v>944</v>
      </c>
      <c r="G430" s="16" t="s">
        <v>944</v>
      </c>
    </row>
    <row r="431">
      <c r="E431" s="16" t="s">
        <v>11684</v>
      </c>
      <c r="F431" s="16" t="s">
        <v>944</v>
      </c>
      <c r="G431" s="16" t="s">
        <v>944</v>
      </c>
    </row>
    <row r="432">
      <c r="E432" s="16" t="s">
        <v>11684</v>
      </c>
      <c r="F432" s="16" t="s">
        <v>944</v>
      </c>
      <c r="G432" s="16" t="s">
        <v>944</v>
      </c>
    </row>
    <row r="433">
      <c r="E433" s="16" t="s">
        <v>11684</v>
      </c>
      <c r="F433" s="16" t="s">
        <v>944</v>
      </c>
      <c r="G433" s="16" t="s">
        <v>944</v>
      </c>
    </row>
    <row r="434">
      <c r="E434" s="16" t="s">
        <v>11684</v>
      </c>
      <c r="F434" s="16" t="s">
        <v>944</v>
      </c>
      <c r="G434" s="16" t="s">
        <v>944</v>
      </c>
    </row>
    <row r="435">
      <c r="E435" s="16" t="s">
        <v>11684</v>
      </c>
      <c r="F435" s="16" t="s">
        <v>944</v>
      </c>
      <c r="G435" s="16" t="s">
        <v>944</v>
      </c>
    </row>
    <row r="436">
      <c r="E436" s="16" t="s">
        <v>11684</v>
      </c>
      <c r="F436" s="16" t="s">
        <v>944</v>
      </c>
      <c r="G436" s="16" t="s">
        <v>944</v>
      </c>
    </row>
    <row r="437">
      <c r="E437" s="16" t="s">
        <v>11684</v>
      </c>
      <c r="F437" s="16" t="s">
        <v>944</v>
      </c>
      <c r="G437" s="16" t="s">
        <v>944</v>
      </c>
    </row>
    <row r="438">
      <c r="E438" s="16" t="s">
        <v>11684</v>
      </c>
      <c r="F438" s="16" t="s">
        <v>944</v>
      </c>
      <c r="G438" s="16" t="s">
        <v>944</v>
      </c>
    </row>
    <row r="439">
      <c r="E439" s="16" t="s">
        <v>11684</v>
      </c>
      <c r="F439" s="16" t="s">
        <v>944</v>
      </c>
      <c r="G439" s="16" t="s">
        <v>944</v>
      </c>
    </row>
    <row r="440">
      <c r="E440" s="16" t="s">
        <v>11684</v>
      </c>
      <c r="F440" s="16" t="s">
        <v>944</v>
      </c>
      <c r="G440" s="16" t="s">
        <v>944</v>
      </c>
    </row>
    <row r="441">
      <c r="E441" s="16" t="s">
        <v>11684</v>
      </c>
      <c r="F441" s="16" t="s">
        <v>944</v>
      </c>
      <c r="G441" s="16" t="s">
        <v>944</v>
      </c>
    </row>
    <row r="442">
      <c r="E442" s="16" t="s">
        <v>11684</v>
      </c>
      <c r="F442" s="16" t="s">
        <v>944</v>
      </c>
      <c r="G442" s="16" t="s">
        <v>944</v>
      </c>
    </row>
    <row r="443">
      <c r="E443" s="16" t="s">
        <v>11684</v>
      </c>
      <c r="F443" s="16" t="s">
        <v>944</v>
      </c>
      <c r="G443" s="16" t="s">
        <v>944</v>
      </c>
    </row>
    <row r="444">
      <c r="E444" s="16" t="s">
        <v>11684</v>
      </c>
      <c r="F444" s="16" t="s">
        <v>944</v>
      </c>
      <c r="G444" s="16" t="s">
        <v>944</v>
      </c>
    </row>
    <row r="445">
      <c r="E445" s="16" t="s">
        <v>11684</v>
      </c>
      <c r="F445" s="16" t="s">
        <v>944</v>
      </c>
      <c r="G445" s="16" t="s">
        <v>944</v>
      </c>
    </row>
    <row r="446">
      <c r="E446" s="16" t="s">
        <v>11684</v>
      </c>
      <c r="F446" s="16" t="s">
        <v>944</v>
      </c>
      <c r="G446" s="16" t="s">
        <v>944</v>
      </c>
    </row>
    <row r="447">
      <c r="E447" s="16" t="s">
        <v>11684</v>
      </c>
      <c r="F447" s="16" t="s">
        <v>944</v>
      </c>
      <c r="G447" s="16" t="s">
        <v>944</v>
      </c>
    </row>
    <row r="448">
      <c r="E448" s="16" t="s">
        <v>11684</v>
      </c>
      <c r="F448" s="16" t="s">
        <v>944</v>
      </c>
      <c r="G448" s="16" t="s">
        <v>944</v>
      </c>
    </row>
    <row r="449">
      <c r="E449" s="16" t="s">
        <v>11684</v>
      </c>
      <c r="F449" s="16" t="s">
        <v>944</v>
      </c>
      <c r="G449" s="16" t="s">
        <v>944</v>
      </c>
    </row>
    <row r="450">
      <c r="E450" s="16" t="s">
        <v>11684</v>
      </c>
      <c r="F450" s="16" t="s">
        <v>944</v>
      </c>
      <c r="G450" s="16" t="s">
        <v>944</v>
      </c>
    </row>
    <row r="451">
      <c r="E451" s="16" t="s">
        <v>11684</v>
      </c>
      <c r="F451" s="16" t="s">
        <v>944</v>
      </c>
      <c r="G451" s="16" t="s">
        <v>944</v>
      </c>
    </row>
    <row r="452">
      <c r="E452" s="16" t="s">
        <v>11684</v>
      </c>
      <c r="F452" s="16" t="s">
        <v>944</v>
      </c>
      <c r="G452" s="16" t="s">
        <v>944</v>
      </c>
    </row>
    <row r="453">
      <c r="E453" s="16" t="s">
        <v>11684</v>
      </c>
      <c r="F453" s="16" t="s">
        <v>944</v>
      </c>
      <c r="G453" s="16" t="s">
        <v>944</v>
      </c>
    </row>
    <row r="454">
      <c r="E454" s="16" t="s">
        <v>11684</v>
      </c>
      <c r="F454" s="16" t="s">
        <v>944</v>
      </c>
      <c r="G454" s="16" t="s">
        <v>944</v>
      </c>
    </row>
    <row r="455">
      <c r="E455" s="16" t="s">
        <v>11684</v>
      </c>
      <c r="F455" s="16" t="s">
        <v>944</v>
      </c>
      <c r="G455" s="16" t="s">
        <v>944</v>
      </c>
    </row>
    <row r="456">
      <c r="E456" s="16" t="s">
        <v>11684</v>
      </c>
      <c r="F456" s="16" t="s">
        <v>944</v>
      </c>
      <c r="G456" s="16" t="s">
        <v>944</v>
      </c>
    </row>
    <row r="457">
      <c r="E457" s="16" t="s">
        <v>11684</v>
      </c>
      <c r="F457" s="16" t="s">
        <v>944</v>
      </c>
      <c r="G457" s="16" t="s">
        <v>944</v>
      </c>
    </row>
    <row r="458">
      <c r="E458" s="16" t="s">
        <v>11684</v>
      </c>
      <c r="F458" s="16" t="s">
        <v>944</v>
      </c>
      <c r="G458" s="16" t="s">
        <v>944</v>
      </c>
    </row>
    <row r="459">
      <c r="E459" s="16" t="s">
        <v>11684</v>
      </c>
      <c r="F459" s="16" t="s">
        <v>944</v>
      </c>
      <c r="G459" s="16" t="s">
        <v>944</v>
      </c>
    </row>
    <row r="460">
      <c r="E460" s="16" t="s">
        <v>11684</v>
      </c>
      <c r="F460" s="16" t="s">
        <v>944</v>
      </c>
      <c r="G460" s="16" t="s">
        <v>944</v>
      </c>
    </row>
    <row r="461">
      <c r="E461" s="16" t="s">
        <v>11684</v>
      </c>
      <c r="F461" s="16" t="s">
        <v>944</v>
      </c>
      <c r="G461" s="16" t="s">
        <v>944</v>
      </c>
    </row>
    <row r="462">
      <c r="E462" s="16" t="s">
        <v>11684</v>
      </c>
      <c r="F462" s="16" t="s">
        <v>944</v>
      </c>
      <c r="G462" s="16" t="s">
        <v>944</v>
      </c>
    </row>
    <row r="463">
      <c r="E463" s="16" t="s">
        <v>11684</v>
      </c>
      <c r="F463" s="16" t="s">
        <v>944</v>
      </c>
      <c r="G463" s="16" t="s">
        <v>944</v>
      </c>
    </row>
    <row r="464">
      <c r="E464" s="16" t="s">
        <v>11684</v>
      </c>
      <c r="F464" s="16" t="s">
        <v>944</v>
      </c>
      <c r="G464" s="16" t="s">
        <v>944</v>
      </c>
    </row>
    <row r="465">
      <c r="E465" s="16" t="s">
        <v>11684</v>
      </c>
      <c r="F465" s="16" t="s">
        <v>944</v>
      </c>
      <c r="G465" s="16" t="s">
        <v>944</v>
      </c>
    </row>
    <row r="466">
      <c r="E466" s="16" t="s">
        <v>11684</v>
      </c>
      <c r="F466" s="16" t="s">
        <v>944</v>
      </c>
      <c r="G466" s="16" t="s">
        <v>944</v>
      </c>
    </row>
    <row r="467">
      <c r="E467" s="16" t="s">
        <v>11684</v>
      </c>
      <c r="F467" s="16" t="s">
        <v>944</v>
      </c>
      <c r="G467" s="16" t="s">
        <v>944</v>
      </c>
    </row>
    <row r="468">
      <c r="E468" s="16" t="s">
        <v>11684</v>
      </c>
      <c r="F468" s="16" t="s">
        <v>944</v>
      </c>
      <c r="G468" s="16" t="s">
        <v>944</v>
      </c>
    </row>
    <row r="469">
      <c r="E469" s="16" t="s">
        <v>11684</v>
      </c>
      <c r="F469" s="16" t="s">
        <v>944</v>
      </c>
      <c r="G469" s="16" t="s">
        <v>944</v>
      </c>
    </row>
    <row r="470">
      <c r="E470" s="16" t="s">
        <v>11684</v>
      </c>
      <c r="F470" s="16" t="s">
        <v>944</v>
      </c>
      <c r="G470" s="16" t="s">
        <v>944</v>
      </c>
    </row>
    <row r="471">
      <c r="E471" s="16" t="s">
        <v>11684</v>
      </c>
      <c r="F471" s="16" t="s">
        <v>944</v>
      </c>
      <c r="G471" s="16" t="s">
        <v>944</v>
      </c>
    </row>
    <row r="472">
      <c r="E472" s="16" t="s">
        <v>11684</v>
      </c>
      <c r="F472" s="16" t="s">
        <v>944</v>
      </c>
      <c r="G472" s="16" t="s">
        <v>944</v>
      </c>
    </row>
    <row r="473">
      <c r="E473" s="16" t="s">
        <v>11684</v>
      </c>
      <c r="F473" s="16" t="s">
        <v>944</v>
      </c>
      <c r="G473" s="16" t="s">
        <v>944</v>
      </c>
    </row>
    <row r="474">
      <c r="E474" s="16" t="s">
        <v>11684</v>
      </c>
      <c r="F474" s="16" t="s">
        <v>944</v>
      </c>
      <c r="G474" s="16" t="s">
        <v>944</v>
      </c>
    </row>
    <row r="475">
      <c r="E475" s="16" t="s">
        <v>11684</v>
      </c>
      <c r="F475" s="16" t="s">
        <v>944</v>
      </c>
      <c r="G475" s="16" t="s">
        <v>944</v>
      </c>
    </row>
    <row r="476">
      <c r="E476" s="16" t="s">
        <v>11684</v>
      </c>
      <c r="F476" s="16" t="s">
        <v>944</v>
      </c>
      <c r="G476" s="16" t="s">
        <v>944</v>
      </c>
    </row>
    <row r="477">
      <c r="E477" s="16" t="s">
        <v>11684</v>
      </c>
      <c r="F477" s="16" t="s">
        <v>944</v>
      </c>
      <c r="G477" s="16" t="s">
        <v>944</v>
      </c>
    </row>
    <row r="478">
      <c r="E478" s="16" t="s">
        <v>11684</v>
      </c>
      <c r="F478" s="16" t="s">
        <v>944</v>
      </c>
      <c r="G478" s="16" t="s">
        <v>944</v>
      </c>
    </row>
    <row r="479">
      <c r="E479" s="16" t="s">
        <v>11684</v>
      </c>
      <c r="F479" s="16" t="s">
        <v>944</v>
      </c>
      <c r="G479" s="16" t="s">
        <v>944</v>
      </c>
    </row>
    <row r="480">
      <c r="E480" s="16" t="s">
        <v>11684</v>
      </c>
      <c r="F480" s="16" t="s">
        <v>944</v>
      </c>
      <c r="G480" s="16" t="s">
        <v>944</v>
      </c>
    </row>
    <row r="481">
      <c r="E481" s="16" t="s">
        <v>11684</v>
      </c>
      <c r="F481" s="16" t="s">
        <v>944</v>
      </c>
      <c r="G481" s="16" t="s">
        <v>944</v>
      </c>
    </row>
    <row r="482">
      <c r="E482" s="16" t="s">
        <v>11684</v>
      </c>
      <c r="F482" s="16" t="s">
        <v>944</v>
      </c>
      <c r="G482" s="16" t="s">
        <v>944</v>
      </c>
    </row>
    <row r="483">
      <c r="E483" s="16" t="s">
        <v>11684</v>
      </c>
      <c r="F483" s="16" t="s">
        <v>944</v>
      </c>
      <c r="G483" s="16" t="s">
        <v>944</v>
      </c>
    </row>
    <row r="484">
      <c r="E484" s="16" t="s">
        <v>11684</v>
      </c>
      <c r="F484" s="16" t="s">
        <v>944</v>
      </c>
      <c r="G484" s="16" t="s">
        <v>944</v>
      </c>
    </row>
    <row r="485">
      <c r="E485" s="16" t="s">
        <v>11684</v>
      </c>
      <c r="F485" s="16" t="s">
        <v>944</v>
      </c>
      <c r="G485" s="16" t="s">
        <v>944</v>
      </c>
    </row>
    <row r="486">
      <c r="E486" s="16" t="s">
        <v>11684</v>
      </c>
      <c r="F486" s="16" t="s">
        <v>944</v>
      </c>
      <c r="G486" s="16" t="s">
        <v>944</v>
      </c>
    </row>
    <row r="487">
      <c r="E487" s="16" t="s">
        <v>11684</v>
      </c>
      <c r="F487" s="16" t="s">
        <v>944</v>
      </c>
      <c r="G487" s="16" t="s">
        <v>944</v>
      </c>
    </row>
    <row r="488">
      <c r="E488" s="16" t="s">
        <v>11684</v>
      </c>
      <c r="F488" s="16" t="s">
        <v>944</v>
      </c>
      <c r="G488" s="16" t="s">
        <v>944</v>
      </c>
    </row>
    <row r="489">
      <c r="E489" s="16" t="s">
        <v>11684</v>
      </c>
      <c r="F489" s="16" t="s">
        <v>944</v>
      </c>
      <c r="G489" s="16" t="s">
        <v>944</v>
      </c>
    </row>
    <row r="490">
      <c r="E490" s="16" t="s">
        <v>11684</v>
      </c>
      <c r="F490" s="16" t="s">
        <v>944</v>
      </c>
      <c r="G490" s="16" t="s">
        <v>944</v>
      </c>
    </row>
    <row r="491">
      <c r="E491" s="16" t="s">
        <v>11684</v>
      </c>
      <c r="F491" s="16" t="s">
        <v>944</v>
      </c>
      <c r="G491" s="16" t="s">
        <v>944</v>
      </c>
    </row>
    <row r="492">
      <c r="E492" s="16" t="s">
        <v>11684</v>
      </c>
      <c r="F492" s="16" t="s">
        <v>944</v>
      </c>
      <c r="G492" s="16" t="s">
        <v>944</v>
      </c>
    </row>
    <row r="493">
      <c r="E493" s="16" t="s">
        <v>11684</v>
      </c>
      <c r="F493" s="16" t="s">
        <v>944</v>
      </c>
      <c r="G493" s="16" t="s">
        <v>944</v>
      </c>
    </row>
    <row r="494">
      <c r="E494" s="16" t="s">
        <v>11684</v>
      </c>
      <c r="F494" s="16" t="s">
        <v>944</v>
      </c>
      <c r="G494" s="16" t="s">
        <v>944</v>
      </c>
    </row>
    <row r="495">
      <c r="E495" s="16" t="s">
        <v>11684</v>
      </c>
      <c r="F495" s="16" t="s">
        <v>944</v>
      </c>
      <c r="G495" s="16" t="s">
        <v>944</v>
      </c>
    </row>
    <row r="496">
      <c r="E496" s="16" t="s">
        <v>11684</v>
      </c>
      <c r="F496" s="16" t="s">
        <v>944</v>
      </c>
      <c r="G496" s="16" t="s">
        <v>944</v>
      </c>
    </row>
    <row r="497">
      <c r="E497" s="16" t="s">
        <v>11684</v>
      </c>
      <c r="F497" s="16" t="s">
        <v>944</v>
      </c>
      <c r="G497" s="16" t="s">
        <v>944</v>
      </c>
    </row>
    <row r="498">
      <c r="E498" s="16" t="s">
        <v>11684</v>
      </c>
      <c r="F498" s="16" t="s">
        <v>944</v>
      </c>
      <c r="G498" s="16" t="s">
        <v>944</v>
      </c>
    </row>
    <row r="499">
      <c r="E499" s="16" t="s">
        <v>11684</v>
      </c>
      <c r="F499" s="16" t="s">
        <v>944</v>
      </c>
      <c r="G499" s="16" t="s">
        <v>944</v>
      </c>
    </row>
    <row r="500">
      <c r="E500" s="16" t="s">
        <v>11684</v>
      </c>
      <c r="F500" s="16" t="s">
        <v>944</v>
      </c>
      <c r="G500" s="16" t="s">
        <v>944</v>
      </c>
    </row>
    <row r="501">
      <c r="E501" s="16" t="s">
        <v>11684</v>
      </c>
      <c r="F501" s="16" t="s">
        <v>944</v>
      </c>
      <c r="G501" s="16" t="s">
        <v>944</v>
      </c>
    </row>
    <row r="502">
      <c r="E502" s="16" t="s">
        <v>11684</v>
      </c>
      <c r="F502" s="16" t="s">
        <v>944</v>
      </c>
      <c r="G502" s="16" t="s">
        <v>944</v>
      </c>
    </row>
    <row r="503">
      <c r="E503" s="16" t="s">
        <v>11684</v>
      </c>
      <c r="F503" s="16" t="s">
        <v>944</v>
      </c>
      <c r="G503" s="16" t="s">
        <v>944</v>
      </c>
    </row>
    <row r="504">
      <c r="E504" s="16" t="s">
        <v>11684</v>
      </c>
      <c r="F504" s="16" t="s">
        <v>944</v>
      </c>
      <c r="G504" s="16" t="s">
        <v>944</v>
      </c>
    </row>
    <row r="505">
      <c r="E505" s="16" t="s">
        <v>11684</v>
      </c>
      <c r="F505" s="16" t="s">
        <v>944</v>
      </c>
      <c r="G505" s="16" t="s">
        <v>944</v>
      </c>
    </row>
    <row r="506">
      <c r="E506" s="16" t="s">
        <v>11684</v>
      </c>
      <c r="F506" s="16" t="s">
        <v>944</v>
      </c>
      <c r="G506" s="16" t="s">
        <v>944</v>
      </c>
    </row>
    <row r="507">
      <c r="E507" s="16" t="s">
        <v>11684</v>
      </c>
      <c r="F507" s="16" t="s">
        <v>944</v>
      </c>
      <c r="G507" s="16" t="s">
        <v>944</v>
      </c>
    </row>
    <row r="508">
      <c r="E508" s="16" t="s">
        <v>11684</v>
      </c>
      <c r="F508" s="16" t="s">
        <v>944</v>
      </c>
      <c r="G508" s="16" t="s">
        <v>944</v>
      </c>
    </row>
    <row r="509">
      <c r="E509" s="16" t="s">
        <v>11684</v>
      </c>
      <c r="F509" s="16" t="s">
        <v>944</v>
      </c>
      <c r="G509" s="16" t="s">
        <v>944</v>
      </c>
    </row>
    <row r="510">
      <c r="E510" s="16" t="s">
        <v>11684</v>
      </c>
      <c r="F510" s="16" t="s">
        <v>944</v>
      </c>
      <c r="G510" s="16" t="s">
        <v>944</v>
      </c>
    </row>
    <row r="511">
      <c r="E511" s="16" t="s">
        <v>11684</v>
      </c>
      <c r="F511" s="16" t="s">
        <v>944</v>
      </c>
      <c r="G511" s="16" t="s">
        <v>944</v>
      </c>
    </row>
    <row r="512">
      <c r="E512" s="16" t="s">
        <v>11684</v>
      </c>
      <c r="F512" s="16" t="s">
        <v>944</v>
      </c>
      <c r="G512" s="16" t="s">
        <v>944</v>
      </c>
    </row>
    <row r="513">
      <c r="E513" s="16" t="s">
        <v>11684</v>
      </c>
      <c r="F513" s="16" t="s">
        <v>944</v>
      </c>
      <c r="G513" s="16" t="s">
        <v>944</v>
      </c>
    </row>
    <row r="514">
      <c r="E514" s="16" t="s">
        <v>11684</v>
      </c>
      <c r="F514" s="16" t="s">
        <v>944</v>
      </c>
      <c r="G514" s="16" t="s">
        <v>944</v>
      </c>
    </row>
    <row r="515">
      <c r="E515" s="16" t="s">
        <v>11684</v>
      </c>
      <c r="F515" s="16" t="s">
        <v>944</v>
      </c>
      <c r="G515" s="16" t="s">
        <v>944</v>
      </c>
    </row>
    <row r="516">
      <c r="E516" s="16" t="s">
        <v>11684</v>
      </c>
      <c r="F516" s="16" t="s">
        <v>944</v>
      </c>
      <c r="G516" s="16" t="s">
        <v>944</v>
      </c>
    </row>
    <row r="517">
      <c r="E517" s="16" t="s">
        <v>11684</v>
      </c>
      <c r="F517" s="16" t="s">
        <v>944</v>
      </c>
      <c r="G517" s="16" t="s">
        <v>944</v>
      </c>
    </row>
    <row r="518">
      <c r="E518" s="16" t="s">
        <v>11684</v>
      </c>
      <c r="F518" s="16" t="s">
        <v>944</v>
      </c>
      <c r="G518" s="16" t="s">
        <v>944</v>
      </c>
    </row>
    <row r="519">
      <c r="E519" s="16" t="s">
        <v>11684</v>
      </c>
      <c r="F519" s="16" t="s">
        <v>944</v>
      </c>
      <c r="G519" s="16" t="s">
        <v>944</v>
      </c>
    </row>
    <row r="520">
      <c r="E520" s="16" t="s">
        <v>11684</v>
      </c>
      <c r="F520" s="16" t="s">
        <v>944</v>
      </c>
      <c r="G520" s="16" t="s">
        <v>944</v>
      </c>
    </row>
    <row r="521">
      <c r="E521" s="16" t="s">
        <v>11684</v>
      </c>
      <c r="F521" s="16" t="s">
        <v>944</v>
      </c>
      <c r="G521" s="16" t="s">
        <v>944</v>
      </c>
    </row>
    <row r="522">
      <c r="E522" s="16" t="s">
        <v>11684</v>
      </c>
      <c r="F522" s="16" t="s">
        <v>944</v>
      </c>
      <c r="G522" s="16" t="s">
        <v>944</v>
      </c>
    </row>
    <row r="523">
      <c r="E523" s="16" t="s">
        <v>11684</v>
      </c>
      <c r="F523" s="16" t="s">
        <v>944</v>
      </c>
      <c r="G523" s="16" t="s">
        <v>944</v>
      </c>
    </row>
    <row r="524">
      <c r="E524" s="16" t="s">
        <v>11684</v>
      </c>
      <c r="F524" s="16" t="s">
        <v>944</v>
      </c>
      <c r="G524" s="16" t="s">
        <v>944</v>
      </c>
    </row>
    <row r="525">
      <c r="E525" s="16" t="s">
        <v>11684</v>
      </c>
      <c r="F525" s="16" t="s">
        <v>944</v>
      </c>
      <c r="G525" s="16" t="s">
        <v>944</v>
      </c>
    </row>
    <row r="526">
      <c r="E526" s="16" t="s">
        <v>11684</v>
      </c>
      <c r="F526" s="16" t="s">
        <v>944</v>
      </c>
      <c r="G526" s="16" t="s">
        <v>944</v>
      </c>
    </row>
    <row r="527">
      <c r="E527" s="16" t="s">
        <v>11684</v>
      </c>
      <c r="F527" s="16" t="s">
        <v>944</v>
      </c>
      <c r="G527" s="16" t="s">
        <v>944</v>
      </c>
    </row>
    <row r="528">
      <c r="E528" s="16" t="s">
        <v>11684</v>
      </c>
      <c r="F528" s="16" t="s">
        <v>944</v>
      </c>
      <c r="G528" s="16" t="s">
        <v>944</v>
      </c>
    </row>
    <row r="529">
      <c r="E529" s="16" t="s">
        <v>11684</v>
      </c>
      <c r="F529" s="16" t="s">
        <v>944</v>
      </c>
      <c r="G529" s="16" t="s">
        <v>944</v>
      </c>
    </row>
    <row r="530">
      <c r="E530" s="16" t="s">
        <v>11684</v>
      </c>
      <c r="F530" s="16" t="s">
        <v>944</v>
      </c>
      <c r="G530" s="16" t="s">
        <v>944</v>
      </c>
    </row>
    <row r="531">
      <c r="E531" s="16" t="s">
        <v>11684</v>
      </c>
      <c r="F531" s="16" t="s">
        <v>944</v>
      </c>
      <c r="G531" s="16" t="s">
        <v>944</v>
      </c>
    </row>
    <row r="532">
      <c r="E532" s="16" t="s">
        <v>11684</v>
      </c>
      <c r="F532" s="16" t="s">
        <v>944</v>
      </c>
      <c r="G532" s="16" t="s">
        <v>944</v>
      </c>
    </row>
    <row r="533">
      <c r="E533" s="16" t="s">
        <v>11684</v>
      </c>
      <c r="F533" s="16" t="s">
        <v>944</v>
      </c>
      <c r="G533" s="16" t="s">
        <v>944</v>
      </c>
    </row>
    <row r="534">
      <c r="E534" s="16" t="s">
        <v>11684</v>
      </c>
      <c r="F534" s="16" t="s">
        <v>944</v>
      </c>
      <c r="G534" s="16" t="s">
        <v>944</v>
      </c>
    </row>
    <row r="535">
      <c r="E535" s="16" t="s">
        <v>11684</v>
      </c>
      <c r="F535" s="16" t="s">
        <v>944</v>
      </c>
      <c r="G535" s="16" t="s">
        <v>944</v>
      </c>
    </row>
    <row r="536">
      <c r="E536" s="16" t="s">
        <v>11684</v>
      </c>
      <c r="F536" s="16" t="s">
        <v>944</v>
      </c>
      <c r="G536" s="16" t="s">
        <v>944</v>
      </c>
    </row>
    <row r="537">
      <c r="E537" s="16" t="s">
        <v>11684</v>
      </c>
      <c r="F537" s="16" t="s">
        <v>944</v>
      </c>
      <c r="G537" s="16" t="s">
        <v>944</v>
      </c>
    </row>
    <row r="538">
      <c r="E538" s="16" t="s">
        <v>11684</v>
      </c>
      <c r="F538" s="16" t="s">
        <v>944</v>
      </c>
      <c r="G538" s="16" t="s">
        <v>944</v>
      </c>
    </row>
    <row r="539">
      <c r="E539" s="16" t="s">
        <v>11684</v>
      </c>
      <c r="F539" s="16" t="s">
        <v>944</v>
      </c>
      <c r="G539" s="16" t="s">
        <v>944</v>
      </c>
    </row>
    <row r="540">
      <c r="E540" s="16" t="s">
        <v>11684</v>
      </c>
      <c r="F540" s="16" t="s">
        <v>944</v>
      </c>
      <c r="G540" s="16" t="s">
        <v>944</v>
      </c>
    </row>
    <row r="541">
      <c r="E541" s="16" t="s">
        <v>11684</v>
      </c>
      <c r="F541" s="16" t="s">
        <v>944</v>
      </c>
      <c r="G541" s="16" t="s">
        <v>944</v>
      </c>
    </row>
    <row r="542">
      <c r="E542" s="16" t="s">
        <v>11684</v>
      </c>
      <c r="F542" s="16" t="s">
        <v>944</v>
      </c>
      <c r="G542" s="16" t="s">
        <v>944</v>
      </c>
    </row>
    <row r="543">
      <c r="E543" s="16" t="s">
        <v>11684</v>
      </c>
      <c r="F543" s="16" t="s">
        <v>944</v>
      </c>
      <c r="G543" s="16" t="s">
        <v>944</v>
      </c>
    </row>
    <row r="544">
      <c r="E544" s="16" t="s">
        <v>11684</v>
      </c>
      <c r="F544" s="16" t="s">
        <v>944</v>
      </c>
      <c r="G544" s="16" t="s">
        <v>944</v>
      </c>
    </row>
    <row r="545">
      <c r="E545" s="16" t="s">
        <v>11684</v>
      </c>
      <c r="F545" s="16" t="s">
        <v>944</v>
      </c>
      <c r="G545" s="16" t="s">
        <v>944</v>
      </c>
    </row>
    <row r="546">
      <c r="E546" s="16" t="s">
        <v>11684</v>
      </c>
      <c r="F546" s="16" t="s">
        <v>944</v>
      </c>
      <c r="G546" s="16" t="s">
        <v>944</v>
      </c>
    </row>
    <row r="547">
      <c r="E547" s="16" t="s">
        <v>11684</v>
      </c>
      <c r="F547" s="16" t="s">
        <v>944</v>
      </c>
      <c r="G547" s="16" t="s">
        <v>944</v>
      </c>
    </row>
    <row r="548">
      <c r="E548" s="16" t="s">
        <v>11684</v>
      </c>
      <c r="F548" s="16" t="s">
        <v>944</v>
      </c>
      <c r="G548" s="16" t="s">
        <v>944</v>
      </c>
    </row>
    <row r="549">
      <c r="E549" s="16" t="s">
        <v>11684</v>
      </c>
      <c r="F549" s="16" t="s">
        <v>944</v>
      </c>
      <c r="G549" s="16" t="s">
        <v>944</v>
      </c>
    </row>
    <row r="550">
      <c r="E550" s="16" t="s">
        <v>11684</v>
      </c>
      <c r="F550" s="16" t="s">
        <v>944</v>
      </c>
      <c r="G550" s="16" t="s">
        <v>944</v>
      </c>
    </row>
    <row r="551">
      <c r="E551" s="16" t="s">
        <v>11684</v>
      </c>
      <c r="F551" s="16" t="s">
        <v>944</v>
      </c>
      <c r="G551" s="16" t="s">
        <v>944</v>
      </c>
    </row>
    <row r="552">
      <c r="E552" s="16" t="s">
        <v>11684</v>
      </c>
      <c r="F552" s="16" t="s">
        <v>944</v>
      </c>
      <c r="G552" s="16" t="s">
        <v>944</v>
      </c>
    </row>
    <row r="553">
      <c r="E553" s="16" t="s">
        <v>11684</v>
      </c>
      <c r="F553" s="16" t="s">
        <v>944</v>
      </c>
      <c r="G553" s="16" t="s">
        <v>944</v>
      </c>
    </row>
    <row r="554">
      <c r="E554" s="16" t="s">
        <v>11684</v>
      </c>
      <c r="F554" s="16" t="s">
        <v>944</v>
      </c>
      <c r="G554" s="16" t="s">
        <v>944</v>
      </c>
    </row>
    <row r="555">
      <c r="E555" s="16" t="s">
        <v>11684</v>
      </c>
      <c r="F555" s="16" t="s">
        <v>944</v>
      </c>
      <c r="G555" s="16" t="s">
        <v>944</v>
      </c>
    </row>
    <row r="556">
      <c r="E556" s="16" t="s">
        <v>11684</v>
      </c>
      <c r="F556" s="16" t="s">
        <v>944</v>
      </c>
      <c r="G556" s="16" t="s">
        <v>944</v>
      </c>
    </row>
    <row r="557">
      <c r="E557" s="16" t="s">
        <v>11684</v>
      </c>
      <c r="F557" s="16" t="s">
        <v>944</v>
      </c>
      <c r="G557" s="16" t="s">
        <v>944</v>
      </c>
    </row>
    <row r="558">
      <c r="E558" s="16" t="s">
        <v>11684</v>
      </c>
      <c r="F558" s="16" t="s">
        <v>944</v>
      </c>
      <c r="G558" s="16" t="s">
        <v>944</v>
      </c>
    </row>
    <row r="559">
      <c r="E559" s="16" t="s">
        <v>11684</v>
      </c>
      <c r="F559" s="16" t="s">
        <v>944</v>
      </c>
      <c r="G559" s="16" t="s">
        <v>944</v>
      </c>
    </row>
    <row r="560">
      <c r="E560" s="16" t="s">
        <v>11684</v>
      </c>
      <c r="F560" s="16" t="s">
        <v>944</v>
      </c>
      <c r="G560" s="16" t="s">
        <v>944</v>
      </c>
    </row>
    <row r="561">
      <c r="E561" s="16" t="s">
        <v>11684</v>
      </c>
      <c r="F561" s="16" t="s">
        <v>944</v>
      </c>
      <c r="G561" s="16" t="s">
        <v>944</v>
      </c>
    </row>
    <row r="562">
      <c r="E562" s="16" t="s">
        <v>11684</v>
      </c>
      <c r="F562" s="16" t="s">
        <v>944</v>
      </c>
      <c r="G562" s="16" t="s">
        <v>944</v>
      </c>
    </row>
    <row r="563">
      <c r="E563" s="16" t="s">
        <v>11684</v>
      </c>
      <c r="F563" s="16" t="s">
        <v>944</v>
      </c>
      <c r="G563" s="16" t="s">
        <v>944</v>
      </c>
    </row>
    <row r="564">
      <c r="E564" s="16" t="s">
        <v>11684</v>
      </c>
      <c r="F564" s="16" t="s">
        <v>944</v>
      </c>
      <c r="G564" s="16" t="s">
        <v>944</v>
      </c>
    </row>
    <row r="565">
      <c r="E565" s="16" t="s">
        <v>11684</v>
      </c>
      <c r="F565" s="16" t="s">
        <v>944</v>
      </c>
      <c r="G565" s="16" t="s">
        <v>944</v>
      </c>
    </row>
    <row r="566">
      <c r="E566" s="16" t="s">
        <v>11684</v>
      </c>
      <c r="F566" s="16" t="s">
        <v>944</v>
      </c>
      <c r="G566" s="16" t="s">
        <v>944</v>
      </c>
    </row>
    <row r="567">
      <c r="E567" s="16" t="s">
        <v>11684</v>
      </c>
      <c r="F567" s="16" t="s">
        <v>944</v>
      </c>
      <c r="G567" s="16" t="s">
        <v>944</v>
      </c>
    </row>
    <row r="568">
      <c r="E568" s="16" t="s">
        <v>11684</v>
      </c>
      <c r="F568" s="16" t="s">
        <v>944</v>
      </c>
      <c r="G568" s="16" t="s">
        <v>944</v>
      </c>
    </row>
    <row r="569">
      <c r="E569" s="16" t="s">
        <v>11684</v>
      </c>
      <c r="F569" s="16" t="s">
        <v>944</v>
      </c>
      <c r="G569" s="16" t="s">
        <v>944</v>
      </c>
    </row>
    <row r="570">
      <c r="E570" s="16" t="s">
        <v>11684</v>
      </c>
      <c r="F570" s="16" t="s">
        <v>944</v>
      </c>
      <c r="G570" s="16" t="s">
        <v>944</v>
      </c>
    </row>
    <row r="571">
      <c r="E571" s="16" t="s">
        <v>11684</v>
      </c>
      <c r="F571" s="16" t="s">
        <v>944</v>
      </c>
      <c r="G571" s="16" t="s">
        <v>944</v>
      </c>
    </row>
    <row r="572">
      <c r="E572" s="16" t="s">
        <v>11684</v>
      </c>
      <c r="F572" s="16" t="s">
        <v>944</v>
      </c>
      <c r="G572" s="16" t="s">
        <v>944</v>
      </c>
    </row>
    <row r="573">
      <c r="E573" s="16" t="s">
        <v>11684</v>
      </c>
      <c r="F573" s="16" t="s">
        <v>944</v>
      </c>
      <c r="G573" s="16" t="s">
        <v>944</v>
      </c>
    </row>
    <row r="574">
      <c r="E574" s="16" t="s">
        <v>11684</v>
      </c>
      <c r="F574" s="16" t="s">
        <v>944</v>
      </c>
      <c r="G574" s="16" t="s">
        <v>944</v>
      </c>
    </row>
    <row r="575">
      <c r="E575" s="16" t="s">
        <v>11684</v>
      </c>
      <c r="F575" s="16" t="s">
        <v>944</v>
      </c>
      <c r="G575" s="16" t="s">
        <v>944</v>
      </c>
    </row>
    <row r="576">
      <c r="E576" s="16" t="s">
        <v>11684</v>
      </c>
      <c r="F576" s="16" t="s">
        <v>944</v>
      </c>
      <c r="G576" s="16" t="s">
        <v>944</v>
      </c>
    </row>
    <row r="577">
      <c r="E577" s="16" t="s">
        <v>11684</v>
      </c>
      <c r="F577" s="16" t="s">
        <v>944</v>
      </c>
      <c r="G577" s="16" t="s">
        <v>944</v>
      </c>
    </row>
    <row r="578">
      <c r="E578" s="16" t="s">
        <v>11684</v>
      </c>
      <c r="F578" s="16" t="s">
        <v>944</v>
      </c>
      <c r="G578" s="16" t="s">
        <v>944</v>
      </c>
    </row>
    <row r="579">
      <c r="E579" s="16" t="s">
        <v>11684</v>
      </c>
      <c r="F579" s="16" t="s">
        <v>944</v>
      </c>
      <c r="G579" s="16" t="s">
        <v>944</v>
      </c>
    </row>
    <row r="580">
      <c r="E580" s="16" t="s">
        <v>11684</v>
      </c>
      <c r="F580" s="16" t="s">
        <v>944</v>
      </c>
      <c r="G580" s="16" t="s">
        <v>944</v>
      </c>
    </row>
    <row r="581">
      <c r="E581" s="16" t="s">
        <v>11684</v>
      </c>
      <c r="F581" s="16" t="s">
        <v>944</v>
      </c>
      <c r="G581" s="16" t="s">
        <v>944</v>
      </c>
    </row>
    <row r="582">
      <c r="E582" s="16" t="s">
        <v>11684</v>
      </c>
      <c r="F582" s="16" t="s">
        <v>944</v>
      </c>
      <c r="G582" s="16" t="s">
        <v>944</v>
      </c>
    </row>
    <row r="583">
      <c r="E583" s="16" t="s">
        <v>11684</v>
      </c>
      <c r="F583" s="16" t="s">
        <v>944</v>
      </c>
      <c r="G583" s="16" t="s">
        <v>944</v>
      </c>
    </row>
    <row r="584">
      <c r="E584" s="16" t="s">
        <v>11684</v>
      </c>
      <c r="F584" s="16" t="s">
        <v>944</v>
      </c>
      <c r="G584" s="16" t="s">
        <v>944</v>
      </c>
    </row>
    <row r="585">
      <c r="E585" s="16" t="s">
        <v>11684</v>
      </c>
      <c r="F585" s="16" t="s">
        <v>944</v>
      </c>
      <c r="G585" s="16" t="s">
        <v>944</v>
      </c>
    </row>
    <row r="586">
      <c r="E586" s="16" t="s">
        <v>11684</v>
      </c>
      <c r="F586" s="16" t="s">
        <v>944</v>
      </c>
      <c r="G586" s="16" t="s">
        <v>944</v>
      </c>
    </row>
    <row r="587">
      <c r="E587" s="16" t="s">
        <v>11684</v>
      </c>
      <c r="F587" s="16" t="s">
        <v>944</v>
      </c>
      <c r="G587" s="16" t="s">
        <v>944</v>
      </c>
    </row>
    <row r="588">
      <c r="E588" s="16" t="s">
        <v>11684</v>
      </c>
      <c r="F588" s="16" t="s">
        <v>944</v>
      </c>
      <c r="G588" s="16" t="s">
        <v>944</v>
      </c>
    </row>
    <row r="589">
      <c r="E589" s="16" t="s">
        <v>11684</v>
      </c>
      <c r="F589" s="16" t="s">
        <v>944</v>
      </c>
      <c r="G589" s="16" t="s">
        <v>944</v>
      </c>
    </row>
    <row r="590">
      <c r="E590" s="16" t="s">
        <v>11684</v>
      </c>
      <c r="F590" s="16" t="s">
        <v>944</v>
      </c>
      <c r="G590" s="16" t="s">
        <v>944</v>
      </c>
    </row>
    <row r="591">
      <c r="E591" s="16" t="s">
        <v>11684</v>
      </c>
      <c r="F591" s="16" t="s">
        <v>944</v>
      </c>
      <c r="G591" s="16" t="s">
        <v>944</v>
      </c>
    </row>
    <row r="592">
      <c r="E592" s="16" t="s">
        <v>11684</v>
      </c>
      <c r="F592" s="16" t="s">
        <v>944</v>
      </c>
      <c r="G592" s="16" t="s">
        <v>944</v>
      </c>
    </row>
    <row r="593">
      <c r="E593" s="16" t="s">
        <v>11684</v>
      </c>
      <c r="F593" s="16" t="s">
        <v>944</v>
      </c>
      <c r="G593" s="16" t="s">
        <v>944</v>
      </c>
    </row>
    <row r="594">
      <c r="E594" s="16" t="s">
        <v>11684</v>
      </c>
      <c r="F594" s="16" t="s">
        <v>944</v>
      </c>
      <c r="G594" s="16" t="s">
        <v>944</v>
      </c>
    </row>
    <row r="595">
      <c r="E595" s="16" t="s">
        <v>11684</v>
      </c>
      <c r="F595" s="16" t="s">
        <v>944</v>
      </c>
      <c r="G595" s="16" t="s">
        <v>944</v>
      </c>
    </row>
    <row r="596">
      <c r="E596" s="16" t="s">
        <v>11684</v>
      </c>
      <c r="F596" s="16" t="s">
        <v>944</v>
      </c>
      <c r="G596" s="16" t="s">
        <v>944</v>
      </c>
    </row>
    <row r="597">
      <c r="E597" s="16" t="s">
        <v>11684</v>
      </c>
      <c r="F597" s="16" t="s">
        <v>944</v>
      </c>
      <c r="G597" s="16" t="s">
        <v>944</v>
      </c>
    </row>
    <row r="598">
      <c r="E598" s="16" t="s">
        <v>11684</v>
      </c>
      <c r="F598" s="16" t="s">
        <v>944</v>
      </c>
      <c r="G598" s="16" t="s">
        <v>944</v>
      </c>
    </row>
    <row r="599">
      <c r="E599" s="16" t="s">
        <v>11684</v>
      </c>
      <c r="F599" s="16" t="s">
        <v>944</v>
      </c>
      <c r="G599" s="16" t="s">
        <v>944</v>
      </c>
    </row>
    <row r="600">
      <c r="E600" s="16" t="s">
        <v>11684</v>
      </c>
      <c r="F600" s="16" t="s">
        <v>944</v>
      </c>
      <c r="G600" s="16" t="s">
        <v>944</v>
      </c>
    </row>
    <row r="601">
      <c r="E601" s="16" t="s">
        <v>11684</v>
      </c>
      <c r="F601" s="16" t="s">
        <v>944</v>
      </c>
      <c r="G601" s="16" t="s">
        <v>944</v>
      </c>
    </row>
    <row r="602">
      <c r="E602" s="16" t="s">
        <v>11684</v>
      </c>
      <c r="F602" s="16" t="s">
        <v>944</v>
      </c>
      <c r="G602" s="16" t="s">
        <v>944</v>
      </c>
    </row>
    <row r="603">
      <c r="E603" s="16" t="s">
        <v>11684</v>
      </c>
      <c r="F603" s="16" t="s">
        <v>944</v>
      </c>
      <c r="G603" s="16" t="s">
        <v>944</v>
      </c>
    </row>
    <row r="604">
      <c r="E604" s="16" t="s">
        <v>11684</v>
      </c>
      <c r="F604" s="16" t="s">
        <v>944</v>
      </c>
      <c r="G604" s="16" t="s">
        <v>944</v>
      </c>
    </row>
    <row r="605">
      <c r="E605" s="16" t="s">
        <v>11684</v>
      </c>
      <c r="F605" s="16" t="s">
        <v>944</v>
      </c>
      <c r="G605" s="16" t="s">
        <v>944</v>
      </c>
    </row>
    <row r="606">
      <c r="E606" s="16" t="s">
        <v>11684</v>
      </c>
      <c r="F606" s="16" t="s">
        <v>944</v>
      </c>
      <c r="G606" s="16" t="s">
        <v>944</v>
      </c>
    </row>
    <row r="607">
      <c r="E607" s="16" t="s">
        <v>11684</v>
      </c>
      <c r="F607" s="16" t="s">
        <v>944</v>
      </c>
      <c r="G607" s="16" t="s">
        <v>944</v>
      </c>
    </row>
    <row r="608">
      <c r="E608" s="16" t="s">
        <v>11684</v>
      </c>
      <c r="F608" s="16" t="s">
        <v>944</v>
      </c>
      <c r="G608" s="16" t="s">
        <v>944</v>
      </c>
    </row>
    <row r="609">
      <c r="E609" s="16" t="s">
        <v>11684</v>
      </c>
      <c r="F609" s="16" t="s">
        <v>944</v>
      </c>
      <c r="G609" s="16" t="s">
        <v>944</v>
      </c>
    </row>
    <row r="610">
      <c r="E610" s="16" t="s">
        <v>11684</v>
      </c>
      <c r="F610" s="16" t="s">
        <v>944</v>
      </c>
      <c r="G610" s="16" t="s">
        <v>944</v>
      </c>
    </row>
    <row r="611">
      <c r="E611" s="16" t="s">
        <v>11684</v>
      </c>
      <c r="F611" s="16" t="s">
        <v>944</v>
      </c>
      <c r="G611" s="16" t="s">
        <v>944</v>
      </c>
    </row>
    <row r="612">
      <c r="E612" s="16" t="s">
        <v>11684</v>
      </c>
      <c r="F612" s="16" t="s">
        <v>944</v>
      </c>
      <c r="G612" s="16" t="s">
        <v>944</v>
      </c>
    </row>
    <row r="613">
      <c r="E613" s="16" t="s">
        <v>11684</v>
      </c>
      <c r="F613" s="16" t="s">
        <v>944</v>
      </c>
      <c r="G613" s="16" t="s">
        <v>944</v>
      </c>
    </row>
    <row r="614">
      <c r="E614" s="16" t="s">
        <v>11684</v>
      </c>
      <c r="F614" s="16" t="s">
        <v>944</v>
      </c>
      <c r="G614" s="16" t="s">
        <v>944</v>
      </c>
    </row>
    <row r="615">
      <c r="E615" s="16" t="s">
        <v>11684</v>
      </c>
      <c r="F615" s="16" t="s">
        <v>944</v>
      </c>
      <c r="G615" s="16" t="s">
        <v>944</v>
      </c>
    </row>
    <row r="616">
      <c r="E616" s="16" t="s">
        <v>11684</v>
      </c>
      <c r="F616" s="16" t="s">
        <v>944</v>
      </c>
      <c r="G616" s="16" t="s">
        <v>944</v>
      </c>
    </row>
    <row r="617">
      <c r="E617" s="16" t="s">
        <v>11684</v>
      </c>
      <c r="F617" s="16" t="s">
        <v>944</v>
      </c>
      <c r="G617" s="16" t="s">
        <v>944</v>
      </c>
    </row>
    <row r="618">
      <c r="E618" s="16" t="s">
        <v>11684</v>
      </c>
      <c r="F618" s="16" t="s">
        <v>944</v>
      </c>
      <c r="G618" s="16" t="s">
        <v>944</v>
      </c>
    </row>
    <row r="619">
      <c r="E619" s="16" t="s">
        <v>11684</v>
      </c>
      <c r="F619" s="16" t="s">
        <v>944</v>
      </c>
      <c r="G619" s="16" t="s">
        <v>944</v>
      </c>
    </row>
    <row r="620">
      <c r="E620" s="16" t="s">
        <v>11684</v>
      </c>
      <c r="F620" s="16" t="s">
        <v>944</v>
      </c>
      <c r="G620" s="16" t="s">
        <v>944</v>
      </c>
    </row>
    <row r="621">
      <c r="E621" s="16" t="s">
        <v>11684</v>
      </c>
      <c r="F621" s="16" t="s">
        <v>944</v>
      </c>
      <c r="G621" s="16" t="s">
        <v>944</v>
      </c>
    </row>
    <row r="622">
      <c r="E622" s="16" t="s">
        <v>11684</v>
      </c>
      <c r="F622" s="16" t="s">
        <v>944</v>
      </c>
      <c r="G622" s="16" t="s">
        <v>944</v>
      </c>
    </row>
    <row r="623">
      <c r="E623" s="16" t="s">
        <v>11684</v>
      </c>
      <c r="F623" s="16" t="s">
        <v>944</v>
      </c>
      <c r="G623" s="16" t="s">
        <v>944</v>
      </c>
    </row>
    <row r="624">
      <c r="E624" s="16" t="s">
        <v>11684</v>
      </c>
      <c r="F624" s="16" t="s">
        <v>944</v>
      </c>
      <c r="G624" s="16" t="s">
        <v>944</v>
      </c>
    </row>
    <row r="625">
      <c r="E625" s="16" t="s">
        <v>11684</v>
      </c>
      <c r="F625" s="16" t="s">
        <v>944</v>
      </c>
      <c r="G625" s="16" t="s">
        <v>944</v>
      </c>
    </row>
    <row r="626">
      <c r="E626" s="16" t="s">
        <v>11684</v>
      </c>
      <c r="F626" s="16" t="s">
        <v>944</v>
      </c>
      <c r="G626" s="16" t="s">
        <v>944</v>
      </c>
    </row>
    <row r="627">
      <c r="E627" s="16" t="s">
        <v>11684</v>
      </c>
      <c r="F627" s="16" t="s">
        <v>944</v>
      </c>
      <c r="G627" s="16" t="s">
        <v>944</v>
      </c>
    </row>
    <row r="628">
      <c r="E628" s="16" t="s">
        <v>11684</v>
      </c>
      <c r="F628" s="16" t="s">
        <v>944</v>
      </c>
      <c r="G628" s="16" t="s">
        <v>944</v>
      </c>
    </row>
    <row r="629">
      <c r="E629" s="16" t="s">
        <v>11684</v>
      </c>
      <c r="F629" s="16" t="s">
        <v>944</v>
      </c>
      <c r="G629" s="16" t="s">
        <v>944</v>
      </c>
    </row>
    <row r="630">
      <c r="E630" s="16" t="s">
        <v>11684</v>
      </c>
      <c r="F630" s="16" t="s">
        <v>944</v>
      </c>
      <c r="G630" s="16" t="s">
        <v>944</v>
      </c>
    </row>
    <row r="631">
      <c r="E631" s="16" t="s">
        <v>11684</v>
      </c>
      <c r="F631" s="16" t="s">
        <v>944</v>
      </c>
      <c r="G631" s="16" t="s">
        <v>944</v>
      </c>
    </row>
    <row r="632">
      <c r="E632" s="16" t="s">
        <v>11684</v>
      </c>
      <c r="F632" s="16" t="s">
        <v>944</v>
      </c>
      <c r="G632" s="16" t="s">
        <v>944</v>
      </c>
    </row>
    <row r="633">
      <c r="E633" s="16" t="s">
        <v>11684</v>
      </c>
      <c r="F633" s="16" t="s">
        <v>944</v>
      </c>
      <c r="G633" s="16" t="s">
        <v>944</v>
      </c>
    </row>
    <row r="634">
      <c r="E634" s="16" t="s">
        <v>11684</v>
      </c>
      <c r="F634" s="16" t="s">
        <v>944</v>
      </c>
      <c r="G634" s="16" t="s">
        <v>944</v>
      </c>
    </row>
    <row r="635">
      <c r="E635" s="16" t="s">
        <v>11684</v>
      </c>
      <c r="F635" s="16" t="s">
        <v>944</v>
      </c>
      <c r="G635" s="16" t="s">
        <v>944</v>
      </c>
    </row>
    <row r="636">
      <c r="E636" s="16" t="s">
        <v>11684</v>
      </c>
      <c r="F636" s="16" t="s">
        <v>944</v>
      </c>
      <c r="G636" s="16" t="s">
        <v>944</v>
      </c>
    </row>
    <row r="637">
      <c r="E637" s="16" t="s">
        <v>11684</v>
      </c>
      <c r="F637" s="16" t="s">
        <v>944</v>
      </c>
      <c r="G637" s="16" t="s">
        <v>944</v>
      </c>
    </row>
    <row r="638">
      <c r="E638" s="16" t="s">
        <v>11684</v>
      </c>
      <c r="F638" s="16" t="s">
        <v>944</v>
      </c>
      <c r="G638" s="16" t="s">
        <v>944</v>
      </c>
    </row>
    <row r="639">
      <c r="E639" s="16" t="s">
        <v>11684</v>
      </c>
      <c r="F639" s="16" t="s">
        <v>944</v>
      </c>
      <c r="G639" s="16" t="s">
        <v>944</v>
      </c>
    </row>
    <row r="640">
      <c r="E640" s="16" t="s">
        <v>11684</v>
      </c>
      <c r="F640" s="16" t="s">
        <v>944</v>
      </c>
      <c r="G640" s="16" t="s">
        <v>944</v>
      </c>
    </row>
    <row r="641">
      <c r="E641" s="16" t="s">
        <v>11684</v>
      </c>
      <c r="F641" s="16" t="s">
        <v>944</v>
      </c>
      <c r="G641" s="16" t="s">
        <v>944</v>
      </c>
    </row>
    <row r="642">
      <c r="E642" s="16" t="s">
        <v>11684</v>
      </c>
      <c r="F642" s="16" t="s">
        <v>944</v>
      </c>
      <c r="G642" s="16" t="s">
        <v>944</v>
      </c>
    </row>
    <row r="643">
      <c r="E643" s="16" t="s">
        <v>11684</v>
      </c>
      <c r="F643" s="16" t="s">
        <v>944</v>
      </c>
      <c r="G643" s="16" t="s">
        <v>944</v>
      </c>
    </row>
    <row r="644">
      <c r="E644" s="16" t="s">
        <v>11684</v>
      </c>
      <c r="F644" s="16" t="s">
        <v>944</v>
      </c>
      <c r="G644" s="16" t="s">
        <v>944</v>
      </c>
    </row>
    <row r="645">
      <c r="E645" s="16" t="s">
        <v>11684</v>
      </c>
      <c r="F645" s="16" t="s">
        <v>944</v>
      </c>
      <c r="G645" s="16" t="s">
        <v>944</v>
      </c>
    </row>
    <row r="646">
      <c r="E646" s="16" t="s">
        <v>11684</v>
      </c>
      <c r="F646" s="16" t="s">
        <v>944</v>
      </c>
      <c r="G646" s="16" t="s">
        <v>944</v>
      </c>
    </row>
    <row r="647">
      <c r="E647" s="16" t="s">
        <v>11684</v>
      </c>
      <c r="F647" s="16" t="s">
        <v>944</v>
      </c>
      <c r="G647" s="16" t="s">
        <v>944</v>
      </c>
    </row>
    <row r="648">
      <c r="E648" s="16" t="s">
        <v>11684</v>
      </c>
      <c r="F648" s="16" t="s">
        <v>944</v>
      </c>
      <c r="G648" s="16" t="s">
        <v>944</v>
      </c>
    </row>
    <row r="649">
      <c r="E649" s="16" t="s">
        <v>11684</v>
      </c>
      <c r="F649" s="16" t="s">
        <v>944</v>
      </c>
      <c r="G649" s="16" t="s">
        <v>944</v>
      </c>
    </row>
    <row r="650">
      <c r="E650" s="16" t="s">
        <v>11684</v>
      </c>
      <c r="F650" s="16" t="s">
        <v>944</v>
      </c>
      <c r="G650" s="16" t="s">
        <v>944</v>
      </c>
    </row>
    <row r="651">
      <c r="E651" s="16" t="s">
        <v>11684</v>
      </c>
      <c r="F651" s="16" t="s">
        <v>944</v>
      </c>
      <c r="G651" s="16" t="s">
        <v>944</v>
      </c>
    </row>
    <row r="652">
      <c r="E652" s="16" t="s">
        <v>11684</v>
      </c>
      <c r="F652" s="16" t="s">
        <v>944</v>
      </c>
      <c r="G652" s="16" t="s">
        <v>944</v>
      </c>
    </row>
    <row r="653">
      <c r="E653" s="16" t="s">
        <v>11684</v>
      </c>
      <c r="F653" s="16" t="s">
        <v>944</v>
      </c>
      <c r="G653" s="16" t="s">
        <v>944</v>
      </c>
    </row>
    <row r="654">
      <c r="E654" s="16" t="s">
        <v>11684</v>
      </c>
      <c r="F654" s="16" t="s">
        <v>944</v>
      </c>
      <c r="G654" s="16" t="s">
        <v>944</v>
      </c>
    </row>
    <row r="655">
      <c r="E655" s="16" t="s">
        <v>11684</v>
      </c>
      <c r="F655" s="16" t="s">
        <v>944</v>
      </c>
      <c r="G655" s="16" t="s">
        <v>944</v>
      </c>
    </row>
    <row r="656">
      <c r="E656" s="16" t="s">
        <v>11684</v>
      </c>
      <c r="F656" s="16" t="s">
        <v>944</v>
      </c>
      <c r="G656" s="16" t="s">
        <v>944</v>
      </c>
    </row>
    <row r="657">
      <c r="E657" s="16" t="s">
        <v>11684</v>
      </c>
      <c r="F657" s="16" t="s">
        <v>944</v>
      </c>
      <c r="G657" s="16" t="s">
        <v>944</v>
      </c>
    </row>
    <row r="658">
      <c r="E658" s="16" t="s">
        <v>11684</v>
      </c>
      <c r="F658" s="16" t="s">
        <v>944</v>
      </c>
      <c r="G658" s="16" t="s">
        <v>944</v>
      </c>
    </row>
    <row r="659">
      <c r="E659" s="16" t="s">
        <v>11684</v>
      </c>
      <c r="F659" s="16" t="s">
        <v>944</v>
      </c>
      <c r="G659" s="16" t="s">
        <v>944</v>
      </c>
    </row>
    <row r="660">
      <c r="E660" s="16" t="s">
        <v>11684</v>
      </c>
      <c r="F660" s="16" t="s">
        <v>944</v>
      </c>
      <c r="G660" s="16" t="s">
        <v>944</v>
      </c>
    </row>
    <row r="661">
      <c r="E661" s="16" t="s">
        <v>11684</v>
      </c>
      <c r="F661" s="16" t="s">
        <v>944</v>
      </c>
      <c r="G661" s="16" t="s">
        <v>944</v>
      </c>
    </row>
    <row r="662">
      <c r="E662" s="16" t="s">
        <v>11684</v>
      </c>
      <c r="F662" s="16" t="s">
        <v>944</v>
      </c>
      <c r="G662" s="16" t="s">
        <v>944</v>
      </c>
    </row>
    <row r="663">
      <c r="E663" s="16" t="s">
        <v>11684</v>
      </c>
      <c r="F663" s="16" t="s">
        <v>944</v>
      </c>
      <c r="G663" s="16" t="s">
        <v>944</v>
      </c>
    </row>
    <row r="664">
      <c r="E664" s="16" t="s">
        <v>11684</v>
      </c>
      <c r="F664" s="16" t="s">
        <v>944</v>
      </c>
      <c r="G664" s="16" t="s">
        <v>944</v>
      </c>
    </row>
    <row r="665">
      <c r="E665" s="16" t="s">
        <v>11684</v>
      </c>
      <c r="F665" s="16" t="s">
        <v>944</v>
      </c>
      <c r="G665" s="16" t="s">
        <v>944</v>
      </c>
    </row>
    <row r="666">
      <c r="E666" s="16" t="s">
        <v>11684</v>
      </c>
      <c r="F666" s="16" t="s">
        <v>944</v>
      </c>
      <c r="G666" s="16" t="s">
        <v>944</v>
      </c>
    </row>
    <row r="667">
      <c r="E667" s="16" t="s">
        <v>11684</v>
      </c>
      <c r="F667" s="16" t="s">
        <v>944</v>
      </c>
      <c r="G667" s="16" t="s">
        <v>944</v>
      </c>
    </row>
    <row r="668">
      <c r="E668" s="16" t="s">
        <v>11684</v>
      </c>
      <c r="F668" s="16" t="s">
        <v>944</v>
      </c>
      <c r="G668" s="16" t="s">
        <v>944</v>
      </c>
    </row>
    <row r="669">
      <c r="E669" s="16" t="s">
        <v>11684</v>
      </c>
      <c r="F669" s="16" t="s">
        <v>944</v>
      </c>
      <c r="G669" s="16" t="s">
        <v>944</v>
      </c>
    </row>
    <row r="670">
      <c r="E670" s="16" t="s">
        <v>11684</v>
      </c>
      <c r="F670" s="16" t="s">
        <v>944</v>
      </c>
      <c r="G670" s="16" t="s">
        <v>944</v>
      </c>
    </row>
    <row r="671">
      <c r="E671" s="16" t="s">
        <v>11684</v>
      </c>
      <c r="F671" s="16" t="s">
        <v>944</v>
      </c>
      <c r="G671" s="16" t="s">
        <v>944</v>
      </c>
    </row>
    <row r="672">
      <c r="E672" s="16" t="s">
        <v>11684</v>
      </c>
      <c r="F672" s="16" t="s">
        <v>944</v>
      </c>
      <c r="G672" s="16" t="s">
        <v>944</v>
      </c>
    </row>
    <row r="673">
      <c r="E673" s="16" t="s">
        <v>11684</v>
      </c>
      <c r="F673" s="16" t="s">
        <v>944</v>
      </c>
      <c r="G673" s="16" t="s">
        <v>944</v>
      </c>
    </row>
    <row r="674">
      <c r="E674" s="16" t="s">
        <v>11684</v>
      </c>
      <c r="F674" s="16" t="s">
        <v>944</v>
      </c>
      <c r="G674" s="16" t="s">
        <v>944</v>
      </c>
    </row>
    <row r="675">
      <c r="E675" s="16" t="s">
        <v>11684</v>
      </c>
      <c r="F675" s="16" t="s">
        <v>944</v>
      </c>
      <c r="G675" s="16" t="s">
        <v>944</v>
      </c>
    </row>
    <row r="676">
      <c r="E676" s="16" t="s">
        <v>11684</v>
      </c>
      <c r="F676" s="16" t="s">
        <v>944</v>
      </c>
      <c r="G676" s="16" t="s">
        <v>944</v>
      </c>
    </row>
    <row r="677">
      <c r="E677" s="16" t="s">
        <v>11684</v>
      </c>
      <c r="F677" s="16" t="s">
        <v>944</v>
      </c>
      <c r="G677" s="16" t="s">
        <v>944</v>
      </c>
    </row>
    <row r="678">
      <c r="E678" s="16" t="s">
        <v>11684</v>
      </c>
      <c r="F678" s="16" t="s">
        <v>944</v>
      </c>
      <c r="G678" s="16" t="s">
        <v>944</v>
      </c>
    </row>
    <row r="679">
      <c r="E679" s="16" t="s">
        <v>11684</v>
      </c>
      <c r="F679" s="16" t="s">
        <v>944</v>
      </c>
      <c r="G679" s="16" t="s">
        <v>944</v>
      </c>
    </row>
    <row r="680">
      <c r="E680" s="16" t="s">
        <v>11684</v>
      </c>
      <c r="F680" s="16" t="s">
        <v>944</v>
      </c>
      <c r="G680" s="16" t="s">
        <v>944</v>
      </c>
    </row>
    <row r="681">
      <c r="E681" s="16" t="s">
        <v>11684</v>
      </c>
      <c r="F681" s="16" t="s">
        <v>944</v>
      </c>
      <c r="G681" s="16" t="s">
        <v>944</v>
      </c>
    </row>
    <row r="682">
      <c r="E682" s="16" t="s">
        <v>11684</v>
      </c>
      <c r="F682" s="16" t="s">
        <v>944</v>
      </c>
      <c r="G682" s="16" t="s">
        <v>944</v>
      </c>
    </row>
    <row r="683">
      <c r="E683" s="16" t="s">
        <v>11684</v>
      </c>
      <c r="F683" s="16" t="s">
        <v>944</v>
      </c>
      <c r="G683" s="16" t="s">
        <v>944</v>
      </c>
    </row>
    <row r="684">
      <c r="E684" s="16" t="s">
        <v>11684</v>
      </c>
      <c r="F684" s="16" t="s">
        <v>944</v>
      </c>
      <c r="G684" s="16" t="s">
        <v>944</v>
      </c>
    </row>
    <row r="685">
      <c r="E685" s="16" t="s">
        <v>11684</v>
      </c>
      <c r="F685" s="16" t="s">
        <v>944</v>
      </c>
      <c r="G685" s="16" t="s">
        <v>944</v>
      </c>
    </row>
    <row r="686">
      <c r="E686" s="16" t="s">
        <v>11684</v>
      </c>
      <c r="F686" s="16" t="s">
        <v>944</v>
      </c>
      <c r="G686" s="16" t="s">
        <v>944</v>
      </c>
    </row>
    <row r="687">
      <c r="E687" s="16" t="s">
        <v>11684</v>
      </c>
      <c r="F687" s="16" t="s">
        <v>944</v>
      </c>
      <c r="G687" s="16" t="s">
        <v>944</v>
      </c>
    </row>
    <row r="688">
      <c r="E688" s="16" t="s">
        <v>11684</v>
      </c>
      <c r="F688" s="16" t="s">
        <v>944</v>
      </c>
      <c r="G688" s="16" t="s">
        <v>944</v>
      </c>
    </row>
    <row r="689">
      <c r="E689" s="16" t="s">
        <v>11684</v>
      </c>
      <c r="F689" s="16" t="s">
        <v>944</v>
      </c>
      <c r="G689" s="16" t="s">
        <v>944</v>
      </c>
    </row>
    <row r="690">
      <c r="E690" s="16" t="s">
        <v>11684</v>
      </c>
      <c r="F690" s="16" t="s">
        <v>944</v>
      </c>
      <c r="G690" s="16" t="s">
        <v>944</v>
      </c>
    </row>
    <row r="691">
      <c r="E691" s="16" t="s">
        <v>11684</v>
      </c>
      <c r="F691" s="16" t="s">
        <v>944</v>
      </c>
      <c r="G691" s="16" t="s">
        <v>944</v>
      </c>
    </row>
    <row r="692">
      <c r="E692" s="16" t="s">
        <v>11684</v>
      </c>
      <c r="F692" s="16" t="s">
        <v>944</v>
      </c>
      <c r="G692" s="16" t="s">
        <v>944</v>
      </c>
    </row>
    <row r="693">
      <c r="E693" s="16" t="s">
        <v>11684</v>
      </c>
      <c r="F693" s="16" t="s">
        <v>944</v>
      </c>
      <c r="G693" s="16" t="s">
        <v>944</v>
      </c>
    </row>
    <row r="694">
      <c r="E694" s="16" t="s">
        <v>11684</v>
      </c>
      <c r="F694" s="16" t="s">
        <v>944</v>
      </c>
      <c r="G694" s="16" t="s">
        <v>944</v>
      </c>
    </row>
    <row r="695">
      <c r="E695" s="16" t="s">
        <v>11684</v>
      </c>
      <c r="F695" s="16" t="s">
        <v>944</v>
      </c>
      <c r="G695" s="16" t="s">
        <v>944</v>
      </c>
    </row>
    <row r="696">
      <c r="E696" s="16" t="s">
        <v>11684</v>
      </c>
      <c r="F696" s="16" t="s">
        <v>944</v>
      </c>
      <c r="G696" s="16" t="s">
        <v>944</v>
      </c>
    </row>
    <row r="697">
      <c r="E697" s="16" t="s">
        <v>11684</v>
      </c>
      <c r="F697" s="16" t="s">
        <v>944</v>
      </c>
      <c r="G697" s="16" t="s">
        <v>944</v>
      </c>
    </row>
    <row r="698">
      <c r="E698" s="16" t="s">
        <v>11684</v>
      </c>
      <c r="F698" s="16" t="s">
        <v>944</v>
      </c>
      <c r="G698" s="16" t="s">
        <v>944</v>
      </c>
    </row>
    <row r="699">
      <c r="E699" s="16" t="s">
        <v>11684</v>
      </c>
      <c r="F699" s="16" t="s">
        <v>944</v>
      </c>
      <c r="G699" s="16" t="s">
        <v>944</v>
      </c>
    </row>
    <row r="700">
      <c r="E700" s="16" t="s">
        <v>11684</v>
      </c>
      <c r="F700" s="16" t="s">
        <v>944</v>
      </c>
      <c r="G700" s="16" t="s">
        <v>944</v>
      </c>
    </row>
    <row r="701">
      <c r="E701" s="16" t="s">
        <v>11684</v>
      </c>
      <c r="F701" s="16" t="s">
        <v>944</v>
      </c>
      <c r="G701" s="16" t="s">
        <v>944</v>
      </c>
    </row>
    <row r="702">
      <c r="E702" s="16" t="s">
        <v>11684</v>
      </c>
      <c r="F702" s="16" t="s">
        <v>944</v>
      </c>
      <c r="G702" s="16" t="s">
        <v>944</v>
      </c>
    </row>
    <row r="703">
      <c r="E703" s="16" t="s">
        <v>11684</v>
      </c>
      <c r="F703" s="16" t="s">
        <v>944</v>
      </c>
      <c r="G703" s="16" t="s">
        <v>944</v>
      </c>
    </row>
    <row r="704">
      <c r="E704" s="16" t="s">
        <v>11684</v>
      </c>
      <c r="F704" s="16" t="s">
        <v>944</v>
      </c>
      <c r="G704" s="16" t="s">
        <v>944</v>
      </c>
    </row>
    <row r="705">
      <c r="E705" s="16" t="s">
        <v>11684</v>
      </c>
      <c r="F705" s="16" t="s">
        <v>944</v>
      </c>
      <c r="G705" s="16" t="s">
        <v>944</v>
      </c>
    </row>
    <row r="706">
      <c r="E706" s="16" t="s">
        <v>11684</v>
      </c>
      <c r="F706" s="16" t="s">
        <v>944</v>
      </c>
      <c r="G706" s="16" t="s">
        <v>944</v>
      </c>
    </row>
    <row r="707">
      <c r="E707" s="16" t="s">
        <v>11684</v>
      </c>
      <c r="F707" s="16" t="s">
        <v>944</v>
      </c>
      <c r="G707" s="16" t="s">
        <v>944</v>
      </c>
    </row>
    <row r="708">
      <c r="E708" s="16" t="s">
        <v>11684</v>
      </c>
      <c r="F708" s="16" t="s">
        <v>944</v>
      </c>
      <c r="G708" s="16" t="s">
        <v>944</v>
      </c>
    </row>
    <row r="709">
      <c r="E709" s="16" t="s">
        <v>11684</v>
      </c>
      <c r="F709" s="16" t="s">
        <v>944</v>
      </c>
      <c r="G709" s="16" t="s">
        <v>944</v>
      </c>
    </row>
    <row r="710">
      <c r="E710" s="16" t="s">
        <v>11684</v>
      </c>
      <c r="F710" s="16" t="s">
        <v>944</v>
      </c>
      <c r="G710" s="16" t="s">
        <v>944</v>
      </c>
    </row>
    <row r="711">
      <c r="E711" s="16" t="s">
        <v>11684</v>
      </c>
      <c r="F711" s="16" t="s">
        <v>944</v>
      </c>
      <c r="G711" s="16" t="s">
        <v>944</v>
      </c>
    </row>
    <row r="712">
      <c r="E712" s="16" t="s">
        <v>11684</v>
      </c>
      <c r="F712" s="16" t="s">
        <v>944</v>
      </c>
      <c r="G712" s="16" t="s">
        <v>944</v>
      </c>
    </row>
    <row r="713">
      <c r="E713" s="16" t="s">
        <v>11684</v>
      </c>
      <c r="F713" s="16" t="s">
        <v>944</v>
      </c>
      <c r="G713" s="16" t="s">
        <v>944</v>
      </c>
    </row>
    <row r="714">
      <c r="E714" s="16" t="s">
        <v>11684</v>
      </c>
      <c r="F714" s="16" t="s">
        <v>944</v>
      </c>
      <c r="G714" s="16" t="s">
        <v>944</v>
      </c>
    </row>
    <row r="715">
      <c r="E715" s="16" t="s">
        <v>11684</v>
      </c>
      <c r="F715" s="16" t="s">
        <v>944</v>
      </c>
      <c r="G715" s="16" t="s">
        <v>944</v>
      </c>
    </row>
    <row r="716">
      <c r="E716" s="16" t="s">
        <v>11684</v>
      </c>
      <c r="F716" s="16" t="s">
        <v>944</v>
      </c>
      <c r="G716" s="16" t="s">
        <v>944</v>
      </c>
    </row>
    <row r="717">
      <c r="E717" s="16" t="s">
        <v>11684</v>
      </c>
      <c r="F717" s="16" t="s">
        <v>944</v>
      </c>
      <c r="G717" s="16" t="s">
        <v>944</v>
      </c>
    </row>
    <row r="718">
      <c r="E718" s="16" t="s">
        <v>11684</v>
      </c>
      <c r="F718" s="16" t="s">
        <v>944</v>
      </c>
      <c r="G718" s="16" t="s">
        <v>944</v>
      </c>
    </row>
    <row r="719">
      <c r="E719" s="16" t="s">
        <v>11684</v>
      </c>
      <c r="F719" s="16" t="s">
        <v>944</v>
      </c>
      <c r="G719" s="16" t="s">
        <v>944</v>
      </c>
    </row>
    <row r="720">
      <c r="E720" s="16" t="s">
        <v>11684</v>
      </c>
      <c r="F720" s="16" t="s">
        <v>944</v>
      </c>
      <c r="G720" s="16" t="s">
        <v>944</v>
      </c>
    </row>
    <row r="721">
      <c r="E721" s="16" t="s">
        <v>11684</v>
      </c>
      <c r="F721" s="16" t="s">
        <v>944</v>
      </c>
      <c r="G721" s="16" t="s">
        <v>944</v>
      </c>
    </row>
    <row r="722">
      <c r="E722" s="16" t="s">
        <v>11684</v>
      </c>
      <c r="F722" s="16" t="s">
        <v>944</v>
      </c>
      <c r="G722" s="16" t="s">
        <v>944</v>
      </c>
    </row>
    <row r="723">
      <c r="E723" s="16" t="s">
        <v>11684</v>
      </c>
      <c r="F723" s="16" t="s">
        <v>944</v>
      </c>
      <c r="G723" s="16" t="s">
        <v>944</v>
      </c>
    </row>
    <row r="724">
      <c r="E724" s="16" t="s">
        <v>11684</v>
      </c>
      <c r="F724" s="16" t="s">
        <v>944</v>
      </c>
      <c r="G724" s="16" t="s">
        <v>944</v>
      </c>
    </row>
    <row r="725">
      <c r="E725" s="16" t="s">
        <v>11684</v>
      </c>
      <c r="F725" s="16" t="s">
        <v>944</v>
      </c>
      <c r="G725" s="16" t="s">
        <v>944</v>
      </c>
    </row>
    <row r="726">
      <c r="E726" s="16" t="s">
        <v>11684</v>
      </c>
      <c r="F726" s="16" t="s">
        <v>944</v>
      </c>
      <c r="G726" s="16" t="s">
        <v>944</v>
      </c>
    </row>
    <row r="727">
      <c r="E727" s="16" t="s">
        <v>11684</v>
      </c>
      <c r="F727" s="16" t="s">
        <v>944</v>
      </c>
      <c r="G727" s="16" t="s">
        <v>944</v>
      </c>
    </row>
    <row r="728">
      <c r="E728" s="16" t="s">
        <v>11684</v>
      </c>
      <c r="F728" s="16" t="s">
        <v>944</v>
      </c>
      <c r="G728" s="16" t="s">
        <v>944</v>
      </c>
    </row>
    <row r="729">
      <c r="E729" s="16" t="s">
        <v>11684</v>
      </c>
      <c r="F729" s="16" t="s">
        <v>944</v>
      </c>
      <c r="G729" s="16" t="s">
        <v>944</v>
      </c>
    </row>
    <row r="730">
      <c r="E730" s="16" t="s">
        <v>11684</v>
      </c>
      <c r="F730" s="16" t="s">
        <v>944</v>
      </c>
      <c r="G730" s="16" t="s">
        <v>944</v>
      </c>
    </row>
    <row r="731">
      <c r="E731" s="16" t="s">
        <v>11684</v>
      </c>
      <c r="F731" s="16" t="s">
        <v>944</v>
      </c>
      <c r="G731" s="16" t="s">
        <v>944</v>
      </c>
    </row>
    <row r="732">
      <c r="E732" s="16" t="s">
        <v>11684</v>
      </c>
      <c r="F732" s="16" t="s">
        <v>944</v>
      </c>
      <c r="G732" s="16" t="s">
        <v>944</v>
      </c>
    </row>
    <row r="733">
      <c r="E733" s="16" t="s">
        <v>11684</v>
      </c>
      <c r="F733" s="16" t="s">
        <v>944</v>
      </c>
      <c r="G733" s="16" t="s">
        <v>944</v>
      </c>
    </row>
    <row r="734">
      <c r="E734" s="16" t="s">
        <v>11684</v>
      </c>
      <c r="F734" s="16" t="s">
        <v>944</v>
      </c>
      <c r="G734" s="16" t="s">
        <v>944</v>
      </c>
    </row>
    <row r="735">
      <c r="E735" s="16" t="s">
        <v>11684</v>
      </c>
      <c r="F735" s="16" t="s">
        <v>944</v>
      </c>
      <c r="G735" s="16" t="s">
        <v>944</v>
      </c>
    </row>
    <row r="736">
      <c r="E736" s="16" t="s">
        <v>11684</v>
      </c>
      <c r="F736" s="16" t="s">
        <v>944</v>
      </c>
      <c r="G736" s="16" t="s">
        <v>944</v>
      </c>
    </row>
    <row r="737">
      <c r="E737" s="16" t="s">
        <v>11684</v>
      </c>
      <c r="F737" s="16" t="s">
        <v>944</v>
      </c>
      <c r="G737" s="16" t="s">
        <v>944</v>
      </c>
    </row>
    <row r="738">
      <c r="E738" s="16" t="s">
        <v>11684</v>
      </c>
      <c r="F738" s="16" t="s">
        <v>944</v>
      </c>
      <c r="G738" s="16" t="s">
        <v>944</v>
      </c>
    </row>
    <row r="739">
      <c r="E739" s="16" t="s">
        <v>11684</v>
      </c>
      <c r="F739" s="16" t="s">
        <v>944</v>
      </c>
      <c r="G739" s="16" t="s">
        <v>944</v>
      </c>
    </row>
    <row r="740">
      <c r="E740" s="16" t="s">
        <v>11684</v>
      </c>
      <c r="F740" s="16" t="s">
        <v>944</v>
      </c>
      <c r="G740" s="16" t="s">
        <v>944</v>
      </c>
    </row>
    <row r="741">
      <c r="E741" s="16" t="s">
        <v>11684</v>
      </c>
      <c r="F741" s="16" t="s">
        <v>944</v>
      </c>
      <c r="G741" s="16" t="s">
        <v>944</v>
      </c>
    </row>
    <row r="742">
      <c r="E742" s="16" t="s">
        <v>11684</v>
      </c>
      <c r="F742" s="16" t="s">
        <v>944</v>
      </c>
      <c r="G742" s="16" t="s">
        <v>944</v>
      </c>
    </row>
    <row r="743">
      <c r="E743" s="16" t="s">
        <v>11684</v>
      </c>
      <c r="F743" s="16" t="s">
        <v>944</v>
      </c>
      <c r="G743" s="16" t="s">
        <v>944</v>
      </c>
    </row>
    <row r="744">
      <c r="E744" s="16" t="s">
        <v>11684</v>
      </c>
      <c r="F744" s="16" t="s">
        <v>944</v>
      </c>
      <c r="G744" s="16" t="s">
        <v>944</v>
      </c>
    </row>
    <row r="745">
      <c r="E745" s="16" t="s">
        <v>11684</v>
      </c>
      <c r="F745" s="16" t="s">
        <v>944</v>
      </c>
      <c r="G745" s="16" t="s">
        <v>944</v>
      </c>
    </row>
    <row r="746">
      <c r="E746" s="16" t="s">
        <v>11684</v>
      </c>
      <c r="F746" s="16" t="s">
        <v>944</v>
      </c>
      <c r="G746" s="16" t="s">
        <v>944</v>
      </c>
    </row>
    <row r="747">
      <c r="E747" s="16" t="s">
        <v>11684</v>
      </c>
      <c r="F747" s="16" t="s">
        <v>944</v>
      </c>
      <c r="G747" s="16" t="s">
        <v>944</v>
      </c>
    </row>
    <row r="748">
      <c r="E748" s="16" t="s">
        <v>11684</v>
      </c>
      <c r="F748" s="16" t="s">
        <v>944</v>
      </c>
      <c r="G748" s="16" t="s">
        <v>944</v>
      </c>
    </row>
    <row r="749">
      <c r="E749" s="16" t="s">
        <v>11684</v>
      </c>
      <c r="F749" s="16" t="s">
        <v>944</v>
      </c>
      <c r="G749" s="16" t="s">
        <v>944</v>
      </c>
    </row>
    <row r="750">
      <c r="E750" s="16" t="s">
        <v>11684</v>
      </c>
      <c r="F750" s="16" t="s">
        <v>944</v>
      </c>
      <c r="G750" s="16" t="s">
        <v>944</v>
      </c>
    </row>
    <row r="751">
      <c r="E751" s="16" t="s">
        <v>11684</v>
      </c>
      <c r="F751" s="16" t="s">
        <v>944</v>
      </c>
      <c r="G751" s="16" t="s">
        <v>944</v>
      </c>
    </row>
    <row r="752">
      <c r="E752" s="16" t="s">
        <v>11684</v>
      </c>
      <c r="F752" s="16" t="s">
        <v>944</v>
      </c>
      <c r="G752" s="16" t="s">
        <v>944</v>
      </c>
    </row>
    <row r="753">
      <c r="E753" s="16" t="s">
        <v>11684</v>
      </c>
      <c r="F753" s="16" t="s">
        <v>944</v>
      </c>
      <c r="G753" s="16" t="s">
        <v>944</v>
      </c>
    </row>
    <row r="754">
      <c r="E754" s="16" t="s">
        <v>11684</v>
      </c>
      <c r="F754" s="16" t="s">
        <v>944</v>
      </c>
      <c r="G754" s="16" t="s">
        <v>944</v>
      </c>
    </row>
    <row r="755">
      <c r="E755" s="16" t="s">
        <v>11684</v>
      </c>
      <c r="F755" s="16" t="s">
        <v>944</v>
      </c>
      <c r="G755" s="16" t="s">
        <v>944</v>
      </c>
    </row>
    <row r="756">
      <c r="E756" s="16" t="s">
        <v>11684</v>
      </c>
      <c r="F756" s="16" t="s">
        <v>944</v>
      </c>
      <c r="G756" s="16" t="s">
        <v>944</v>
      </c>
    </row>
    <row r="757">
      <c r="E757" s="16" t="s">
        <v>11684</v>
      </c>
      <c r="F757" s="16" t="s">
        <v>944</v>
      </c>
      <c r="G757" s="16" t="s">
        <v>944</v>
      </c>
    </row>
    <row r="758">
      <c r="E758" s="16" t="s">
        <v>11684</v>
      </c>
      <c r="F758" s="16" t="s">
        <v>944</v>
      </c>
      <c r="G758" s="16" t="s">
        <v>944</v>
      </c>
    </row>
    <row r="759">
      <c r="E759" s="16" t="s">
        <v>11684</v>
      </c>
      <c r="F759" s="16" t="s">
        <v>944</v>
      </c>
      <c r="G759" s="16" t="s">
        <v>944</v>
      </c>
    </row>
    <row r="760">
      <c r="E760" s="16" t="s">
        <v>11684</v>
      </c>
      <c r="F760" s="16" t="s">
        <v>944</v>
      </c>
      <c r="G760" s="16" t="s">
        <v>944</v>
      </c>
    </row>
    <row r="761">
      <c r="E761" s="16" t="s">
        <v>11684</v>
      </c>
      <c r="F761" s="16" t="s">
        <v>944</v>
      </c>
      <c r="G761" s="16" t="s">
        <v>944</v>
      </c>
    </row>
    <row r="762">
      <c r="E762" s="16" t="s">
        <v>11684</v>
      </c>
      <c r="F762" s="16" t="s">
        <v>944</v>
      </c>
      <c r="G762" s="16" t="s">
        <v>944</v>
      </c>
    </row>
    <row r="763">
      <c r="E763" s="16" t="s">
        <v>11684</v>
      </c>
      <c r="F763" s="16" t="s">
        <v>944</v>
      </c>
      <c r="G763" s="16" t="s">
        <v>944</v>
      </c>
    </row>
    <row r="764">
      <c r="E764" s="16" t="s">
        <v>11684</v>
      </c>
      <c r="F764" s="16" t="s">
        <v>944</v>
      </c>
      <c r="G764" s="16" t="s">
        <v>944</v>
      </c>
    </row>
    <row r="765">
      <c r="E765" s="16" t="s">
        <v>11684</v>
      </c>
      <c r="F765" s="16" t="s">
        <v>944</v>
      </c>
      <c r="G765" s="16" t="s">
        <v>944</v>
      </c>
    </row>
    <row r="766">
      <c r="E766" s="16" t="s">
        <v>11684</v>
      </c>
      <c r="F766" s="16" t="s">
        <v>944</v>
      </c>
      <c r="G766" s="16" t="s">
        <v>944</v>
      </c>
    </row>
    <row r="767">
      <c r="E767" s="16" t="s">
        <v>11684</v>
      </c>
      <c r="F767" s="16" t="s">
        <v>944</v>
      </c>
      <c r="G767" s="16" t="s">
        <v>944</v>
      </c>
    </row>
    <row r="768">
      <c r="E768" s="16" t="s">
        <v>11684</v>
      </c>
      <c r="F768" s="16" t="s">
        <v>944</v>
      </c>
      <c r="G768" s="16" t="s">
        <v>944</v>
      </c>
    </row>
    <row r="769">
      <c r="E769" s="16" t="s">
        <v>11684</v>
      </c>
      <c r="F769" s="16" t="s">
        <v>944</v>
      </c>
      <c r="G769" s="16" t="s">
        <v>944</v>
      </c>
    </row>
    <row r="770">
      <c r="E770" s="16" t="s">
        <v>11684</v>
      </c>
      <c r="F770" s="16" t="s">
        <v>944</v>
      </c>
      <c r="G770" s="16" t="s">
        <v>944</v>
      </c>
    </row>
    <row r="771">
      <c r="E771" s="16" t="s">
        <v>11684</v>
      </c>
      <c r="F771" s="16" t="s">
        <v>944</v>
      </c>
      <c r="G771" s="16" t="s">
        <v>944</v>
      </c>
    </row>
    <row r="772">
      <c r="E772" s="16" t="s">
        <v>11684</v>
      </c>
      <c r="F772" s="16" t="s">
        <v>944</v>
      </c>
      <c r="G772" s="16" t="s">
        <v>944</v>
      </c>
    </row>
    <row r="773">
      <c r="E773" s="16" t="s">
        <v>11684</v>
      </c>
      <c r="F773" s="16" t="s">
        <v>944</v>
      </c>
      <c r="G773" s="16" t="s">
        <v>944</v>
      </c>
    </row>
    <row r="774">
      <c r="E774" s="16" t="s">
        <v>11684</v>
      </c>
      <c r="F774" s="16" t="s">
        <v>944</v>
      </c>
      <c r="G774" s="16" t="s">
        <v>944</v>
      </c>
    </row>
    <row r="775">
      <c r="E775" s="16" t="s">
        <v>11684</v>
      </c>
      <c r="F775" s="16" t="s">
        <v>944</v>
      </c>
      <c r="G775" s="16" t="s">
        <v>944</v>
      </c>
    </row>
    <row r="776">
      <c r="E776" s="16" t="s">
        <v>11684</v>
      </c>
      <c r="F776" s="16" t="s">
        <v>944</v>
      </c>
      <c r="G776" s="16" t="s">
        <v>944</v>
      </c>
    </row>
    <row r="777">
      <c r="E777" s="16" t="s">
        <v>11684</v>
      </c>
      <c r="F777" s="16" t="s">
        <v>944</v>
      </c>
      <c r="G777" s="16" t="s">
        <v>944</v>
      </c>
    </row>
    <row r="778">
      <c r="E778" s="16" t="s">
        <v>11684</v>
      </c>
      <c r="F778" s="16" t="s">
        <v>944</v>
      </c>
      <c r="G778" s="16" t="s">
        <v>944</v>
      </c>
    </row>
    <row r="779">
      <c r="E779" s="16" t="s">
        <v>11684</v>
      </c>
      <c r="F779" s="16" t="s">
        <v>944</v>
      </c>
      <c r="G779" s="16" t="s">
        <v>944</v>
      </c>
    </row>
    <row r="780">
      <c r="E780" s="16" t="s">
        <v>11684</v>
      </c>
      <c r="F780" s="16" t="s">
        <v>944</v>
      </c>
      <c r="G780" s="16" t="s">
        <v>944</v>
      </c>
    </row>
    <row r="781">
      <c r="E781" s="16" t="s">
        <v>11684</v>
      </c>
      <c r="F781" s="16" t="s">
        <v>944</v>
      </c>
      <c r="G781" s="16" t="s">
        <v>944</v>
      </c>
    </row>
    <row r="782">
      <c r="E782" s="16" t="s">
        <v>11684</v>
      </c>
      <c r="F782" s="16" t="s">
        <v>944</v>
      </c>
      <c r="G782" s="16" t="s">
        <v>944</v>
      </c>
    </row>
    <row r="783">
      <c r="E783" s="16" t="s">
        <v>11684</v>
      </c>
      <c r="F783" s="16" t="s">
        <v>944</v>
      </c>
      <c r="G783" s="16" t="s">
        <v>944</v>
      </c>
    </row>
    <row r="784">
      <c r="E784" s="16" t="s">
        <v>11684</v>
      </c>
      <c r="F784" s="16" t="s">
        <v>944</v>
      </c>
      <c r="G784" s="16" t="s">
        <v>944</v>
      </c>
    </row>
    <row r="785">
      <c r="E785" s="16" t="s">
        <v>11684</v>
      </c>
      <c r="F785" s="16" t="s">
        <v>944</v>
      </c>
      <c r="G785" s="16" t="s">
        <v>944</v>
      </c>
    </row>
    <row r="786">
      <c r="E786" s="16" t="s">
        <v>11684</v>
      </c>
      <c r="F786" s="16" t="s">
        <v>944</v>
      </c>
      <c r="G786" s="16" t="s">
        <v>944</v>
      </c>
    </row>
    <row r="787">
      <c r="E787" s="16" t="s">
        <v>11684</v>
      </c>
      <c r="F787" s="16" t="s">
        <v>944</v>
      </c>
      <c r="G787" s="16" t="s">
        <v>944</v>
      </c>
    </row>
    <row r="788">
      <c r="E788" s="16" t="s">
        <v>11684</v>
      </c>
      <c r="F788" s="16" t="s">
        <v>944</v>
      </c>
      <c r="G788" s="16" t="s">
        <v>944</v>
      </c>
    </row>
    <row r="789">
      <c r="E789" s="16" t="s">
        <v>11684</v>
      </c>
      <c r="F789" s="16" t="s">
        <v>944</v>
      </c>
      <c r="G789" s="16" t="s">
        <v>944</v>
      </c>
    </row>
    <row r="790">
      <c r="E790" s="16" t="s">
        <v>11684</v>
      </c>
      <c r="F790" s="16" t="s">
        <v>944</v>
      </c>
      <c r="G790" s="16" t="s">
        <v>944</v>
      </c>
    </row>
    <row r="791">
      <c r="E791" s="16" t="s">
        <v>11684</v>
      </c>
      <c r="F791" s="16" t="s">
        <v>944</v>
      </c>
      <c r="G791" s="16" t="s">
        <v>944</v>
      </c>
    </row>
    <row r="792">
      <c r="E792" s="16" t="s">
        <v>11684</v>
      </c>
      <c r="F792" s="16" t="s">
        <v>944</v>
      </c>
      <c r="G792" s="16" t="s">
        <v>944</v>
      </c>
    </row>
    <row r="793">
      <c r="E793" s="16" t="s">
        <v>11684</v>
      </c>
      <c r="F793" s="16" t="s">
        <v>944</v>
      </c>
      <c r="G793" s="16" t="s">
        <v>944</v>
      </c>
    </row>
    <row r="794">
      <c r="E794" s="16" t="s">
        <v>11684</v>
      </c>
      <c r="F794" s="16" t="s">
        <v>944</v>
      </c>
      <c r="G794" s="16" t="s">
        <v>944</v>
      </c>
    </row>
    <row r="795">
      <c r="E795" s="16" t="s">
        <v>11684</v>
      </c>
      <c r="F795" s="16" t="s">
        <v>944</v>
      </c>
      <c r="G795" s="16" t="s">
        <v>944</v>
      </c>
    </row>
    <row r="796">
      <c r="E796" s="16" t="s">
        <v>11684</v>
      </c>
      <c r="F796" s="16" t="s">
        <v>944</v>
      </c>
      <c r="G796" s="16" t="s">
        <v>944</v>
      </c>
    </row>
    <row r="797">
      <c r="E797" s="16" t="s">
        <v>11684</v>
      </c>
      <c r="F797" s="16" t="s">
        <v>944</v>
      </c>
      <c r="G797" s="16" t="s">
        <v>944</v>
      </c>
    </row>
    <row r="798">
      <c r="E798" s="16" t="s">
        <v>11684</v>
      </c>
      <c r="F798" s="16" t="s">
        <v>944</v>
      </c>
      <c r="G798" s="16" t="s">
        <v>944</v>
      </c>
    </row>
    <row r="799">
      <c r="E799" s="16" t="s">
        <v>11684</v>
      </c>
      <c r="F799" s="16" t="s">
        <v>944</v>
      </c>
      <c r="G799" s="16" t="s">
        <v>944</v>
      </c>
    </row>
    <row r="800">
      <c r="E800" s="16" t="s">
        <v>11684</v>
      </c>
      <c r="F800" s="16" t="s">
        <v>944</v>
      </c>
      <c r="G800" s="16" t="s">
        <v>944</v>
      </c>
    </row>
    <row r="801">
      <c r="E801" s="16" t="s">
        <v>11684</v>
      </c>
      <c r="F801" s="16" t="s">
        <v>944</v>
      </c>
      <c r="G801" s="16" t="s">
        <v>944</v>
      </c>
    </row>
    <row r="802">
      <c r="E802" s="16" t="s">
        <v>11684</v>
      </c>
      <c r="F802" s="16" t="s">
        <v>944</v>
      </c>
      <c r="G802" s="16" t="s">
        <v>944</v>
      </c>
    </row>
    <row r="803">
      <c r="E803" s="16" t="s">
        <v>11684</v>
      </c>
      <c r="F803" s="16" t="s">
        <v>944</v>
      </c>
      <c r="G803" s="16" t="s">
        <v>944</v>
      </c>
    </row>
    <row r="804">
      <c r="E804" s="16" t="s">
        <v>11684</v>
      </c>
      <c r="F804" s="16" t="s">
        <v>944</v>
      </c>
      <c r="G804" s="16" t="s">
        <v>944</v>
      </c>
    </row>
    <row r="805">
      <c r="E805" s="16" t="s">
        <v>11684</v>
      </c>
      <c r="F805" s="16" t="s">
        <v>944</v>
      </c>
      <c r="G805" s="16" t="s">
        <v>944</v>
      </c>
    </row>
    <row r="806">
      <c r="E806" s="16" t="s">
        <v>11684</v>
      </c>
      <c r="F806" s="16" t="s">
        <v>944</v>
      </c>
      <c r="G806" s="16" t="s">
        <v>944</v>
      </c>
    </row>
    <row r="807">
      <c r="E807" s="16" t="s">
        <v>11684</v>
      </c>
      <c r="F807" s="16" t="s">
        <v>944</v>
      </c>
      <c r="G807" s="16" t="s">
        <v>944</v>
      </c>
    </row>
    <row r="808">
      <c r="E808" s="16" t="s">
        <v>11684</v>
      </c>
      <c r="F808" s="16" t="s">
        <v>944</v>
      </c>
      <c r="G808" s="16" t="s">
        <v>944</v>
      </c>
    </row>
    <row r="809">
      <c r="E809" s="16" t="s">
        <v>11684</v>
      </c>
      <c r="F809" s="16" t="s">
        <v>944</v>
      </c>
      <c r="G809" s="16" t="s">
        <v>944</v>
      </c>
    </row>
    <row r="810">
      <c r="E810" s="16" t="s">
        <v>11684</v>
      </c>
      <c r="F810" s="16" t="s">
        <v>944</v>
      </c>
      <c r="G810" s="16" t="s">
        <v>944</v>
      </c>
    </row>
    <row r="811">
      <c r="E811" s="16" t="s">
        <v>11684</v>
      </c>
      <c r="F811" s="16" t="s">
        <v>944</v>
      </c>
      <c r="G811" s="16" t="s">
        <v>944</v>
      </c>
    </row>
    <row r="812">
      <c r="E812" s="16" t="s">
        <v>11684</v>
      </c>
      <c r="F812" s="16" t="s">
        <v>944</v>
      </c>
      <c r="G812" s="16" t="s">
        <v>944</v>
      </c>
    </row>
    <row r="813">
      <c r="E813" s="16" t="s">
        <v>11684</v>
      </c>
      <c r="F813" s="16" t="s">
        <v>944</v>
      </c>
      <c r="G813" s="16" t="s">
        <v>944</v>
      </c>
    </row>
    <row r="814">
      <c r="E814" s="16" t="s">
        <v>11684</v>
      </c>
      <c r="F814" s="16" t="s">
        <v>944</v>
      </c>
      <c r="G814" s="16" t="s">
        <v>944</v>
      </c>
    </row>
    <row r="815">
      <c r="E815" s="16" t="s">
        <v>11684</v>
      </c>
      <c r="F815" s="16" t="s">
        <v>944</v>
      </c>
      <c r="G815" s="16" t="s">
        <v>944</v>
      </c>
    </row>
    <row r="816">
      <c r="E816" s="16" t="s">
        <v>11684</v>
      </c>
      <c r="F816" s="16" t="s">
        <v>944</v>
      </c>
      <c r="G816" s="16" t="s">
        <v>944</v>
      </c>
    </row>
    <row r="817">
      <c r="E817" s="16" t="s">
        <v>11684</v>
      </c>
      <c r="F817" s="16" t="s">
        <v>944</v>
      </c>
      <c r="G817" s="16" t="s">
        <v>944</v>
      </c>
    </row>
    <row r="818">
      <c r="E818" s="16" t="s">
        <v>11684</v>
      </c>
      <c r="F818" s="16" t="s">
        <v>944</v>
      </c>
      <c r="G818" s="16" t="s">
        <v>944</v>
      </c>
    </row>
    <row r="819">
      <c r="E819" s="16" t="s">
        <v>11684</v>
      </c>
      <c r="F819" s="16" t="s">
        <v>944</v>
      </c>
      <c r="G819" s="16" t="s">
        <v>944</v>
      </c>
    </row>
    <row r="820">
      <c r="E820" s="16" t="s">
        <v>11684</v>
      </c>
      <c r="F820" s="16" t="s">
        <v>944</v>
      </c>
      <c r="G820" s="16" t="s">
        <v>944</v>
      </c>
    </row>
    <row r="821">
      <c r="E821" s="16" t="s">
        <v>11684</v>
      </c>
      <c r="F821" s="16" t="s">
        <v>944</v>
      </c>
      <c r="G821" s="16" t="s">
        <v>944</v>
      </c>
    </row>
    <row r="822">
      <c r="E822" s="16" t="s">
        <v>11684</v>
      </c>
      <c r="F822" s="16" t="s">
        <v>944</v>
      </c>
      <c r="G822" s="16" t="s">
        <v>944</v>
      </c>
    </row>
    <row r="823">
      <c r="E823" s="16" t="s">
        <v>11684</v>
      </c>
      <c r="F823" s="16" t="s">
        <v>944</v>
      </c>
      <c r="G823" s="16" t="s">
        <v>944</v>
      </c>
    </row>
    <row r="824">
      <c r="E824" s="16" t="s">
        <v>11684</v>
      </c>
      <c r="F824" s="16" t="s">
        <v>944</v>
      </c>
      <c r="G824" s="16" t="s">
        <v>944</v>
      </c>
    </row>
    <row r="825">
      <c r="E825" s="16" t="s">
        <v>11684</v>
      </c>
      <c r="F825" s="16" t="s">
        <v>944</v>
      </c>
      <c r="G825" s="16" t="s">
        <v>944</v>
      </c>
    </row>
    <row r="826">
      <c r="E826" s="16" t="s">
        <v>11684</v>
      </c>
      <c r="F826" s="16" t="s">
        <v>944</v>
      </c>
      <c r="G826" s="16" t="s">
        <v>944</v>
      </c>
    </row>
    <row r="827">
      <c r="E827" s="16" t="s">
        <v>11684</v>
      </c>
      <c r="F827" s="16" t="s">
        <v>944</v>
      </c>
      <c r="G827" s="16" t="s">
        <v>944</v>
      </c>
    </row>
    <row r="828">
      <c r="E828" s="16" t="s">
        <v>11684</v>
      </c>
      <c r="F828" s="16" t="s">
        <v>944</v>
      </c>
      <c r="G828" s="16" t="s">
        <v>944</v>
      </c>
    </row>
    <row r="829">
      <c r="E829" s="16" t="s">
        <v>11684</v>
      </c>
      <c r="F829" s="16" t="s">
        <v>944</v>
      </c>
      <c r="G829" s="16" t="s">
        <v>944</v>
      </c>
    </row>
    <row r="830">
      <c r="E830" s="16" t="s">
        <v>11684</v>
      </c>
      <c r="F830" s="16" t="s">
        <v>944</v>
      </c>
      <c r="G830" s="16" t="s">
        <v>944</v>
      </c>
    </row>
    <row r="831">
      <c r="E831" s="16" t="s">
        <v>11684</v>
      </c>
      <c r="F831" s="16" t="s">
        <v>944</v>
      </c>
      <c r="G831" s="16" t="s">
        <v>944</v>
      </c>
    </row>
    <row r="832">
      <c r="E832" s="16" t="s">
        <v>11684</v>
      </c>
      <c r="F832" s="16" t="s">
        <v>944</v>
      </c>
      <c r="G832" s="16" t="s">
        <v>944</v>
      </c>
    </row>
    <row r="833">
      <c r="E833" s="16" t="s">
        <v>11684</v>
      </c>
      <c r="F833" s="16" t="s">
        <v>944</v>
      </c>
      <c r="G833" s="16" t="s">
        <v>944</v>
      </c>
    </row>
    <row r="834">
      <c r="E834" s="16" t="s">
        <v>11684</v>
      </c>
      <c r="F834" s="16" t="s">
        <v>944</v>
      </c>
      <c r="G834" s="16" t="s">
        <v>944</v>
      </c>
    </row>
    <row r="835">
      <c r="E835" s="16" t="s">
        <v>11684</v>
      </c>
      <c r="F835" s="16" t="s">
        <v>944</v>
      </c>
      <c r="G835" s="16" t="s">
        <v>944</v>
      </c>
    </row>
    <row r="836">
      <c r="E836" s="16" t="s">
        <v>11684</v>
      </c>
      <c r="F836" s="16" t="s">
        <v>944</v>
      </c>
      <c r="G836" s="16" t="s">
        <v>944</v>
      </c>
    </row>
    <row r="837">
      <c r="E837" s="16" t="s">
        <v>11684</v>
      </c>
      <c r="F837" s="16" t="s">
        <v>944</v>
      </c>
      <c r="G837" s="16" t="s">
        <v>944</v>
      </c>
    </row>
    <row r="838">
      <c r="E838" s="16" t="s">
        <v>11684</v>
      </c>
      <c r="F838" s="16" t="s">
        <v>944</v>
      </c>
      <c r="G838" s="16" t="s">
        <v>944</v>
      </c>
    </row>
    <row r="839">
      <c r="E839" s="16" t="s">
        <v>11684</v>
      </c>
      <c r="F839" s="16" t="s">
        <v>944</v>
      </c>
      <c r="G839" s="16" t="s">
        <v>944</v>
      </c>
    </row>
    <row r="840">
      <c r="E840" s="16" t="s">
        <v>11684</v>
      </c>
      <c r="F840" s="16" t="s">
        <v>944</v>
      </c>
      <c r="G840" s="16" t="s">
        <v>944</v>
      </c>
    </row>
    <row r="841">
      <c r="E841" s="16" t="s">
        <v>11684</v>
      </c>
      <c r="F841" s="16" t="s">
        <v>944</v>
      </c>
      <c r="G841" s="16" t="s">
        <v>944</v>
      </c>
    </row>
    <row r="842">
      <c r="E842" s="16" t="s">
        <v>11684</v>
      </c>
      <c r="F842" s="16" t="s">
        <v>944</v>
      </c>
      <c r="G842" s="16" t="s">
        <v>944</v>
      </c>
    </row>
    <row r="843">
      <c r="E843" s="16" t="s">
        <v>11684</v>
      </c>
      <c r="F843" s="16" t="s">
        <v>944</v>
      </c>
      <c r="G843" s="16" t="s">
        <v>944</v>
      </c>
    </row>
    <row r="844">
      <c r="E844" s="16" t="s">
        <v>11684</v>
      </c>
      <c r="F844" s="16" t="s">
        <v>944</v>
      </c>
      <c r="G844" s="16" t="s">
        <v>944</v>
      </c>
    </row>
    <row r="845">
      <c r="E845" s="16" t="s">
        <v>11684</v>
      </c>
      <c r="F845" s="16" t="s">
        <v>944</v>
      </c>
      <c r="G845" s="16" t="s">
        <v>944</v>
      </c>
    </row>
    <row r="846">
      <c r="E846" s="16" t="s">
        <v>11684</v>
      </c>
      <c r="F846" s="16" t="s">
        <v>944</v>
      </c>
      <c r="G846" s="16" t="s">
        <v>944</v>
      </c>
    </row>
    <row r="847">
      <c r="E847" s="16" t="s">
        <v>11684</v>
      </c>
      <c r="F847" s="16" t="s">
        <v>944</v>
      </c>
      <c r="G847" s="16" t="s">
        <v>944</v>
      </c>
    </row>
    <row r="848">
      <c r="E848" s="16" t="s">
        <v>11684</v>
      </c>
      <c r="F848" s="16" t="s">
        <v>944</v>
      </c>
      <c r="G848" s="16" t="s">
        <v>944</v>
      </c>
    </row>
    <row r="849">
      <c r="E849" s="16" t="s">
        <v>11684</v>
      </c>
      <c r="F849" s="16" t="s">
        <v>944</v>
      </c>
      <c r="G849" s="16" t="s">
        <v>944</v>
      </c>
    </row>
    <row r="850">
      <c r="E850" s="16" t="s">
        <v>11684</v>
      </c>
      <c r="F850" s="16" t="s">
        <v>944</v>
      </c>
      <c r="G850" s="16" t="s">
        <v>944</v>
      </c>
    </row>
    <row r="851">
      <c r="E851" s="16" t="s">
        <v>11684</v>
      </c>
      <c r="F851" s="16" t="s">
        <v>944</v>
      </c>
      <c r="G851" s="16" t="s">
        <v>944</v>
      </c>
    </row>
    <row r="852">
      <c r="E852" s="16" t="s">
        <v>11684</v>
      </c>
      <c r="F852" s="16" t="s">
        <v>944</v>
      </c>
      <c r="G852" s="16" t="s">
        <v>944</v>
      </c>
    </row>
    <row r="853">
      <c r="E853" s="16" t="s">
        <v>11684</v>
      </c>
      <c r="F853" s="16" t="s">
        <v>944</v>
      </c>
      <c r="G853" s="16" t="s">
        <v>944</v>
      </c>
    </row>
    <row r="854">
      <c r="E854" s="16" t="s">
        <v>11684</v>
      </c>
      <c r="F854" s="16" t="s">
        <v>944</v>
      </c>
      <c r="G854" s="16" t="s">
        <v>944</v>
      </c>
    </row>
    <row r="855">
      <c r="E855" s="16" t="s">
        <v>11684</v>
      </c>
      <c r="F855" s="16" t="s">
        <v>944</v>
      </c>
      <c r="G855" s="16" t="s">
        <v>944</v>
      </c>
    </row>
    <row r="856">
      <c r="E856" s="16" t="s">
        <v>11684</v>
      </c>
      <c r="F856" s="16" t="s">
        <v>944</v>
      </c>
      <c r="G856" s="16" t="s">
        <v>944</v>
      </c>
    </row>
    <row r="857">
      <c r="E857" s="16" t="s">
        <v>11684</v>
      </c>
      <c r="F857" s="16" t="s">
        <v>944</v>
      </c>
      <c r="G857" s="16" t="s">
        <v>944</v>
      </c>
    </row>
    <row r="858">
      <c r="E858" s="16" t="s">
        <v>11684</v>
      </c>
      <c r="F858" s="16" t="s">
        <v>944</v>
      </c>
      <c r="G858" s="16" t="s">
        <v>944</v>
      </c>
    </row>
    <row r="859">
      <c r="E859" s="16" t="s">
        <v>11684</v>
      </c>
      <c r="F859" s="16" t="s">
        <v>944</v>
      </c>
      <c r="G859" s="16" t="s">
        <v>944</v>
      </c>
    </row>
    <row r="860">
      <c r="E860" s="16" t="s">
        <v>11684</v>
      </c>
      <c r="F860" s="16" t="s">
        <v>944</v>
      </c>
      <c r="G860" s="16" t="s">
        <v>944</v>
      </c>
    </row>
    <row r="861">
      <c r="E861" s="16" t="s">
        <v>11684</v>
      </c>
      <c r="F861" s="16" t="s">
        <v>944</v>
      </c>
      <c r="G861" s="16" t="s">
        <v>944</v>
      </c>
    </row>
    <row r="862">
      <c r="E862" s="16" t="s">
        <v>11684</v>
      </c>
      <c r="F862" s="16" t="s">
        <v>944</v>
      </c>
      <c r="G862" s="16" t="s">
        <v>944</v>
      </c>
    </row>
    <row r="863">
      <c r="E863" s="16" t="s">
        <v>11684</v>
      </c>
      <c r="F863" s="16" t="s">
        <v>944</v>
      </c>
      <c r="G863" s="16" t="s">
        <v>944</v>
      </c>
    </row>
    <row r="864">
      <c r="E864" s="16" t="s">
        <v>11684</v>
      </c>
      <c r="F864" s="16" t="s">
        <v>944</v>
      </c>
      <c r="G864" s="16" t="s">
        <v>944</v>
      </c>
    </row>
    <row r="865">
      <c r="E865" s="16" t="s">
        <v>11684</v>
      </c>
      <c r="F865" s="16" t="s">
        <v>944</v>
      </c>
      <c r="G865" s="16" t="s">
        <v>944</v>
      </c>
    </row>
    <row r="866">
      <c r="E866" s="16" t="s">
        <v>11684</v>
      </c>
      <c r="F866" s="16" t="s">
        <v>944</v>
      </c>
      <c r="G866" s="16" t="s">
        <v>944</v>
      </c>
    </row>
    <row r="867">
      <c r="E867" s="16" t="s">
        <v>11684</v>
      </c>
      <c r="F867" s="16" t="s">
        <v>944</v>
      </c>
      <c r="G867" s="16" t="s">
        <v>944</v>
      </c>
    </row>
    <row r="868">
      <c r="E868" s="16" t="s">
        <v>11684</v>
      </c>
      <c r="F868" s="16" t="s">
        <v>944</v>
      </c>
      <c r="G868" s="16" t="s">
        <v>944</v>
      </c>
    </row>
    <row r="869">
      <c r="E869" s="16" t="s">
        <v>11684</v>
      </c>
      <c r="F869" s="16" t="s">
        <v>944</v>
      </c>
      <c r="G869" s="16" t="s">
        <v>944</v>
      </c>
    </row>
    <row r="870">
      <c r="E870" s="16" t="s">
        <v>11684</v>
      </c>
      <c r="F870" s="16" t="s">
        <v>944</v>
      </c>
      <c r="G870" s="16" t="s">
        <v>944</v>
      </c>
    </row>
    <row r="871">
      <c r="E871" s="16" t="s">
        <v>11684</v>
      </c>
      <c r="F871" s="16" t="s">
        <v>944</v>
      </c>
      <c r="G871" s="16" t="s">
        <v>944</v>
      </c>
    </row>
    <row r="872">
      <c r="E872" s="16" t="s">
        <v>11684</v>
      </c>
      <c r="F872" s="16" t="s">
        <v>944</v>
      </c>
      <c r="G872" s="16" t="s">
        <v>944</v>
      </c>
    </row>
    <row r="873">
      <c r="E873" s="16" t="s">
        <v>11684</v>
      </c>
      <c r="F873" s="16" t="s">
        <v>944</v>
      </c>
      <c r="G873" s="16" t="s">
        <v>944</v>
      </c>
    </row>
    <row r="874">
      <c r="E874" s="16" t="s">
        <v>11684</v>
      </c>
      <c r="F874" s="16" t="s">
        <v>944</v>
      </c>
      <c r="G874" s="16" t="s">
        <v>944</v>
      </c>
    </row>
    <row r="875">
      <c r="E875" s="16" t="s">
        <v>11684</v>
      </c>
      <c r="F875" s="16" t="s">
        <v>944</v>
      </c>
      <c r="G875" s="16" t="s">
        <v>944</v>
      </c>
    </row>
    <row r="876">
      <c r="E876" s="16" t="s">
        <v>11684</v>
      </c>
      <c r="F876" s="16" t="s">
        <v>944</v>
      </c>
      <c r="G876" s="16" t="s">
        <v>944</v>
      </c>
    </row>
    <row r="877">
      <c r="E877" s="16" t="s">
        <v>11684</v>
      </c>
      <c r="F877" s="16" t="s">
        <v>944</v>
      </c>
      <c r="G877" s="16" t="s">
        <v>944</v>
      </c>
    </row>
    <row r="878">
      <c r="E878" s="16" t="s">
        <v>11684</v>
      </c>
      <c r="F878" s="16" t="s">
        <v>944</v>
      </c>
      <c r="G878" s="16" t="s">
        <v>944</v>
      </c>
    </row>
    <row r="879">
      <c r="E879" s="16" t="s">
        <v>11684</v>
      </c>
      <c r="F879" s="16" t="s">
        <v>944</v>
      </c>
      <c r="G879" s="16" t="s">
        <v>944</v>
      </c>
    </row>
    <row r="880">
      <c r="E880" s="16" t="s">
        <v>11684</v>
      </c>
      <c r="F880" s="16" t="s">
        <v>944</v>
      </c>
      <c r="G880" s="16" t="s">
        <v>944</v>
      </c>
    </row>
    <row r="881">
      <c r="E881" s="16" t="s">
        <v>11684</v>
      </c>
      <c r="F881" s="16" t="s">
        <v>944</v>
      </c>
      <c r="G881" s="16" t="s">
        <v>944</v>
      </c>
    </row>
    <row r="882">
      <c r="E882" s="16" t="s">
        <v>11684</v>
      </c>
      <c r="F882" s="16" t="s">
        <v>944</v>
      </c>
      <c r="G882" s="16" t="s">
        <v>944</v>
      </c>
    </row>
    <row r="883">
      <c r="E883" s="16" t="s">
        <v>11684</v>
      </c>
      <c r="F883" s="16" t="s">
        <v>944</v>
      </c>
      <c r="G883" s="16" t="s">
        <v>944</v>
      </c>
    </row>
    <row r="884">
      <c r="E884" s="16" t="s">
        <v>11684</v>
      </c>
      <c r="F884" s="16" t="s">
        <v>944</v>
      </c>
      <c r="G884" s="16" t="s">
        <v>944</v>
      </c>
    </row>
    <row r="885">
      <c r="E885" s="16" t="s">
        <v>11684</v>
      </c>
      <c r="F885" s="16" t="s">
        <v>944</v>
      </c>
      <c r="G885" s="16" t="s">
        <v>944</v>
      </c>
    </row>
    <row r="886">
      <c r="E886" s="16" t="s">
        <v>11684</v>
      </c>
      <c r="F886" s="16" t="s">
        <v>944</v>
      </c>
      <c r="G886" s="16" t="s">
        <v>944</v>
      </c>
    </row>
    <row r="887">
      <c r="E887" s="16" t="s">
        <v>11684</v>
      </c>
      <c r="F887" s="16" t="s">
        <v>944</v>
      </c>
      <c r="G887" s="16" t="s">
        <v>944</v>
      </c>
    </row>
    <row r="888">
      <c r="E888" s="16" t="s">
        <v>11684</v>
      </c>
      <c r="F888" s="16" t="s">
        <v>944</v>
      </c>
      <c r="G888" s="16" t="s">
        <v>944</v>
      </c>
    </row>
    <row r="889">
      <c r="E889" s="16" t="s">
        <v>11684</v>
      </c>
      <c r="F889" s="16" t="s">
        <v>944</v>
      </c>
      <c r="G889" s="16" t="s">
        <v>944</v>
      </c>
    </row>
    <row r="890">
      <c r="E890" s="16" t="s">
        <v>11684</v>
      </c>
      <c r="F890" s="16" t="s">
        <v>944</v>
      </c>
      <c r="G890" s="16" t="s">
        <v>944</v>
      </c>
    </row>
    <row r="891">
      <c r="E891" s="16" t="s">
        <v>11684</v>
      </c>
      <c r="F891" s="16" t="s">
        <v>944</v>
      </c>
      <c r="G891" s="16" t="s">
        <v>944</v>
      </c>
    </row>
    <row r="892">
      <c r="E892" s="16" t="s">
        <v>11684</v>
      </c>
      <c r="F892" s="16" t="s">
        <v>944</v>
      </c>
      <c r="G892" s="16" t="s">
        <v>944</v>
      </c>
    </row>
    <row r="893">
      <c r="E893" s="16" t="s">
        <v>11684</v>
      </c>
      <c r="F893" s="16" t="s">
        <v>944</v>
      </c>
      <c r="G893" s="16" t="s">
        <v>944</v>
      </c>
    </row>
    <row r="894">
      <c r="E894" s="16" t="s">
        <v>11684</v>
      </c>
      <c r="F894" s="16" t="s">
        <v>944</v>
      </c>
      <c r="G894" s="16" t="s">
        <v>944</v>
      </c>
    </row>
    <row r="895">
      <c r="E895" s="16" t="s">
        <v>11684</v>
      </c>
      <c r="F895" s="16" t="s">
        <v>944</v>
      </c>
      <c r="G895" s="16" t="s">
        <v>944</v>
      </c>
    </row>
    <row r="896">
      <c r="E896" s="16" t="s">
        <v>11684</v>
      </c>
      <c r="F896" s="16" t="s">
        <v>944</v>
      </c>
      <c r="G896" s="16" t="s">
        <v>944</v>
      </c>
    </row>
    <row r="897">
      <c r="E897" s="16" t="s">
        <v>11684</v>
      </c>
      <c r="F897" s="16" t="s">
        <v>944</v>
      </c>
      <c r="G897" s="16" t="s">
        <v>944</v>
      </c>
    </row>
    <row r="898">
      <c r="E898" s="16" t="s">
        <v>11684</v>
      </c>
      <c r="F898" s="16" t="s">
        <v>944</v>
      </c>
      <c r="G898" s="16" t="s">
        <v>944</v>
      </c>
    </row>
    <row r="899">
      <c r="E899" s="16" t="s">
        <v>11684</v>
      </c>
      <c r="F899" s="16" t="s">
        <v>944</v>
      </c>
      <c r="G899" s="16" t="s">
        <v>944</v>
      </c>
    </row>
    <row r="900">
      <c r="E900" s="16" t="s">
        <v>11684</v>
      </c>
      <c r="F900" s="16" t="s">
        <v>944</v>
      </c>
      <c r="G900" s="16" t="s">
        <v>944</v>
      </c>
    </row>
    <row r="901">
      <c r="E901" s="16" t="s">
        <v>11684</v>
      </c>
      <c r="F901" s="16" t="s">
        <v>944</v>
      </c>
      <c r="G901" s="16" t="s">
        <v>944</v>
      </c>
    </row>
    <row r="902">
      <c r="E902" s="16" t="s">
        <v>11684</v>
      </c>
      <c r="F902" s="16" t="s">
        <v>944</v>
      </c>
      <c r="G902" s="16" t="s">
        <v>944</v>
      </c>
    </row>
    <row r="903">
      <c r="E903" s="16" t="s">
        <v>11684</v>
      </c>
      <c r="F903" s="16" t="s">
        <v>944</v>
      </c>
      <c r="G903" s="16" t="s">
        <v>944</v>
      </c>
    </row>
    <row r="904">
      <c r="E904" s="16" t="s">
        <v>11684</v>
      </c>
      <c r="F904" s="16" t="s">
        <v>944</v>
      </c>
      <c r="G904" s="16" t="s">
        <v>944</v>
      </c>
    </row>
    <row r="905">
      <c r="E905" s="16" t="s">
        <v>11684</v>
      </c>
      <c r="F905" s="16" t="s">
        <v>944</v>
      </c>
      <c r="G905" s="16" t="s">
        <v>944</v>
      </c>
    </row>
    <row r="906">
      <c r="E906" s="16" t="s">
        <v>11684</v>
      </c>
      <c r="F906" s="16" t="s">
        <v>944</v>
      </c>
      <c r="G906" s="16" t="s">
        <v>944</v>
      </c>
    </row>
    <row r="907">
      <c r="E907" s="16" t="s">
        <v>11684</v>
      </c>
      <c r="F907" s="16" t="s">
        <v>944</v>
      </c>
      <c r="G907" s="16" t="s">
        <v>944</v>
      </c>
    </row>
    <row r="908">
      <c r="E908" s="16" t="s">
        <v>11684</v>
      </c>
      <c r="F908" s="16" t="s">
        <v>944</v>
      </c>
      <c r="G908" s="16" t="s">
        <v>944</v>
      </c>
    </row>
    <row r="909">
      <c r="E909" s="16" t="s">
        <v>11684</v>
      </c>
      <c r="F909" s="16" t="s">
        <v>944</v>
      </c>
      <c r="G909" s="16" t="s">
        <v>944</v>
      </c>
    </row>
    <row r="910">
      <c r="E910" s="16" t="s">
        <v>11684</v>
      </c>
      <c r="F910" s="16" t="s">
        <v>944</v>
      </c>
      <c r="G910" s="16" t="s">
        <v>944</v>
      </c>
    </row>
    <row r="911">
      <c r="E911" s="16" t="s">
        <v>11684</v>
      </c>
      <c r="F911" s="16" t="s">
        <v>944</v>
      </c>
      <c r="G911" s="16" t="s">
        <v>944</v>
      </c>
    </row>
    <row r="912">
      <c r="E912" s="16" t="s">
        <v>11684</v>
      </c>
      <c r="F912" s="16" t="s">
        <v>944</v>
      </c>
      <c r="G912" s="16" t="s">
        <v>944</v>
      </c>
    </row>
    <row r="913">
      <c r="E913" s="16" t="s">
        <v>11684</v>
      </c>
      <c r="F913" s="16" t="s">
        <v>944</v>
      </c>
      <c r="G913" s="16" t="s">
        <v>944</v>
      </c>
    </row>
    <row r="914">
      <c r="E914" s="16" t="s">
        <v>11684</v>
      </c>
      <c r="F914" s="16" t="s">
        <v>944</v>
      </c>
      <c r="G914" s="16" t="s">
        <v>944</v>
      </c>
    </row>
    <row r="915">
      <c r="E915" s="16" t="s">
        <v>11684</v>
      </c>
      <c r="F915" s="16" t="s">
        <v>944</v>
      </c>
      <c r="G915" s="16" t="s">
        <v>944</v>
      </c>
    </row>
    <row r="916">
      <c r="E916" s="16" t="s">
        <v>11684</v>
      </c>
      <c r="F916" s="16" t="s">
        <v>944</v>
      </c>
      <c r="G916" s="16" t="s">
        <v>944</v>
      </c>
    </row>
    <row r="917">
      <c r="E917" s="16" t="s">
        <v>11684</v>
      </c>
      <c r="F917" s="16" t="s">
        <v>944</v>
      </c>
      <c r="G917" s="16" t="s">
        <v>944</v>
      </c>
    </row>
    <row r="918">
      <c r="E918" s="16" t="s">
        <v>11684</v>
      </c>
      <c r="F918" s="16" t="s">
        <v>944</v>
      </c>
      <c r="G918" s="16" t="s">
        <v>944</v>
      </c>
    </row>
    <row r="919">
      <c r="E919" s="16" t="s">
        <v>11684</v>
      </c>
      <c r="F919" s="16" t="s">
        <v>944</v>
      </c>
      <c r="G919" s="16" t="s">
        <v>944</v>
      </c>
    </row>
    <row r="920">
      <c r="E920" s="16" t="s">
        <v>11684</v>
      </c>
      <c r="F920" s="16" t="s">
        <v>944</v>
      </c>
      <c r="G920" s="16" t="s">
        <v>944</v>
      </c>
    </row>
    <row r="921">
      <c r="E921" s="16" t="s">
        <v>11684</v>
      </c>
      <c r="F921" s="16" t="s">
        <v>944</v>
      </c>
      <c r="G921" s="16" t="s">
        <v>944</v>
      </c>
    </row>
    <row r="922">
      <c r="E922" s="16" t="s">
        <v>11684</v>
      </c>
      <c r="F922" s="16" t="s">
        <v>944</v>
      </c>
      <c r="G922" s="16" t="s">
        <v>944</v>
      </c>
    </row>
    <row r="923">
      <c r="E923" s="16" t="s">
        <v>11684</v>
      </c>
      <c r="F923" s="16" t="s">
        <v>944</v>
      </c>
      <c r="G923" s="16" t="s">
        <v>944</v>
      </c>
    </row>
    <row r="924">
      <c r="E924" s="16" t="s">
        <v>11684</v>
      </c>
      <c r="F924" s="16" t="s">
        <v>944</v>
      </c>
      <c r="G924" s="16" t="s">
        <v>944</v>
      </c>
    </row>
    <row r="925">
      <c r="E925" s="16" t="s">
        <v>11684</v>
      </c>
      <c r="F925" s="16" t="s">
        <v>944</v>
      </c>
      <c r="G925" s="16" t="s">
        <v>944</v>
      </c>
    </row>
    <row r="926">
      <c r="E926" s="16" t="s">
        <v>11684</v>
      </c>
      <c r="F926" s="16" t="s">
        <v>944</v>
      </c>
      <c r="G926" s="16" t="s">
        <v>944</v>
      </c>
    </row>
    <row r="927">
      <c r="E927" s="16" t="s">
        <v>11684</v>
      </c>
      <c r="F927" s="16" t="s">
        <v>944</v>
      </c>
      <c r="G927" s="16" t="s">
        <v>944</v>
      </c>
    </row>
    <row r="928">
      <c r="E928" s="16" t="s">
        <v>11684</v>
      </c>
      <c r="F928" s="16" t="s">
        <v>944</v>
      </c>
      <c r="G928" s="16" t="s">
        <v>944</v>
      </c>
    </row>
    <row r="929">
      <c r="E929" s="16" t="s">
        <v>11684</v>
      </c>
      <c r="F929" s="16" t="s">
        <v>944</v>
      </c>
      <c r="G929" s="16" t="s">
        <v>944</v>
      </c>
    </row>
    <row r="930">
      <c r="E930" s="16" t="s">
        <v>11684</v>
      </c>
      <c r="F930" s="16" t="s">
        <v>944</v>
      </c>
      <c r="G930" s="16" t="s">
        <v>944</v>
      </c>
    </row>
    <row r="931">
      <c r="E931" s="16" t="s">
        <v>11684</v>
      </c>
      <c r="F931" s="16" t="s">
        <v>944</v>
      </c>
      <c r="G931" s="16" t="s">
        <v>944</v>
      </c>
    </row>
    <row r="932">
      <c r="E932" s="16" t="s">
        <v>11684</v>
      </c>
      <c r="F932" s="16" t="s">
        <v>944</v>
      </c>
      <c r="G932" s="16" t="s">
        <v>944</v>
      </c>
    </row>
    <row r="933">
      <c r="E933" s="16" t="s">
        <v>11684</v>
      </c>
      <c r="F933" s="16" t="s">
        <v>944</v>
      </c>
      <c r="G933" s="16" t="s">
        <v>944</v>
      </c>
    </row>
    <row r="934">
      <c r="E934" s="16" t="s">
        <v>11684</v>
      </c>
      <c r="F934" s="16" t="s">
        <v>944</v>
      </c>
      <c r="G934" s="16" t="s">
        <v>944</v>
      </c>
    </row>
    <row r="935">
      <c r="E935" s="16" t="s">
        <v>11684</v>
      </c>
      <c r="F935" s="16" t="s">
        <v>944</v>
      </c>
      <c r="G935" s="16" t="s">
        <v>944</v>
      </c>
    </row>
    <row r="936">
      <c r="E936" s="16" t="s">
        <v>11684</v>
      </c>
      <c r="F936" s="16" t="s">
        <v>944</v>
      </c>
      <c r="G936" s="16" t="s">
        <v>944</v>
      </c>
    </row>
    <row r="937">
      <c r="E937" s="16" t="s">
        <v>11684</v>
      </c>
      <c r="F937" s="16" t="s">
        <v>944</v>
      </c>
      <c r="G937" s="16" t="s">
        <v>944</v>
      </c>
    </row>
    <row r="938">
      <c r="E938" s="16" t="s">
        <v>11684</v>
      </c>
      <c r="F938" s="16" t="s">
        <v>944</v>
      </c>
      <c r="G938" s="16" t="s">
        <v>944</v>
      </c>
    </row>
    <row r="939">
      <c r="E939" s="16" t="s">
        <v>11684</v>
      </c>
      <c r="F939" s="16" t="s">
        <v>944</v>
      </c>
      <c r="G939" s="16" t="s">
        <v>944</v>
      </c>
    </row>
    <row r="940">
      <c r="E940" s="16" t="s">
        <v>11684</v>
      </c>
      <c r="F940" s="16" t="s">
        <v>944</v>
      </c>
      <c r="G940" s="16" t="s">
        <v>944</v>
      </c>
    </row>
    <row r="941">
      <c r="E941" s="16" t="s">
        <v>11684</v>
      </c>
      <c r="F941" s="16" t="s">
        <v>944</v>
      </c>
      <c r="G941" s="16" t="s">
        <v>944</v>
      </c>
    </row>
    <row r="942">
      <c r="E942" s="16" t="s">
        <v>11684</v>
      </c>
      <c r="F942" s="16" t="s">
        <v>944</v>
      </c>
      <c r="G942" s="16" t="s">
        <v>944</v>
      </c>
    </row>
    <row r="943">
      <c r="E943" s="16" t="s">
        <v>11684</v>
      </c>
      <c r="F943" s="16" t="s">
        <v>944</v>
      </c>
      <c r="G943" s="16" t="s">
        <v>944</v>
      </c>
    </row>
    <row r="944">
      <c r="E944" s="16" t="s">
        <v>11684</v>
      </c>
      <c r="F944" s="16" t="s">
        <v>944</v>
      </c>
      <c r="G944" s="16" t="s">
        <v>944</v>
      </c>
    </row>
    <row r="945">
      <c r="E945" s="16" t="s">
        <v>11684</v>
      </c>
      <c r="F945" s="16" t="s">
        <v>944</v>
      </c>
      <c r="G945" s="16" t="s">
        <v>944</v>
      </c>
    </row>
    <row r="946">
      <c r="E946" s="16" t="s">
        <v>11684</v>
      </c>
      <c r="F946" s="16" t="s">
        <v>944</v>
      </c>
      <c r="G946" s="16" t="s">
        <v>944</v>
      </c>
    </row>
    <row r="947">
      <c r="E947" s="16" t="s">
        <v>11684</v>
      </c>
      <c r="F947" s="16" t="s">
        <v>944</v>
      </c>
      <c r="G947" s="16" t="s">
        <v>944</v>
      </c>
    </row>
    <row r="948">
      <c r="E948" s="16" t="s">
        <v>11684</v>
      </c>
      <c r="F948" s="16" t="s">
        <v>944</v>
      </c>
      <c r="G948" s="16" t="s">
        <v>944</v>
      </c>
    </row>
    <row r="949">
      <c r="E949" s="16" t="s">
        <v>11684</v>
      </c>
      <c r="F949" s="16" t="s">
        <v>944</v>
      </c>
      <c r="G949" s="16" t="s">
        <v>944</v>
      </c>
    </row>
    <row r="950">
      <c r="E950" s="16" t="s">
        <v>11684</v>
      </c>
      <c r="F950" s="16" t="s">
        <v>944</v>
      </c>
      <c r="G950" s="16" t="s">
        <v>944</v>
      </c>
    </row>
    <row r="951">
      <c r="E951" s="16" t="s">
        <v>11684</v>
      </c>
      <c r="F951" s="16" t="s">
        <v>944</v>
      </c>
      <c r="G951" s="16" t="s">
        <v>944</v>
      </c>
    </row>
    <row r="952">
      <c r="E952" s="16" t="s">
        <v>11684</v>
      </c>
      <c r="F952" s="16" t="s">
        <v>944</v>
      </c>
      <c r="G952" s="16" t="s">
        <v>944</v>
      </c>
    </row>
    <row r="953">
      <c r="E953" s="16" t="s">
        <v>11684</v>
      </c>
      <c r="F953" s="16" t="s">
        <v>944</v>
      </c>
      <c r="G953" s="16" t="s">
        <v>944</v>
      </c>
    </row>
    <row r="954">
      <c r="E954" s="16" t="s">
        <v>11684</v>
      </c>
      <c r="F954" s="16" t="s">
        <v>944</v>
      </c>
      <c r="G954" s="16" t="s">
        <v>944</v>
      </c>
    </row>
    <row r="955">
      <c r="E955" s="16" t="s">
        <v>11684</v>
      </c>
      <c r="F955" s="16" t="s">
        <v>944</v>
      </c>
      <c r="G955" s="16" t="s">
        <v>944</v>
      </c>
    </row>
    <row r="956">
      <c r="E956" s="16" t="s">
        <v>11684</v>
      </c>
      <c r="F956" s="16" t="s">
        <v>944</v>
      </c>
      <c r="G956" s="16" t="s">
        <v>944</v>
      </c>
    </row>
    <row r="957">
      <c r="E957" s="16" t="s">
        <v>11684</v>
      </c>
      <c r="F957" s="16" t="s">
        <v>944</v>
      </c>
      <c r="G957" s="16" t="s">
        <v>944</v>
      </c>
    </row>
    <row r="958">
      <c r="E958" s="16" t="s">
        <v>11684</v>
      </c>
      <c r="F958" s="16" t="s">
        <v>944</v>
      </c>
      <c r="G958" s="16" t="s">
        <v>944</v>
      </c>
    </row>
    <row r="959">
      <c r="E959" s="16" t="s">
        <v>11684</v>
      </c>
      <c r="F959" s="16" t="s">
        <v>944</v>
      </c>
      <c r="G959" s="16" t="s">
        <v>944</v>
      </c>
    </row>
    <row r="960">
      <c r="E960" s="16" t="s">
        <v>11684</v>
      </c>
      <c r="F960" s="16" t="s">
        <v>944</v>
      </c>
      <c r="G960" s="16" t="s">
        <v>944</v>
      </c>
    </row>
    <row r="961">
      <c r="E961" s="16" t="s">
        <v>11684</v>
      </c>
      <c r="F961" s="16" t="s">
        <v>944</v>
      </c>
      <c r="G961" s="16" t="s">
        <v>944</v>
      </c>
    </row>
    <row r="962">
      <c r="E962" s="16" t="s">
        <v>11684</v>
      </c>
      <c r="F962" s="16" t="s">
        <v>944</v>
      </c>
      <c r="G962" s="16" t="s">
        <v>944</v>
      </c>
    </row>
    <row r="963">
      <c r="E963" s="16" t="s">
        <v>11684</v>
      </c>
      <c r="F963" s="16" t="s">
        <v>944</v>
      </c>
      <c r="G963" s="16" t="s">
        <v>944</v>
      </c>
    </row>
    <row r="964">
      <c r="E964" s="16" t="s">
        <v>11684</v>
      </c>
      <c r="F964" s="16" t="s">
        <v>944</v>
      </c>
      <c r="G964" s="16" t="s">
        <v>944</v>
      </c>
    </row>
    <row r="965">
      <c r="E965" s="16" t="s">
        <v>11684</v>
      </c>
      <c r="F965" s="16" t="s">
        <v>944</v>
      </c>
      <c r="G965" s="16" t="s">
        <v>944</v>
      </c>
    </row>
    <row r="966">
      <c r="E966" s="16" t="s">
        <v>11684</v>
      </c>
      <c r="F966" s="16" t="s">
        <v>944</v>
      </c>
      <c r="G966" s="16" t="s">
        <v>944</v>
      </c>
    </row>
    <row r="967">
      <c r="E967" s="16" t="s">
        <v>11684</v>
      </c>
      <c r="F967" s="16" t="s">
        <v>944</v>
      </c>
      <c r="G967" s="16" t="s">
        <v>944</v>
      </c>
    </row>
    <row r="968">
      <c r="E968" s="16" t="s">
        <v>11684</v>
      </c>
      <c r="F968" s="16" t="s">
        <v>944</v>
      </c>
      <c r="G968" s="16" t="s">
        <v>944</v>
      </c>
    </row>
    <row r="969">
      <c r="E969" s="16" t="s">
        <v>11684</v>
      </c>
      <c r="F969" s="16" t="s">
        <v>944</v>
      </c>
      <c r="G969" s="16" t="s">
        <v>944</v>
      </c>
    </row>
    <row r="970">
      <c r="E970" s="16" t="s">
        <v>11684</v>
      </c>
      <c r="F970" s="16" t="s">
        <v>944</v>
      </c>
      <c r="G970" s="16" t="s">
        <v>944</v>
      </c>
    </row>
    <row r="971">
      <c r="E971" s="16" t="s">
        <v>11684</v>
      </c>
      <c r="F971" s="16" t="s">
        <v>944</v>
      </c>
      <c r="G971" s="16" t="s">
        <v>944</v>
      </c>
    </row>
    <row r="972">
      <c r="E972" s="16" t="s">
        <v>11684</v>
      </c>
      <c r="F972" s="16" t="s">
        <v>944</v>
      </c>
      <c r="G972" s="16" t="s">
        <v>944</v>
      </c>
    </row>
    <row r="973">
      <c r="E973" s="16" t="s">
        <v>11684</v>
      </c>
      <c r="F973" s="16" t="s">
        <v>944</v>
      </c>
      <c r="G973" s="16" t="s">
        <v>944</v>
      </c>
    </row>
    <row r="974">
      <c r="E974" s="16" t="s">
        <v>11684</v>
      </c>
      <c r="F974" s="16" t="s">
        <v>944</v>
      </c>
      <c r="G974" s="16" t="s">
        <v>944</v>
      </c>
    </row>
    <row r="975">
      <c r="E975" s="16" t="s">
        <v>11684</v>
      </c>
      <c r="F975" s="16" t="s">
        <v>944</v>
      </c>
      <c r="G975" s="16" t="s">
        <v>944</v>
      </c>
    </row>
    <row r="976">
      <c r="E976" s="16" t="s">
        <v>11684</v>
      </c>
      <c r="F976" s="16" t="s">
        <v>944</v>
      </c>
      <c r="G976" s="16" t="s">
        <v>944</v>
      </c>
    </row>
    <row r="977">
      <c r="E977" s="16" t="s">
        <v>11684</v>
      </c>
      <c r="F977" s="16" t="s">
        <v>944</v>
      </c>
      <c r="G977" s="16" t="s">
        <v>944</v>
      </c>
    </row>
    <row r="978">
      <c r="E978" s="16" t="s">
        <v>11684</v>
      </c>
      <c r="F978" s="16" t="s">
        <v>944</v>
      </c>
      <c r="G978" s="16" t="s">
        <v>944</v>
      </c>
    </row>
    <row r="979">
      <c r="E979" s="16" t="s">
        <v>11684</v>
      </c>
      <c r="F979" s="16" t="s">
        <v>944</v>
      </c>
      <c r="G979" s="16" t="s">
        <v>944</v>
      </c>
    </row>
    <row r="980">
      <c r="E980" s="16" t="s">
        <v>11684</v>
      </c>
      <c r="F980" s="16" t="s">
        <v>944</v>
      </c>
      <c r="G980" s="16" t="s">
        <v>944</v>
      </c>
    </row>
    <row r="981">
      <c r="E981" s="16" t="s">
        <v>11684</v>
      </c>
      <c r="F981" s="16" t="s">
        <v>944</v>
      </c>
      <c r="G981" s="16" t="s">
        <v>944</v>
      </c>
    </row>
    <row r="982">
      <c r="E982" s="16" t="s">
        <v>11684</v>
      </c>
      <c r="F982" s="16" t="s">
        <v>944</v>
      </c>
      <c r="G982" s="16" t="s">
        <v>944</v>
      </c>
    </row>
    <row r="983">
      <c r="E983" s="16" t="s">
        <v>11684</v>
      </c>
      <c r="F983" s="16" t="s">
        <v>944</v>
      </c>
      <c r="G983" s="16" t="s">
        <v>944</v>
      </c>
    </row>
    <row r="984">
      <c r="E984" s="16" t="s">
        <v>11684</v>
      </c>
      <c r="F984" s="16" t="s">
        <v>944</v>
      </c>
      <c r="G984" s="16" t="s">
        <v>944</v>
      </c>
    </row>
    <row r="985">
      <c r="E985" s="16" t="s">
        <v>11684</v>
      </c>
      <c r="F985" s="16" t="s">
        <v>944</v>
      </c>
      <c r="G985" s="16" t="s">
        <v>944</v>
      </c>
    </row>
    <row r="986">
      <c r="E986" s="16" t="s">
        <v>11684</v>
      </c>
      <c r="F986" s="16" t="s">
        <v>944</v>
      </c>
      <c r="G986" s="16" t="s">
        <v>944</v>
      </c>
    </row>
    <row r="987">
      <c r="E987" s="16" t="s">
        <v>11684</v>
      </c>
      <c r="F987" s="16" t="s">
        <v>944</v>
      </c>
      <c r="G987" s="16" t="s">
        <v>944</v>
      </c>
    </row>
    <row r="988">
      <c r="E988" s="16" t="s">
        <v>11684</v>
      </c>
      <c r="F988" s="16" t="s">
        <v>944</v>
      </c>
      <c r="G988" s="16" t="s">
        <v>944</v>
      </c>
    </row>
    <row r="989">
      <c r="E989" s="16" t="s">
        <v>11684</v>
      </c>
      <c r="F989" s="16" t="s">
        <v>944</v>
      </c>
      <c r="G989" s="16" t="s">
        <v>944</v>
      </c>
    </row>
    <row r="990">
      <c r="E990" s="16" t="s">
        <v>11684</v>
      </c>
      <c r="F990" s="16" t="s">
        <v>944</v>
      </c>
      <c r="G990" s="16" t="s">
        <v>944</v>
      </c>
    </row>
    <row r="991">
      <c r="E991" s="16" t="s">
        <v>11684</v>
      </c>
      <c r="F991" s="16" t="s">
        <v>944</v>
      </c>
      <c r="G991" s="16" t="s">
        <v>944</v>
      </c>
    </row>
    <row r="992">
      <c r="E992" s="16" t="s">
        <v>11684</v>
      </c>
      <c r="F992" s="16" t="s">
        <v>944</v>
      </c>
      <c r="G992" s="16" t="s">
        <v>944</v>
      </c>
    </row>
    <row r="993">
      <c r="E993" s="16" t="s">
        <v>11684</v>
      </c>
      <c r="F993" s="16" t="s">
        <v>944</v>
      </c>
      <c r="G993" s="16" t="s">
        <v>944</v>
      </c>
    </row>
    <row r="994">
      <c r="E994" s="16" t="s">
        <v>11684</v>
      </c>
      <c r="F994" s="16" t="s">
        <v>944</v>
      </c>
      <c r="G994" s="16" t="s">
        <v>944</v>
      </c>
    </row>
    <row r="995">
      <c r="E995" s="16" t="s">
        <v>11684</v>
      </c>
      <c r="F995" s="16" t="s">
        <v>944</v>
      </c>
      <c r="G995" s="16" t="s">
        <v>944</v>
      </c>
    </row>
    <row r="996">
      <c r="E996" s="16" t="s">
        <v>11684</v>
      </c>
      <c r="F996" s="16" t="s">
        <v>944</v>
      </c>
      <c r="G996" s="16" t="s">
        <v>944</v>
      </c>
    </row>
    <row r="997">
      <c r="E997" s="16" t="s">
        <v>11684</v>
      </c>
      <c r="F997" s="16" t="s">
        <v>944</v>
      </c>
      <c r="G997" s="16" t="s">
        <v>944</v>
      </c>
    </row>
  </sheetData>
  <dataValidations>
    <dataValidation allowBlank="1" showDropDown="1" sqref="A2:A103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hidden="1" min="2" max="2" width="16.75"/>
    <col customWidth="1" min="3" max="3" width="12.13"/>
    <col customWidth="1" min="4" max="4" width="25.13"/>
    <col customWidth="1" min="5" max="5" width="20.25"/>
    <col customWidth="1" min="6" max="6" width="37.0"/>
    <col customWidth="1" min="7" max="7" width="11.38"/>
    <col customWidth="1" min="8" max="8" width="25.13"/>
    <col customWidth="1" min="9" max="10" width="14.13"/>
    <col customWidth="1" min="11" max="11" width="20.25"/>
    <col customWidth="1" min="12" max="12" width="20.63"/>
    <col customWidth="1" min="13" max="15" width="37.63"/>
    <col customWidth="1" min="16" max="16" width="13.88"/>
    <col customWidth="1" min="17" max="17" width="22.63"/>
  </cols>
  <sheetData>
    <row r="1" ht="22.5" customHeight="1">
      <c r="A1" s="18" t="s">
        <v>11362</v>
      </c>
      <c r="B1" s="18" t="s">
        <v>3261</v>
      </c>
      <c r="C1" s="18" t="s">
        <v>11363</v>
      </c>
      <c r="D1" s="18" t="s">
        <v>11685</v>
      </c>
      <c r="E1" s="108" t="s">
        <v>11365</v>
      </c>
      <c r="F1" s="18" t="s">
        <v>11686</v>
      </c>
      <c r="G1" s="18" t="s">
        <v>692</v>
      </c>
      <c r="H1" s="18" t="s">
        <v>11366</v>
      </c>
      <c r="I1" s="18" t="s">
        <v>11687</v>
      </c>
      <c r="J1" s="18" t="s">
        <v>11688</v>
      </c>
      <c r="K1" s="18" t="s">
        <v>11689</v>
      </c>
      <c r="L1" s="18" t="s">
        <v>11690</v>
      </c>
      <c r="M1" s="18" t="s">
        <v>11691</v>
      </c>
      <c r="N1" s="18" t="s">
        <v>11692</v>
      </c>
      <c r="O1" s="18" t="s">
        <v>11693</v>
      </c>
      <c r="P1" s="18" t="s">
        <v>11694</v>
      </c>
      <c r="Q1" s="18" t="s">
        <v>90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109" t="s">
        <v>833</v>
      </c>
      <c r="B2" s="109" t="s">
        <v>11695</v>
      </c>
      <c r="C2" s="109" t="s">
        <v>933</v>
      </c>
      <c r="D2" s="109" t="s">
        <v>3140</v>
      </c>
      <c r="E2" s="109" t="str">
        <f t="array" ref="E2:E66">if(C2:C66="","",I2:I66&amp;"|"&amp;J2:J66)</f>
        <v>ม.3/10|อก.3/12</v>
      </c>
      <c r="F2" s="110" t="s">
        <v>7352</v>
      </c>
      <c r="G2" s="109" t="s">
        <v>11696</v>
      </c>
      <c r="H2" s="109" t="s">
        <v>11402</v>
      </c>
      <c r="I2" s="109" t="s">
        <v>7327</v>
      </c>
      <c r="J2" s="109" t="s">
        <v>7328</v>
      </c>
      <c r="K2" s="109" t="s">
        <v>11697</v>
      </c>
      <c r="L2" s="109" t="s">
        <v>11698</v>
      </c>
      <c r="M2" s="109" t="s">
        <v>11699</v>
      </c>
      <c r="N2" s="110" t="s">
        <v>11700</v>
      </c>
      <c r="O2" s="110" t="s">
        <v>11701</v>
      </c>
      <c r="P2" s="109" t="s">
        <v>11702</v>
      </c>
      <c r="Q2" s="109" t="s">
        <v>11703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2.5" customHeight="1">
      <c r="A3" s="109" t="s">
        <v>838</v>
      </c>
      <c r="B3" s="109" t="s">
        <v>11704</v>
      </c>
      <c r="C3" s="109" t="s">
        <v>813</v>
      </c>
      <c r="D3" s="109" t="s">
        <v>3149</v>
      </c>
      <c r="E3" s="109" t="s">
        <v>11613</v>
      </c>
      <c r="F3" s="110" t="s">
        <v>7348</v>
      </c>
      <c r="G3" s="109" t="s">
        <v>11696</v>
      </c>
      <c r="H3" s="109" t="s">
        <v>11414</v>
      </c>
      <c r="I3" s="109" t="s">
        <v>7327</v>
      </c>
      <c r="J3" s="109" t="s">
        <v>7328</v>
      </c>
      <c r="K3" s="109" t="s">
        <v>11705</v>
      </c>
      <c r="L3" s="109" t="s">
        <v>11706</v>
      </c>
      <c r="M3" s="109" t="s">
        <v>11707</v>
      </c>
      <c r="N3" s="110" t="s">
        <v>11708</v>
      </c>
      <c r="O3" s="110" t="s">
        <v>11709</v>
      </c>
      <c r="P3" s="109" t="s">
        <v>11710</v>
      </c>
      <c r="Q3" s="109" t="s">
        <v>11711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2.5" customHeight="1">
      <c r="A4" s="109" t="s">
        <v>842</v>
      </c>
      <c r="B4" s="109" t="s">
        <v>11712</v>
      </c>
      <c r="C4" s="109" t="s">
        <v>815</v>
      </c>
      <c r="D4" s="109" t="s">
        <v>3156</v>
      </c>
      <c r="E4" s="109" t="s">
        <v>11613</v>
      </c>
      <c r="F4" s="110" t="s">
        <v>7373</v>
      </c>
      <c r="G4" s="109" t="s">
        <v>11696</v>
      </c>
      <c r="H4" s="109" t="s">
        <v>11405</v>
      </c>
      <c r="I4" s="109" t="s">
        <v>7327</v>
      </c>
      <c r="J4" s="109" t="s">
        <v>7328</v>
      </c>
      <c r="K4" s="109" t="s">
        <v>11698</v>
      </c>
      <c r="L4" s="109" t="s">
        <v>11713</v>
      </c>
      <c r="M4" s="109" t="s">
        <v>11714</v>
      </c>
      <c r="N4" s="110" t="s">
        <v>11715</v>
      </c>
      <c r="O4" s="110" t="s">
        <v>11716</v>
      </c>
      <c r="P4" s="109" t="s">
        <v>11702</v>
      </c>
      <c r="Q4" s="109" t="s">
        <v>11717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2.5" customHeight="1">
      <c r="A5" s="109" t="s">
        <v>844</v>
      </c>
      <c r="B5" s="109" t="s">
        <v>11718</v>
      </c>
      <c r="C5" s="109" t="s">
        <v>818</v>
      </c>
      <c r="D5" s="109" t="s">
        <v>3167</v>
      </c>
      <c r="E5" s="109" t="s">
        <v>11613</v>
      </c>
      <c r="F5" s="110" t="s">
        <v>7353</v>
      </c>
      <c r="G5" s="109" t="s">
        <v>11696</v>
      </c>
      <c r="H5" s="109" t="s">
        <v>11719</v>
      </c>
      <c r="I5" s="109" t="s">
        <v>7327</v>
      </c>
      <c r="J5" s="109" t="s">
        <v>7328</v>
      </c>
      <c r="K5" s="109" t="s">
        <v>11720</v>
      </c>
      <c r="L5" s="109" t="s">
        <v>11721</v>
      </c>
      <c r="M5" s="109" t="s">
        <v>11722</v>
      </c>
      <c r="N5" s="110" t="s">
        <v>11723</v>
      </c>
      <c r="O5" s="110" t="s">
        <v>11724</v>
      </c>
      <c r="P5" s="109" t="s">
        <v>11710</v>
      </c>
      <c r="Q5" s="109" t="s">
        <v>11725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2.5" customHeight="1">
      <c r="A6" s="109" t="s">
        <v>848</v>
      </c>
      <c r="B6" s="109" t="s">
        <v>11726</v>
      </c>
      <c r="C6" s="109" t="s">
        <v>822</v>
      </c>
      <c r="D6" s="109" t="s">
        <v>3173</v>
      </c>
      <c r="E6" s="109" t="s">
        <v>11613</v>
      </c>
      <c r="F6" s="110" t="s">
        <v>7360</v>
      </c>
      <c r="G6" s="109" t="s">
        <v>11696</v>
      </c>
      <c r="H6" s="109" t="s">
        <v>11719</v>
      </c>
      <c r="I6" s="109" t="s">
        <v>7327</v>
      </c>
      <c r="J6" s="109" t="s">
        <v>7328</v>
      </c>
      <c r="K6" s="109" t="s">
        <v>11727</v>
      </c>
      <c r="L6" s="109" t="s">
        <v>11728</v>
      </c>
      <c r="M6" s="109" t="s">
        <v>11729</v>
      </c>
      <c r="N6" s="110" t="s">
        <v>11730</v>
      </c>
      <c r="O6" s="110" t="s">
        <v>11731</v>
      </c>
      <c r="P6" s="109" t="s">
        <v>11702</v>
      </c>
      <c r="Q6" s="109" t="s">
        <v>11732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2.5" customHeight="1">
      <c r="A7" s="109" t="s">
        <v>860</v>
      </c>
      <c r="B7" s="109" t="s">
        <v>11733</v>
      </c>
      <c r="C7" s="109" t="s">
        <v>824</v>
      </c>
      <c r="D7" s="109" t="s">
        <v>3182</v>
      </c>
      <c r="E7" s="109" t="s">
        <v>11622</v>
      </c>
      <c r="F7" s="110" t="s">
        <v>7469</v>
      </c>
      <c r="G7" s="109" t="s">
        <v>11696</v>
      </c>
      <c r="H7" s="109" t="s">
        <v>707</v>
      </c>
      <c r="I7" s="109" t="s">
        <v>7397</v>
      </c>
      <c r="J7" s="109" t="s">
        <v>7398</v>
      </c>
      <c r="K7" s="109" t="s">
        <v>11734</v>
      </c>
      <c r="L7" s="109" t="s">
        <v>131</v>
      </c>
      <c r="M7" s="109" t="s">
        <v>11735</v>
      </c>
      <c r="N7" s="110" t="s">
        <v>11736</v>
      </c>
      <c r="O7" s="110" t="s">
        <v>11737</v>
      </c>
      <c r="P7" s="109" t="s">
        <v>11710</v>
      </c>
      <c r="Q7" s="109" t="s">
        <v>11738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2.5" customHeight="1">
      <c r="A8" s="109" t="s">
        <v>846</v>
      </c>
      <c r="B8" s="109" t="s">
        <v>11739</v>
      </c>
      <c r="C8" s="109" t="s">
        <v>827</v>
      </c>
      <c r="D8" s="109" t="s">
        <v>3196</v>
      </c>
      <c r="E8" s="109" t="s">
        <v>11561</v>
      </c>
      <c r="F8" s="110" t="s">
        <v>6797</v>
      </c>
      <c r="G8" s="109" t="s">
        <v>11696</v>
      </c>
      <c r="H8" s="109" t="s">
        <v>11414</v>
      </c>
      <c r="I8" s="109" t="s">
        <v>6760</v>
      </c>
      <c r="J8" s="109" t="s">
        <v>6761</v>
      </c>
      <c r="K8" s="109" t="s">
        <v>11740</v>
      </c>
      <c r="L8" s="109" t="s">
        <v>11741</v>
      </c>
      <c r="M8" s="109" t="s">
        <v>11742</v>
      </c>
      <c r="N8" s="110" t="s">
        <v>11743</v>
      </c>
      <c r="O8" s="110" t="s">
        <v>11709</v>
      </c>
      <c r="P8" s="109" t="s">
        <v>11710</v>
      </c>
      <c r="Q8" s="109" t="s">
        <v>11744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2.5" customHeight="1">
      <c r="A9" s="109" t="s">
        <v>889</v>
      </c>
      <c r="B9" s="109" t="s">
        <v>11745</v>
      </c>
      <c r="C9" s="109" t="s">
        <v>830</v>
      </c>
      <c r="D9" s="109" t="s">
        <v>3210</v>
      </c>
      <c r="E9" s="109" t="s">
        <v>11616</v>
      </c>
      <c r="F9" s="110" t="s">
        <v>7267</v>
      </c>
      <c r="G9" s="109" t="s">
        <v>11696</v>
      </c>
      <c r="H9" s="109" t="s">
        <v>699</v>
      </c>
      <c r="I9" s="109" t="s">
        <v>7252</v>
      </c>
      <c r="J9" s="109" t="s">
        <v>7253</v>
      </c>
      <c r="K9" s="109" t="s">
        <v>11746</v>
      </c>
      <c r="L9" s="109" t="s">
        <v>11747</v>
      </c>
      <c r="M9" s="109" t="s">
        <v>11748</v>
      </c>
      <c r="N9" s="110" t="s">
        <v>11749</v>
      </c>
      <c r="O9" s="110" t="s">
        <v>11750</v>
      </c>
      <c r="P9" s="109" t="s">
        <v>11702</v>
      </c>
      <c r="Q9" s="109" t="s">
        <v>11751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2.5" customHeight="1">
      <c r="A10" s="109" t="s">
        <v>951</v>
      </c>
      <c r="B10" s="109" t="s">
        <v>11752</v>
      </c>
      <c r="C10" s="109" t="s">
        <v>832</v>
      </c>
      <c r="D10" s="109" t="s">
        <v>3111</v>
      </c>
      <c r="E10" s="109" t="s">
        <v>11629</v>
      </c>
      <c r="F10" s="110" t="s">
        <v>8462</v>
      </c>
      <c r="G10" s="109" t="s">
        <v>11696</v>
      </c>
      <c r="H10" s="109" t="s">
        <v>728</v>
      </c>
      <c r="I10" s="109" t="s">
        <v>8451</v>
      </c>
      <c r="J10" s="109" t="s">
        <v>7926</v>
      </c>
      <c r="K10" s="109" t="s">
        <v>11741</v>
      </c>
      <c r="L10" s="109" t="s">
        <v>11753</v>
      </c>
      <c r="M10" s="109" t="s">
        <v>11754</v>
      </c>
      <c r="N10" s="110" t="s">
        <v>11755</v>
      </c>
      <c r="O10" s="110" t="s">
        <v>11756</v>
      </c>
      <c r="P10" s="109" t="s">
        <v>11702</v>
      </c>
      <c r="Q10" s="109" t="s">
        <v>11757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2.5" customHeight="1">
      <c r="A11" s="109" t="s">
        <v>148</v>
      </c>
      <c r="B11" s="109" t="s">
        <v>11758</v>
      </c>
      <c r="C11" s="109" t="s">
        <v>834</v>
      </c>
      <c r="D11" s="109" t="s">
        <v>3124</v>
      </c>
      <c r="E11" s="109" t="s">
        <v>11580</v>
      </c>
      <c r="F11" s="110" t="s">
        <v>7664</v>
      </c>
      <c r="G11" s="109" t="s">
        <v>11696</v>
      </c>
      <c r="H11" s="109" t="s">
        <v>11414</v>
      </c>
      <c r="I11" s="109" t="s">
        <v>7648</v>
      </c>
      <c r="J11" s="109" t="s">
        <v>7649</v>
      </c>
      <c r="K11" s="109" t="s">
        <v>11759</v>
      </c>
      <c r="L11" s="109" t="s">
        <v>11760</v>
      </c>
      <c r="M11" s="109" t="s">
        <v>11761</v>
      </c>
      <c r="N11" s="110" t="s">
        <v>11762</v>
      </c>
      <c r="O11" s="110" t="s">
        <v>11763</v>
      </c>
      <c r="P11" s="109" t="s">
        <v>11702</v>
      </c>
      <c r="Q11" s="109" t="s">
        <v>11764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2.5" customHeight="1">
      <c r="A12" s="109" t="s">
        <v>807</v>
      </c>
      <c r="B12" s="109" t="s">
        <v>11765</v>
      </c>
      <c r="C12" s="109" t="s">
        <v>836</v>
      </c>
      <c r="D12" s="109" t="s">
        <v>3141</v>
      </c>
      <c r="E12" s="109" t="s">
        <v>11639</v>
      </c>
      <c r="F12" s="110" t="s">
        <v>7785</v>
      </c>
      <c r="G12" s="109" t="s">
        <v>11696</v>
      </c>
      <c r="H12" s="109" t="s">
        <v>11405</v>
      </c>
      <c r="I12" s="109" t="s">
        <v>7774</v>
      </c>
      <c r="J12" s="109" t="s">
        <v>7779</v>
      </c>
      <c r="K12" s="109" t="s">
        <v>11766</v>
      </c>
      <c r="L12" s="109" t="s">
        <v>11767</v>
      </c>
      <c r="M12" s="109" t="s">
        <v>11768</v>
      </c>
      <c r="N12" s="110" t="s">
        <v>11769</v>
      </c>
      <c r="O12" s="110" t="s">
        <v>11770</v>
      </c>
      <c r="P12" s="109" t="s">
        <v>11702</v>
      </c>
      <c r="Q12" s="109" t="s">
        <v>11771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2.5" customHeight="1">
      <c r="A13" s="109" t="s">
        <v>131</v>
      </c>
      <c r="B13" s="109" t="s">
        <v>11772</v>
      </c>
      <c r="C13" s="109" t="s">
        <v>839</v>
      </c>
      <c r="D13" s="109" t="s">
        <v>3142</v>
      </c>
      <c r="E13" s="109" t="s">
        <v>11639</v>
      </c>
      <c r="F13" s="110" t="s">
        <v>7781</v>
      </c>
      <c r="G13" s="109" t="s">
        <v>11696</v>
      </c>
      <c r="H13" s="109" t="s">
        <v>11405</v>
      </c>
      <c r="I13" s="109" t="s">
        <v>7774</v>
      </c>
      <c r="J13" s="109" t="s">
        <v>7779</v>
      </c>
      <c r="K13" s="109" t="s">
        <v>11773</v>
      </c>
      <c r="L13" s="109" t="s">
        <v>11774</v>
      </c>
      <c r="M13" s="109" t="s">
        <v>11775</v>
      </c>
      <c r="N13" s="111" t="s">
        <v>11776</v>
      </c>
      <c r="O13" s="110" t="s">
        <v>11777</v>
      </c>
      <c r="P13" s="109" t="s">
        <v>11702</v>
      </c>
      <c r="Q13" s="109" t="s">
        <v>11778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2.5" customHeight="1">
      <c r="A14" s="109" t="s">
        <v>811</v>
      </c>
      <c r="B14" s="109" t="s">
        <v>11779</v>
      </c>
      <c r="C14" s="109" t="s">
        <v>841</v>
      </c>
      <c r="D14" s="109" t="s">
        <v>3143</v>
      </c>
      <c r="E14" s="109" t="s">
        <v>11639</v>
      </c>
      <c r="F14" s="110" t="s">
        <v>7789</v>
      </c>
      <c r="G14" s="109" t="s">
        <v>11696</v>
      </c>
      <c r="H14" s="109" t="s">
        <v>11405</v>
      </c>
      <c r="I14" s="109" t="s">
        <v>7774</v>
      </c>
      <c r="J14" s="109" t="s">
        <v>7779</v>
      </c>
      <c r="K14" s="109" t="s">
        <v>11780</v>
      </c>
      <c r="L14" s="109" t="s">
        <v>11781</v>
      </c>
      <c r="M14" s="109" t="s">
        <v>11782</v>
      </c>
      <c r="N14" s="110" t="s">
        <v>11783</v>
      </c>
      <c r="O14" s="110" t="s">
        <v>11784</v>
      </c>
      <c r="P14" s="109" t="s">
        <v>11710</v>
      </c>
      <c r="Q14" s="109" t="s">
        <v>11785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2.5" customHeight="1">
      <c r="A15" s="109" t="s">
        <v>840</v>
      </c>
      <c r="B15" s="109" t="s">
        <v>11786</v>
      </c>
      <c r="C15" s="109" t="s">
        <v>843</v>
      </c>
      <c r="D15" s="109" t="s">
        <v>3144</v>
      </c>
      <c r="E15" s="109" t="s">
        <v>11639</v>
      </c>
      <c r="F15" s="110" t="s">
        <v>7799</v>
      </c>
      <c r="G15" s="109" t="s">
        <v>11696</v>
      </c>
      <c r="H15" s="109" t="s">
        <v>11413</v>
      </c>
      <c r="I15" s="109" t="s">
        <v>7774</v>
      </c>
      <c r="J15" s="109" t="s">
        <v>7779</v>
      </c>
      <c r="K15" s="109" t="s">
        <v>11787</v>
      </c>
      <c r="L15" s="109" t="s">
        <v>11721</v>
      </c>
      <c r="M15" s="109" t="s">
        <v>11788</v>
      </c>
      <c r="N15" s="110" t="s">
        <v>11789</v>
      </c>
      <c r="O15" s="110" t="s">
        <v>11790</v>
      </c>
      <c r="P15" s="109" t="s">
        <v>11702</v>
      </c>
      <c r="Q15" s="109" t="s">
        <v>11791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2.5" customHeight="1">
      <c r="A16" s="109" t="s">
        <v>764</v>
      </c>
      <c r="B16" s="109" t="s">
        <v>11792</v>
      </c>
      <c r="C16" s="109" t="s">
        <v>845</v>
      </c>
      <c r="D16" s="109" t="s">
        <v>3145</v>
      </c>
      <c r="E16" s="109" t="s">
        <v>11639</v>
      </c>
      <c r="F16" s="110" t="s">
        <v>7858</v>
      </c>
      <c r="G16" s="109" t="s">
        <v>11696</v>
      </c>
      <c r="H16" s="109" t="s">
        <v>728</v>
      </c>
      <c r="I16" s="109" t="s">
        <v>7774</v>
      </c>
      <c r="J16" s="109" t="s">
        <v>7779</v>
      </c>
      <c r="K16" s="109" t="s">
        <v>11793</v>
      </c>
      <c r="L16" s="109" t="s">
        <v>11774</v>
      </c>
      <c r="M16" s="109" t="s">
        <v>11794</v>
      </c>
      <c r="N16" s="110" t="s">
        <v>11795</v>
      </c>
      <c r="O16" s="110" t="s">
        <v>11796</v>
      </c>
      <c r="P16" s="109" t="s">
        <v>11702</v>
      </c>
      <c r="Q16" s="109" t="s">
        <v>11797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2.5" customHeight="1">
      <c r="A17" s="109" t="s">
        <v>879</v>
      </c>
      <c r="B17" s="109" t="s">
        <v>11798</v>
      </c>
      <c r="C17" s="109" t="s">
        <v>847</v>
      </c>
      <c r="D17" s="109" t="s">
        <v>3146</v>
      </c>
      <c r="E17" s="109" t="s">
        <v>11639</v>
      </c>
      <c r="F17" s="110" t="s">
        <v>7806</v>
      </c>
      <c r="G17" s="109" t="s">
        <v>11696</v>
      </c>
      <c r="H17" s="109" t="s">
        <v>711</v>
      </c>
      <c r="I17" s="109" t="s">
        <v>7774</v>
      </c>
      <c r="J17" s="109" t="s">
        <v>7779</v>
      </c>
      <c r="K17" s="109" t="s">
        <v>11799</v>
      </c>
      <c r="L17" s="109" t="s">
        <v>11800</v>
      </c>
      <c r="M17" s="109" t="s">
        <v>11801</v>
      </c>
      <c r="N17" s="110" t="s">
        <v>11802</v>
      </c>
      <c r="O17" s="110" t="s">
        <v>11803</v>
      </c>
      <c r="P17" s="109" t="s">
        <v>11710</v>
      </c>
      <c r="Q17" s="109" t="s">
        <v>11804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2.5" customHeight="1">
      <c r="A18" s="109" t="s">
        <v>773</v>
      </c>
      <c r="B18" s="109" t="s">
        <v>11805</v>
      </c>
      <c r="C18" s="109" t="s">
        <v>849</v>
      </c>
      <c r="D18" s="109" t="s">
        <v>3147</v>
      </c>
      <c r="E18" s="109" t="s">
        <v>11639</v>
      </c>
      <c r="F18" s="110" t="s">
        <v>7871</v>
      </c>
      <c r="G18" s="109" t="s">
        <v>11696</v>
      </c>
      <c r="H18" s="109" t="s">
        <v>711</v>
      </c>
      <c r="I18" s="109" t="s">
        <v>7774</v>
      </c>
      <c r="J18" s="109" t="s">
        <v>7779</v>
      </c>
      <c r="K18" s="109" t="s">
        <v>11706</v>
      </c>
      <c r="L18" s="109" t="s">
        <v>11774</v>
      </c>
      <c r="M18" s="109" t="s">
        <v>11806</v>
      </c>
      <c r="N18" s="110" t="s">
        <v>11807</v>
      </c>
      <c r="O18" s="110" t="s">
        <v>11808</v>
      </c>
      <c r="P18" s="109" t="s">
        <v>128</v>
      </c>
      <c r="Q18" s="109" t="s">
        <v>11809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2.5" customHeight="1">
      <c r="A19" s="109" t="s">
        <v>904</v>
      </c>
      <c r="B19" s="109" t="s">
        <v>11810</v>
      </c>
      <c r="C19" s="109" t="s">
        <v>851</v>
      </c>
      <c r="D19" s="109" t="s">
        <v>3148</v>
      </c>
      <c r="E19" s="109" t="s">
        <v>11667</v>
      </c>
      <c r="F19" s="110" t="s">
        <v>7983</v>
      </c>
      <c r="G19" s="109" t="s">
        <v>11696</v>
      </c>
      <c r="H19" s="109" t="s">
        <v>707</v>
      </c>
      <c r="I19" s="109" t="s">
        <v>7902</v>
      </c>
      <c r="J19" s="109" t="s">
        <v>7926</v>
      </c>
      <c r="K19" s="109" t="s">
        <v>11811</v>
      </c>
      <c r="L19" s="109" t="s">
        <v>11753</v>
      </c>
      <c r="M19" s="109" t="s">
        <v>11812</v>
      </c>
      <c r="N19" s="110" t="s">
        <v>11813</v>
      </c>
      <c r="O19" s="110" t="s">
        <v>11814</v>
      </c>
      <c r="P19" s="109" t="s">
        <v>11710</v>
      </c>
      <c r="Q19" s="109" t="s">
        <v>11815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2.5" customHeight="1">
      <c r="A20" s="109" t="s">
        <v>850</v>
      </c>
      <c r="B20" s="109" t="s">
        <v>11816</v>
      </c>
      <c r="C20" s="109" t="s">
        <v>759</v>
      </c>
      <c r="D20" s="109" t="s">
        <v>166</v>
      </c>
      <c r="E20" s="109" t="s">
        <v>11566</v>
      </c>
      <c r="F20" s="110" t="s">
        <v>9031</v>
      </c>
      <c r="G20" s="109" t="s">
        <v>11817</v>
      </c>
      <c r="H20" s="109" t="s">
        <v>718</v>
      </c>
      <c r="I20" s="109" t="s">
        <v>9009</v>
      </c>
      <c r="J20" s="109" t="s">
        <v>9010</v>
      </c>
      <c r="K20" s="109" t="s">
        <v>11818</v>
      </c>
      <c r="L20" s="109" t="s">
        <v>11734</v>
      </c>
      <c r="M20" s="109" t="s">
        <v>11819</v>
      </c>
      <c r="N20" s="110" t="s">
        <v>11820</v>
      </c>
      <c r="O20" s="110" t="s">
        <v>11821</v>
      </c>
      <c r="P20" s="109" t="s">
        <v>11702</v>
      </c>
      <c r="Q20" s="109" t="s">
        <v>11822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2.5" customHeight="1">
      <c r="A21" s="109" t="s">
        <v>771</v>
      </c>
      <c r="B21" s="109" t="s">
        <v>11823</v>
      </c>
      <c r="C21" s="109" t="s">
        <v>854</v>
      </c>
      <c r="D21" s="109" t="s">
        <v>3150</v>
      </c>
      <c r="E21" s="109" t="s">
        <v>11667</v>
      </c>
      <c r="F21" s="110" t="s">
        <v>7927</v>
      </c>
      <c r="G21" s="109" t="s">
        <v>11696</v>
      </c>
      <c r="H21" s="109" t="s">
        <v>707</v>
      </c>
      <c r="I21" s="109" t="s">
        <v>7902</v>
      </c>
      <c r="J21" s="109" t="s">
        <v>7926</v>
      </c>
      <c r="K21" s="109" t="s">
        <v>11824</v>
      </c>
      <c r="L21" s="109" t="s">
        <v>11825</v>
      </c>
      <c r="M21" s="109" t="s">
        <v>11826</v>
      </c>
      <c r="N21" s="110" t="s">
        <v>11827</v>
      </c>
      <c r="O21" s="110" t="s">
        <v>11828</v>
      </c>
      <c r="P21" s="109" t="s">
        <v>11710</v>
      </c>
      <c r="Q21" s="109" t="s">
        <v>11829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2.5" customHeight="1">
      <c r="A22" s="109" t="s">
        <v>734</v>
      </c>
      <c r="B22" s="109" t="s">
        <v>11830</v>
      </c>
      <c r="C22" s="109" t="s">
        <v>856</v>
      </c>
      <c r="D22" s="109" t="s">
        <v>3151</v>
      </c>
      <c r="E22" s="109" t="s">
        <v>11636</v>
      </c>
      <c r="F22" s="110" t="s">
        <v>8052</v>
      </c>
      <c r="G22" s="109" t="s">
        <v>11696</v>
      </c>
      <c r="H22" s="109" t="s">
        <v>11719</v>
      </c>
      <c r="I22" s="109" t="s">
        <v>8028</v>
      </c>
      <c r="J22" s="109" t="s">
        <v>8029</v>
      </c>
      <c r="K22" s="109" t="s">
        <v>11767</v>
      </c>
      <c r="L22" s="109" t="s">
        <v>11831</v>
      </c>
      <c r="M22" s="109" t="s">
        <v>11832</v>
      </c>
      <c r="N22" s="110" t="s">
        <v>11833</v>
      </c>
      <c r="O22" s="110" t="s">
        <v>11834</v>
      </c>
      <c r="P22" s="109" t="s">
        <v>11702</v>
      </c>
      <c r="Q22" s="109" t="s">
        <v>11835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2.5" customHeight="1">
      <c r="A23" s="109" t="s">
        <v>855</v>
      </c>
      <c r="B23" s="109" t="s">
        <v>11836</v>
      </c>
      <c r="C23" s="109" t="s">
        <v>794</v>
      </c>
      <c r="D23" s="109" t="s">
        <v>193</v>
      </c>
      <c r="E23" s="109" t="s">
        <v>11568</v>
      </c>
      <c r="F23" s="110" t="s">
        <v>9291</v>
      </c>
      <c r="G23" s="109" t="s">
        <v>11817</v>
      </c>
      <c r="H23" s="109" t="s">
        <v>728</v>
      </c>
      <c r="I23" s="109" t="s">
        <v>9241</v>
      </c>
      <c r="J23" s="109" t="s">
        <v>9242</v>
      </c>
      <c r="K23" s="109" t="s">
        <v>11837</v>
      </c>
      <c r="L23" s="109" t="s">
        <v>11838</v>
      </c>
      <c r="M23" s="109" t="s">
        <v>11839</v>
      </c>
      <c r="N23" s="110" t="s">
        <v>11840</v>
      </c>
      <c r="O23" s="110" t="s">
        <v>11841</v>
      </c>
      <c r="P23" s="109" t="s">
        <v>11702</v>
      </c>
      <c r="Q23" s="109" t="s">
        <v>11842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2.5" customHeight="1">
      <c r="A24" s="109" t="s">
        <v>793</v>
      </c>
      <c r="B24" s="109" t="s">
        <v>11843</v>
      </c>
      <c r="C24" s="109" t="s">
        <v>753</v>
      </c>
      <c r="D24" s="109" t="s">
        <v>196</v>
      </c>
      <c r="E24" s="109" t="s">
        <v>11588</v>
      </c>
      <c r="F24" s="110" t="s">
        <v>8589</v>
      </c>
      <c r="G24" s="109" t="s">
        <v>11817</v>
      </c>
      <c r="H24" s="109" t="s">
        <v>728</v>
      </c>
      <c r="I24" s="109" t="s">
        <v>8561</v>
      </c>
      <c r="J24" s="109" t="s">
        <v>8563</v>
      </c>
      <c r="K24" s="109" t="s">
        <v>11844</v>
      </c>
      <c r="L24" s="109" t="s">
        <v>11845</v>
      </c>
      <c r="M24" s="109" t="s">
        <v>11846</v>
      </c>
      <c r="N24" s="110" t="s">
        <v>11847</v>
      </c>
      <c r="O24" s="110" t="s">
        <v>11848</v>
      </c>
      <c r="P24" s="109" t="s">
        <v>11702</v>
      </c>
      <c r="Q24" s="109" t="s">
        <v>11849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2.5" customHeight="1">
      <c r="A25" s="109" t="s">
        <v>857</v>
      </c>
      <c r="B25" s="109" t="s">
        <v>11850</v>
      </c>
      <c r="C25" s="109" t="s">
        <v>858</v>
      </c>
      <c r="D25" s="109" t="s">
        <v>3152</v>
      </c>
      <c r="E25" s="109" t="s">
        <v>11636</v>
      </c>
      <c r="F25" s="110" t="s">
        <v>8059</v>
      </c>
      <c r="G25" s="109" t="s">
        <v>11696</v>
      </c>
      <c r="H25" s="109" t="s">
        <v>707</v>
      </c>
      <c r="I25" s="109" t="s">
        <v>8028</v>
      </c>
      <c r="J25" s="109" t="s">
        <v>8029</v>
      </c>
      <c r="K25" s="109" t="s">
        <v>11851</v>
      </c>
      <c r="L25" s="109" t="s">
        <v>131</v>
      </c>
      <c r="M25" s="109" t="s">
        <v>11852</v>
      </c>
      <c r="N25" s="110" t="s">
        <v>11853</v>
      </c>
      <c r="O25" s="110" t="s">
        <v>11854</v>
      </c>
      <c r="P25" s="109" t="s">
        <v>11702</v>
      </c>
      <c r="Q25" s="109" t="s">
        <v>11855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2.5" customHeight="1">
      <c r="A26" s="109" t="s">
        <v>885</v>
      </c>
      <c r="B26" s="109" t="s">
        <v>11856</v>
      </c>
      <c r="C26" s="109" t="s">
        <v>861</v>
      </c>
      <c r="D26" s="109" t="s">
        <v>3153</v>
      </c>
      <c r="E26" s="109" t="s">
        <v>11636</v>
      </c>
      <c r="F26" s="110" t="s">
        <v>8090</v>
      </c>
      <c r="G26" s="109" t="s">
        <v>11696</v>
      </c>
      <c r="H26" s="109" t="s">
        <v>736</v>
      </c>
      <c r="I26" s="109" t="s">
        <v>8028</v>
      </c>
      <c r="J26" s="109" t="s">
        <v>8029</v>
      </c>
      <c r="K26" s="109" t="s">
        <v>11857</v>
      </c>
      <c r="L26" s="109" t="s">
        <v>131</v>
      </c>
      <c r="M26" s="109" t="s">
        <v>11858</v>
      </c>
      <c r="N26" s="110" t="s">
        <v>11859</v>
      </c>
      <c r="O26" s="110" t="s">
        <v>11860</v>
      </c>
      <c r="P26" s="109" t="s">
        <v>11702</v>
      </c>
      <c r="Q26" s="109" t="s">
        <v>11861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2.5" customHeight="1">
      <c r="A27" s="109" t="s">
        <v>853</v>
      </c>
      <c r="B27" s="109" t="s">
        <v>11862</v>
      </c>
      <c r="C27" s="109" t="s">
        <v>863</v>
      </c>
      <c r="D27" s="109" t="s">
        <v>3154</v>
      </c>
      <c r="E27" s="109" t="s">
        <v>11583</v>
      </c>
      <c r="F27" s="110" t="s">
        <v>8149</v>
      </c>
      <c r="G27" s="109" t="s">
        <v>11696</v>
      </c>
      <c r="H27" s="109" t="s">
        <v>703</v>
      </c>
      <c r="I27" s="109" t="s">
        <v>8124</v>
      </c>
      <c r="J27" s="109" t="s">
        <v>8125</v>
      </c>
      <c r="K27" s="109" t="s">
        <v>11863</v>
      </c>
      <c r="L27" s="109" t="s">
        <v>11831</v>
      </c>
      <c r="M27" s="109" t="s">
        <v>11864</v>
      </c>
      <c r="N27" s="110" t="s">
        <v>11865</v>
      </c>
      <c r="O27" s="110" t="s">
        <v>11866</v>
      </c>
      <c r="P27" s="109" t="s">
        <v>11702</v>
      </c>
      <c r="Q27" s="109" t="s">
        <v>11867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2.5" customHeight="1">
      <c r="A28" s="109" t="s">
        <v>862</v>
      </c>
      <c r="B28" s="109" t="s">
        <v>11868</v>
      </c>
      <c r="C28" s="109" t="s">
        <v>866</v>
      </c>
      <c r="D28" s="109" t="s">
        <v>3155</v>
      </c>
      <c r="E28" s="109" t="s">
        <v>11583</v>
      </c>
      <c r="F28" s="110" t="s">
        <v>8150</v>
      </c>
      <c r="G28" s="109" t="s">
        <v>11696</v>
      </c>
      <c r="H28" s="109" t="s">
        <v>699</v>
      </c>
      <c r="I28" s="109" t="s">
        <v>8124</v>
      </c>
      <c r="J28" s="109" t="s">
        <v>8125</v>
      </c>
      <c r="K28" s="109" t="s">
        <v>11869</v>
      </c>
      <c r="L28" s="109" t="s">
        <v>11734</v>
      </c>
      <c r="M28" s="109" t="s">
        <v>11870</v>
      </c>
      <c r="N28" s="110" t="s">
        <v>11871</v>
      </c>
      <c r="O28" s="110" t="s">
        <v>11872</v>
      </c>
      <c r="P28" s="109" t="s">
        <v>11702</v>
      </c>
      <c r="Q28" s="109" t="s">
        <v>11873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2.5" customHeight="1">
      <c r="A29" s="109" t="s">
        <v>865</v>
      </c>
      <c r="B29" s="109" t="s">
        <v>11874</v>
      </c>
      <c r="C29" s="109" t="s">
        <v>765</v>
      </c>
      <c r="D29" s="109" t="s">
        <v>199</v>
      </c>
      <c r="E29" s="109" t="s">
        <v>11566</v>
      </c>
      <c r="F29" s="110" t="s">
        <v>9021</v>
      </c>
      <c r="G29" s="109" t="s">
        <v>11817</v>
      </c>
      <c r="H29" s="109" t="s">
        <v>736</v>
      </c>
      <c r="I29" s="109" t="s">
        <v>9009</v>
      </c>
      <c r="J29" s="109" t="s">
        <v>9010</v>
      </c>
      <c r="K29" s="109" t="s">
        <v>11875</v>
      </c>
      <c r="L29" s="109" t="s">
        <v>11876</v>
      </c>
      <c r="M29" s="109" t="s">
        <v>11877</v>
      </c>
      <c r="N29" s="110" t="s">
        <v>11878</v>
      </c>
      <c r="O29" s="110" t="s">
        <v>11879</v>
      </c>
      <c r="P29" s="109" t="s">
        <v>11702</v>
      </c>
      <c r="Q29" s="109" t="s">
        <v>11880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2.5" customHeight="1">
      <c r="A30" s="109" t="s">
        <v>871</v>
      </c>
      <c r="B30" s="109" t="s">
        <v>11881</v>
      </c>
      <c r="C30" s="109" t="s">
        <v>868</v>
      </c>
      <c r="D30" s="109" t="s">
        <v>3157</v>
      </c>
      <c r="E30" s="109" t="s">
        <v>11583</v>
      </c>
      <c r="F30" s="110" t="s">
        <v>8160</v>
      </c>
      <c r="G30" s="109" t="s">
        <v>11696</v>
      </c>
      <c r="H30" s="109" t="s">
        <v>699</v>
      </c>
      <c r="I30" s="109" t="s">
        <v>8124</v>
      </c>
      <c r="J30" s="109" t="s">
        <v>8125</v>
      </c>
      <c r="K30" s="109" t="s">
        <v>11882</v>
      </c>
      <c r="L30" s="109" t="s">
        <v>11883</v>
      </c>
      <c r="M30" s="109" t="s">
        <v>11884</v>
      </c>
      <c r="N30" s="110" t="s">
        <v>11885</v>
      </c>
      <c r="O30" s="110" t="s">
        <v>11886</v>
      </c>
      <c r="P30" s="109" t="s">
        <v>11702</v>
      </c>
      <c r="Q30" s="109" t="s">
        <v>11887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2.5" customHeight="1">
      <c r="A31" s="109" t="s">
        <v>876</v>
      </c>
      <c r="B31" s="109" t="s">
        <v>11888</v>
      </c>
      <c r="C31" s="109" t="s">
        <v>870</v>
      </c>
      <c r="D31" s="109" t="s">
        <v>3158</v>
      </c>
      <c r="E31" s="109" t="s">
        <v>11583</v>
      </c>
      <c r="F31" s="110" t="s">
        <v>8137</v>
      </c>
      <c r="G31" s="109" t="s">
        <v>11696</v>
      </c>
      <c r="H31" s="109" t="s">
        <v>699</v>
      </c>
      <c r="I31" s="109" t="s">
        <v>8124</v>
      </c>
      <c r="J31" s="109" t="s">
        <v>8125</v>
      </c>
      <c r="K31" s="109" t="s">
        <v>11889</v>
      </c>
      <c r="L31" s="109" t="s">
        <v>11890</v>
      </c>
      <c r="M31" s="109" t="s">
        <v>11891</v>
      </c>
      <c r="N31" s="110" t="s">
        <v>11892</v>
      </c>
      <c r="O31" s="110" t="s">
        <v>11893</v>
      </c>
      <c r="P31" s="109" t="s">
        <v>11702</v>
      </c>
      <c r="Q31" s="109" t="s">
        <v>11894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2.5" customHeight="1">
      <c r="A32" s="109" t="s">
        <v>869</v>
      </c>
      <c r="B32" s="109" t="s">
        <v>11895</v>
      </c>
      <c r="C32" s="109" t="s">
        <v>3159</v>
      </c>
      <c r="D32" s="109" t="s">
        <v>202</v>
      </c>
      <c r="E32" s="109" t="s">
        <v>11566</v>
      </c>
      <c r="F32" s="110" t="s">
        <v>9053</v>
      </c>
      <c r="G32" s="109" t="s">
        <v>11817</v>
      </c>
      <c r="H32" s="109" t="s">
        <v>711</v>
      </c>
      <c r="I32" s="109" t="s">
        <v>9009</v>
      </c>
      <c r="J32" s="109" t="s">
        <v>9010</v>
      </c>
      <c r="K32" s="109" t="s">
        <v>11896</v>
      </c>
      <c r="L32" s="109" t="s">
        <v>131</v>
      </c>
      <c r="M32" s="109" t="s">
        <v>11897</v>
      </c>
      <c r="N32" s="110" t="s">
        <v>11898</v>
      </c>
      <c r="O32" s="110" t="s">
        <v>11899</v>
      </c>
      <c r="P32" s="109" t="s">
        <v>11702</v>
      </c>
      <c r="Q32" s="109" t="s">
        <v>11900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2.5" customHeight="1">
      <c r="A33" s="109" t="s">
        <v>936</v>
      </c>
      <c r="B33" s="109" t="s">
        <v>11901</v>
      </c>
      <c r="C33" s="109" t="s">
        <v>872</v>
      </c>
      <c r="D33" s="109" t="s">
        <v>3160</v>
      </c>
      <c r="E33" s="109" t="s">
        <v>11583</v>
      </c>
      <c r="F33" s="110" t="s">
        <v>8155</v>
      </c>
      <c r="G33" s="109" t="s">
        <v>11696</v>
      </c>
      <c r="H33" s="109" t="s">
        <v>699</v>
      </c>
      <c r="I33" s="109" t="s">
        <v>8124</v>
      </c>
      <c r="J33" s="109" t="s">
        <v>8125</v>
      </c>
      <c r="K33" s="109" t="s">
        <v>11902</v>
      </c>
      <c r="L33" s="109" t="s">
        <v>11903</v>
      </c>
      <c r="M33" s="109" t="s">
        <v>11904</v>
      </c>
      <c r="N33" s="110" t="s">
        <v>11905</v>
      </c>
      <c r="O33" s="110" t="s">
        <v>11906</v>
      </c>
      <c r="P33" s="109" t="s">
        <v>11702</v>
      </c>
      <c r="Q33" s="109" t="s">
        <v>11907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2.5" customHeight="1">
      <c r="A34" s="109" t="s">
        <v>756</v>
      </c>
      <c r="B34" s="109" t="s">
        <v>11908</v>
      </c>
      <c r="C34" s="109" t="s">
        <v>877</v>
      </c>
      <c r="D34" s="109" t="s">
        <v>3161</v>
      </c>
      <c r="E34" s="109" t="s">
        <v>11627</v>
      </c>
      <c r="F34" s="110" t="s">
        <v>8247</v>
      </c>
      <c r="G34" s="109" t="s">
        <v>11696</v>
      </c>
      <c r="H34" s="109" t="s">
        <v>736</v>
      </c>
      <c r="I34" s="109" t="s">
        <v>8203</v>
      </c>
      <c r="J34" s="109" t="s">
        <v>8204</v>
      </c>
      <c r="K34" s="109" t="s">
        <v>11909</v>
      </c>
      <c r="L34" s="109" t="s">
        <v>11909</v>
      </c>
      <c r="M34" s="109" t="s">
        <v>11910</v>
      </c>
      <c r="N34" s="110" t="s">
        <v>11911</v>
      </c>
      <c r="O34" s="110" t="s">
        <v>11912</v>
      </c>
      <c r="P34" s="109" t="s">
        <v>11710</v>
      </c>
      <c r="Q34" s="109" t="s">
        <v>11913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2.5" customHeight="1">
      <c r="A35" s="109" t="s">
        <v>769</v>
      </c>
      <c r="B35" s="109" t="s">
        <v>11914</v>
      </c>
      <c r="C35" s="109" t="s">
        <v>880</v>
      </c>
      <c r="D35" s="109" t="s">
        <v>3162</v>
      </c>
      <c r="E35" s="109" t="s">
        <v>11627</v>
      </c>
      <c r="F35" s="110" t="s">
        <v>8270</v>
      </c>
      <c r="G35" s="109" t="s">
        <v>11696</v>
      </c>
      <c r="H35" s="109" t="s">
        <v>707</v>
      </c>
      <c r="I35" s="109" t="s">
        <v>8203</v>
      </c>
      <c r="J35" s="109" t="s">
        <v>8204</v>
      </c>
      <c r="K35" s="109" t="s">
        <v>11720</v>
      </c>
      <c r="L35" s="109" t="s">
        <v>11915</v>
      </c>
      <c r="M35" s="109" t="s">
        <v>11916</v>
      </c>
      <c r="N35" s="110" t="s">
        <v>11917</v>
      </c>
      <c r="O35" s="110" t="s">
        <v>11918</v>
      </c>
      <c r="P35" s="109" t="s">
        <v>11702</v>
      </c>
      <c r="Q35" s="109" t="s">
        <v>11919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2.5" customHeight="1">
      <c r="A36" s="109" t="s">
        <v>899</v>
      </c>
      <c r="B36" s="109" t="s">
        <v>11920</v>
      </c>
      <c r="C36" s="109" t="s">
        <v>882</v>
      </c>
      <c r="D36" s="109" t="s">
        <v>3163</v>
      </c>
      <c r="E36" s="109" t="s">
        <v>11627</v>
      </c>
      <c r="F36" s="110" t="s">
        <v>8205</v>
      </c>
      <c r="G36" s="109" t="s">
        <v>11696</v>
      </c>
      <c r="H36" s="109" t="s">
        <v>718</v>
      </c>
      <c r="I36" s="109" t="s">
        <v>8203</v>
      </c>
      <c r="J36" s="109" t="s">
        <v>8204</v>
      </c>
      <c r="K36" s="109" t="s">
        <v>11921</v>
      </c>
      <c r="L36" s="109" t="s">
        <v>11922</v>
      </c>
      <c r="M36" s="109" t="s">
        <v>11923</v>
      </c>
      <c r="N36" s="110" t="s">
        <v>11924</v>
      </c>
      <c r="O36" s="110" t="s">
        <v>11925</v>
      </c>
      <c r="P36" s="109" t="s">
        <v>11702</v>
      </c>
      <c r="Q36" s="109" t="s">
        <v>11926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2.5" customHeight="1">
      <c r="A37" s="109" t="s">
        <v>901</v>
      </c>
      <c r="B37" s="109" t="s">
        <v>11927</v>
      </c>
      <c r="C37" s="109" t="s">
        <v>884</v>
      </c>
      <c r="D37" s="109" t="s">
        <v>3164</v>
      </c>
      <c r="E37" s="109" t="s">
        <v>11627</v>
      </c>
      <c r="F37" s="110" t="s">
        <v>8260</v>
      </c>
      <c r="G37" s="109" t="s">
        <v>11696</v>
      </c>
      <c r="H37" s="109" t="s">
        <v>718</v>
      </c>
      <c r="I37" s="109" t="s">
        <v>8203</v>
      </c>
      <c r="J37" s="109" t="s">
        <v>8204</v>
      </c>
      <c r="K37" s="109" t="s">
        <v>11928</v>
      </c>
      <c r="L37" s="109" t="s">
        <v>11929</v>
      </c>
      <c r="M37" s="109" t="s">
        <v>11930</v>
      </c>
      <c r="N37" s="110" t="s">
        <v>11931</v>
      </c>
      <c r="O37" s="110" t="s">
        <v>11932</v>
      </c>
      <c r="P37" s="109" t="s">
        <v>11702</v>
      </c>
      <c r="Q37" s="109" t="s">
        <v>11933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2.5" customHeight="1">
      <c r="A38" s="109" t="s">
        <v>910</v>
      </c>
      <c r="B38" s="109" t="s">
        <v>11934</v>
      </c>
      <c r="C38" s="109" t="s">
        <v>886</v>
      </c>
      <c r="D38" s="109" t="s">
        <v>3165</v>
      </c>
      <c r="E38" s="109" t="s">
        <v>11627</v>
      </c>
      <c r="F38" s="110" t="s">
        <v>8221</v>
      </c>
      <c r="G38" s="109" t="s">
        <v>11696</v>
      </c>
      <c r="H38" s="109" t="s">
        <v>707</v>
      </c>
      <c r="I38" s="109" t="s">
        <v>8203</v>
      </c>
      <c r="J38" s="109" t="s">
        <v>8204</v>
      </c>
      <c r="K38" s="109" t="s">
        <v>11935</v>
      </c>
      <c r="L38" s="109" t="s">
        <v>131</v>
      </c>
      <c r="M38" s="109" t="s">
        <v>11936</v>
      </c>
      <c r="N38" s="110" t="s">
        <v>11937</v>
      </c>
      <c r="O38" s="110" t="s">
        <v>11938</v>
      </c>
      <c r="P38" s="109" t="s">
        <v>11702</v>
      </c>
      <c r="Q38" s="109" t="s">
        <v>11939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2.5" customHeight="1">
      <c r="A39" s="109" t="s">
        <v>810</v>
      </c>
      <c r="B39" s="109" t="s">
        <v>11940</v>
      </c>
      <c r="C39" s="109" t="s">
        <v>888</v>
      </c>
      <c r="D39" s="109" t="s">
        <v>3166</v>
      </c>
      <c r="E39" s="109" t="s">
        <v>11625</v>
      </c>
      <c r="F39" s="110" t="s">
        <v>8305</v>
      </c>
      <c r="G39" s="109" t="s">
        <v>11696</v>
      </c>
      <c r="H39" s="109" t="s">
        <v>707</v>
      </c>
      <c r="I39" s="109" t="s">
        <v>8294</v>
      </c>
      <c r="J39" s="109" t="s">
        <v>8295</v>
      </c>
      <c r="K39" s="109" t="s">
        <v>11941</v>
      </c>
      <c r="L39" s="109" t="s">
        <v>11942</v>
      </c>
      <c r="M39" s="109" t="s">
        <v>11943</v>
      </c>
      <c r="N39" s="110" t="s">
        <v>11944</v>
      </c>
      <c r="O39" s="110" t="s">
        <v>11945</v>
      </c>
      <c r="P39" s="109" t="s">
        <v>11702</v>
      </c>
      <c r="Q39" s="109" t="s">
        <v>11946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2.5" customHeight="1">
      <c r="A40" s="109" t="s">
        <v>887</v>
      </c>
      <c r="B40" s="109" t="s">
        <v>11947</v>
      </c>
      <c r="C40" s="109" t="s">
        <v>797</v>
      </c>
      <c r="D40" s="109" t="s">
        <v>205</v>
      </c>
      <c r="E40" s="109" t="s">
        <v>11568</v>
      </c>
      <c r="F40" s="110" t="s">
        <v>9274</v>
      </c>
      <c r="G40" s="109" t="s">
        <v>11817</v>
      </c>
      <c r="H40" s="109" t="s">
        <v>728</v>
      </c>
      <c r="I40" s="109" t="s">
        <v>9241</v>
      </c>
      <c r="J40" s="109" t="s">
        <v>9242</v>
      </c>
      <c r="K40" s="109" t="s">
        <v>11705</v>
      </c>
      <c r="L40" s="109" t="s">
        <v>11948</v>
      </c>
      <c r="M40" s="109" t="s">
        <v>11949</v>
      </c>
      <c r="N40" s="110" t="s">
        <v>11950</v>
      </c>
      <c r="O40" s="110" t="s">
        <v>11951</v>
      </c>
      <c r="P40" s="109" t="s">
        <v>11702</v>
      </c>
      <c r="Q40" s="109" t="s">
        <v>11952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customHeight="1">
      <c r="A41" s="109" t="s">
        <v>796</v>
      </c>
      <c r="B41" s="109" t="s">
        <v>11953</v>
      </c>
      <c r="C41" s="109" t="s">
        <v>767</v>
      </c>
      <c r="D41" s="109" t="s">
        <v>208</v>
      </c>
      <c r="E41" s="109" t="s">
        <v>11566</v>
      </c>
      <c r="F41" s="110" t="s">
        <v>9032</v>
      </c>
      <c r="G41" s="109" t="s">
        <v>11817</v>
      </c>
      <c r="H41" s="109" t="s">
        <v>728</v>
      </c>
      <c r="I41" s="109" t="s">
        <v>9009</v>
      </c>
      <c r="J41" s="109" t="s">
        <v>9010</v>
      </c>
      <c r="K41" s="109" t="s">
        <v>11799</v>
      </c>
      <c r="L41" s="109" t="s">
        <v>131</v>
      </c>
      <c r="M41" s="109" t="s">
        <v>11954</v>
      </c>
      <c r="N41" s="110" t="s">
        <v>11955</v>
      </c>
      <c r="O41" s="110" t="s">
        <v>11956</v>
      </c>
      <c r="P41" s="109" t="s">
        <v>11702</v>
      </c>
      <c r="Q41" s="109" t="s">
        <v>11957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2.5" customHeight="1">
      <c r="A42" s="109" t="s">
        <v>766</v>
      </c>
      <c r="B42" s="109" t="s">
        <v>11958</v>
      </c>
      <c r="C42" s="109" t="s">
        <v>757</v>
      </c>
      <c r="D42" s="109" t="s">
        <v>211</v>
      </c>
      <c r="E42" s="109" t="s">
        <v>11588</v>
      </c>
      <c r="F42" s="110" t="s">
        <v>8588</v>
      </c>
      <c r="G42" s="109" t="s">
        <v>11817</v>
      </c>
      <c r="H42" s="109" t="s">
        <v>728</v>
      </c>
      <c r="I42" s="109" t="s">
        <v>8561</v>
      </c>
      <c r="J42" s="109" t="s">
        <v>8563</v>
      </c>
      <c r="K42" s="109" t="s">
        <v>11959</v>
      </c>
      <c r="L42" s="109" t="s">
        <v>11960</v>
      </c>
      <c r="M42" s="109" t="s">
        <v>11961</v>
      </c>
      <c r="N42" s="110" t="s">
        <v>11962</v>
      </c>
      <c r="O42" s="110" t="s">
        <v>11963</v>
      </c>
      <c r="P42" s="109" t="s">
        <v>11702</v>
      </c>
      <c r="Q42" s="109" t="s">
        <v>11964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2.5" customHeight="1">
      <c r="A43" s="109" t="s">
        <v>116</v>
      </c>
      <c r="B43" s="109" t="s">
        <v>11965</v>
      </c>
      <c r="C43" s="109" t="s">
        <v>893</v>
      </c>
      <c r="D43" s="109" t="s">
        <v>3168</v>
      </c>
      <c r="E43" s="109" t="s">
        <v>11633</v>
      </c>
      <c r="F43" s="110" t="s">
        <v>8842</v>
      </c>
      <c r="G43" s="109" t="s">
        <v>11696</v>
      </c>
      <c r="H43" s="109" t="s">
        <v>11405</v>
      </c>
      <c r="I43" s="109" t="s">
        <v>8773</v>
      </c>
      <c r="J43" s="109" t="s">
        <v>7895</v>
      </c>
      <c r="K43" s="109" t="s">
        <v>11966</v>
      </c>
      <c r="L43" s="109" t="s">
        <v>11967</v>
      </c>
      <c r="M43" s="109" t="s">
        <v>11968</v>
      </c>
      <c r="N43" s="110" t="s">
        <v>11969</v>
      </c>
      <c r="O43" s="110" t="s">
        <v>11970</v>
      </c>
      <c r="P43" s="109" t="s">
        <v>11702</v>
      </c>
      <c r="Q43" s="109" t="s">
        <v>11971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2.5" customHeight="1">
      <c r="A44" s="109" t="s">
        <v>123</v>
      </c>
      <c r="B44" s="109" t="s">
        <v>11972</v>
      </c>
      <c r="C44" s="109" t="s">
        <v>40</v>
      </c>
      <c r="D44" s="109" t="s">
        <v>41</v>
      </c>
      <c r="E44" s="109" t="s">
        <v>11633</v>
      </c>
      <c r="F44" s="110" t="s">
        <v>43</v>
      </c>
      <c r="G44" s="109" t="s">
        <v>11696</v>
      </c>
      <c r="H44" s="109" t="s">
        <v>11414</v>
      </c>
      <c r="I44" s="109" t="s">
        <v>8773</v>
      </c>
      <c r="J44" s="109" t="s">
        <v>7895</v>
      </c>
      <c r="K44" s="109" t="s">
        <v>11973</v>
      </c>
      <c r="L44" s="109" t="s">
        <v>131</v>
      </c>
      <c r="M44" s="109" t="s">
        <v>11974</v>
      </c>
      <c r="N44" s="110" t="s">
        <v>11975</v>
      </c>
      <c r="O44" s="110" t="s">
        <v>11976</v>
      </c>
      <c r="P44" s="109" t="s">
        <v>11702</v>
      </c>
      <c r="Q44" s="109" t="s">
        <v>11977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2.5" customHeight="1">
      <c r="A45" s="109" t="s">
        <v>935</v>
      </c>
      <c r="B45" s="109" t="s">
        <v>11978</v>
      </c>
      <c r="C45" s="109" t="s">
        <v>770</v>
      </c>
      <c r="D45" s="109" t="s">
        <v>214</v>
      </c>
      <c r="E45" s="109" t="s">
        <v>11566</v>
      </c>
      <c r="F45" s="110" t="s">
        <v>9085</v>
      </c>
      <c r="G45" s="109" t="s">
        <v>11817</v>
      </c>
      <c r="H45" s="109" t="s">
        <v>711</v>
      </c>
      <c r="I45" s="109" t="s">
        <v>9009</v>
      </c>
      <c r="J45" s="109" t="s">
        <v>9010</v>
      </c>
      <c r="K45" s="109" t="s">
        <v>11929</v>
      </c>
      <c r="L45" s="109" t="s">
        <v>11800</v>
      </c>
      <c r="M45" s="109" t="s">
        <v>11979</v>
      </c>
      <c r="N45" s="110" t="s">
        <v>11980</v>
      </c>
      <c r="O45" s="110" t="s">
        <v>11981</v>
      </c>
      <c r="P45" s="109" t="s">
        <v>11702</v>
      </c>
      <c r="Q45" s="109" t="s">
        <v>11982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2.5" customHeight="1">
      <c r="A46" s="109" t="s">
        <v>137</v>
      </c>
      <c r="B46" s="109" t="s">
        <v>11983</v>
      </c>
      <c r="C46" s="109" t="s">
        <v>896</v>
      </c>
      <c r="D46" s="109" t="s">
        <v>3169</v>
      </c>
      <c r="E46" s="109" t="s">
        <v>11633</v>
      </c>
      <c r="F46" s="110" t="s">
        <v>8832</v>
      </c>
      <c r="G46" s="109" t="s">
        <v>11696</v>
      </c>
      <c r="H46" s="109" t="s">
        <v>11405</v>
      </c>
      <c r="I46" s="109" t="s">
        <v>8773</v>
      </c>
      <c r="J46" s="109" t="s">
        <v>7895</v>
      </c>
      <c r="K46" s="109" t="s">
        <v>11984</v>
      </c>
      <c r="L46" s="109" t="s">
        <v>11720</v>
      </c>
      <c r="M46" s="109" t="s">
        <v>11985</v>
      </c>
      <c r="N46" s="110" t="s">
        <v>11986</v>
      </c>
      <c r="O46" s="110" t="s">
        <v>11987</v>
      </c>
      <c r="P46" s="109" t="s">
        <v>11702</v>
      </c>
      <c r="Q46" s="109" t="s">
        <v>11988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2.5" customHeight="1">
      <c r="A47" s="109" t="s">
        <v>144</v>
      </c>
      <c r="B47" s="109" t="s">
        <v>11989</v>
      </c>
      <c r="C47" s="109" t="s">
        <v>898</v>
      </c>
      <c r="D47" s="109" t="s">
        <v>3170</v>
      </c>
      <c r="E47" s="109" t="s">
        <v>11633</v>
      </c>
      <c r="F47" s="110" t="s">
        <v>8785</v>
      </c>
      <c r="G47" s="109" t="s">
        <v>11696</v>
      </c>
      <c r="H47" s="109" t="s">
        <v>11405</v>
      </c>
      <c r="I47" s="109" t="s">
        <v>8773</v>
      </c>
      <c r="J47" s="109" t="s">
        <v>7895</v>
      </c>
      <c r="K47" s="109" t="s">
        <v>11990</v>
      </c>
      <c r="L47" s="109" t="s">
        <v>131</v>
      </c>
      <c r="M47" s="109" t="s">
        <v>11991</v>
      </c>
      <c r="N47" s="110" t="s">
        <v>11992</v>
      </c>
      <c r="O47" s="110" t="s">
        <v>11993</v>
      </c>
      <c r="P47" s="109" t="s">
        <v>11702</v>
      </c>
      <c r="Q47" s="109" t="s">
        <v>11994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2.5" customHeight="1">
      <c r="A48" s="109" t="s">
        <v>151</v>
      </c>
      <c r="B48" s="109" t="s">
        <v>11995</v>
      </c>
      <c r="C48" s="109" t="s">
        <v>890</v>
      </c>
      <c r="D48" s="109" t="s">
        <v>3171</v>
      </c>
      <c r="E48" s="109" t="s">
        <v>11662</v>
      </c>
      <c r="F48" s="110" t="s">
        <v>8858</v>
      </c>
      <c r="G48" s="109" t="s">
        <v>11696</v>
      </c>
      <c r="H48" s="109" t="s">
        <v>11996</v>
      </c>
      <c r="I48" s="109" t="s">
        <v>8773</v>
      </c>
      <c r="J48" s="109" t="s">
        <v>8332</v>
      </c>
      <c r="K48" s="109" t="s">
        <v>11876</v>
      </c>
      <c r="L48" s="109" t="s">
        <v>131</v>
      </c>
      <c r="M48" s="109" t="s">
        <v>11997</v>
      </c>
      <c r="N48" s="110" t="s">
        <v>11998</v>
      </c>
      <c r="O48" s="110" t="s">
        <v>11999</v>
      </c>
      <c r="P48" s="109" t="s">
        <v>11702</v>
      </c>
      <c r="Q48" s="109" t="s">
        <v>12000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2.5" customHeight="1">
      <c r="A49" s="109" t="s">
        <v>950</v>
      </c>
      <c r="B49" s="109" t="s">
        <v>12001</v>
      </c>
      <c r="C49" s="109" t="s">
        <v>900</v>
      </c>
      <c r="D49" s="109" t="s">
        <v>3172</v>
      </c>
      <c r="E49" s="109" t="s">
        <v>11633</v>
      </c>
      <c r="F49" s="110" t="s">
        <v>8795</v>
      </c>
      <c r="G49" s="109" t="s">
        <v>11696</v>
      </c>
      <c r="H49" s="109" t="s">
        <v>728</v>
      </c>
      <c r="I49" s="109" t="s">
        <v>8773</v>
      </c>
      <c r="J49" s="109" t="s">
        <v>7895</v>
      </c>
      <c r="K49" s="109" t="s">
        <v>11747</v>
      </c>
      <c r="L49" s="109" t="s">
        <v>11720</v>
      </c>
      <c r="M49" s="109" t="s">
        <v>12002</v>
      </c>
      <c r="N49" s="110" t="s">
        <v>12003</v>
      </c>
      <c r="O49" s="110" t="s">
        <v>12004</v>
      </c>
      <c r="P49" s="109" t="s">
        <v>11702</v>
      </c>
      <c r="Q49" s="109" t="s">
        <v>12005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2.5" customHeight="1">
      <c r="A50" s="109" t="s">
        <v>892</v>
      </c>
      <c r="B50" s="109" t="s">
        <v>12006</v>
      </c>
      <c r="C50" s="109" t="s">
        <v>3174</v>
      </c>
      <c r="D50" s="109" t="s">
        <v>3175</v>
      </c>
      <c r="E50" s="109" t="s">
        <v>12007</v>
      </c>
      <c r="F50" s="110" t="s">
        <v>8781</v>
      </c>
      <c r="G50" s="109" t="s">
        <v>11696</v>
      </c>
      <c r="H50" s="109" t="s">
        <v>728</v>
      </c>
      <c r="I50" s="109" t="s">
        <v>8773</v>
      </c>
      <c r="J50" s="109" t="s">
        <v>8595</v>
      </c>
      <c r="K50" s="109" t="s">
        <v>12008</v>
      </c>
      <c r="L50" s="109" t="s">
        <v>11845</v>
      </c>
      <c r="M50" s="109" t="s">
        <v>12009</v>
      </c>
      <c r="N50" s="110" t="s">
        <v>12010</v>
      </c>
      <c r="O50" s="110" t="s">
        <v>12011</v>
      </c>
      <c r="P50" s="109" t="s">
        <v>11710</v>
      </c>
      <c r="Q50" s="109" t="s">
        <v>12012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2.5" customHeight="1">
      <c r="A51" s="109" t="s">
        <v>867</v>
      </c>
      <c r="B51" s="109" t="s">
        <v>12013</v>
      </c>
      <c r="C51" s="109" t="s">
        <v>902</v>
      </c>
      <c r="D51" s="109" t="s">
        <v>3177</v>
      </c>
      <c r="E51" s="109" t="s">
        <v>11576</v>
      </c>
      <c r="F51" s="110" t="s">
        <v>9124</v>
      </c>
      <c r="G51" s="109" t="s">
        <v>11696</v>
      </c>
      <c r="H51" s="109" t="s">
        <v>699</v>
      </c>
      <c r="I51" s="109" t="s">
        <v>9091</v>
      </c>
      <c r="J51" s="109" t="s">
        <v>9092</v>
      </c>
      <c r="K51" s="109" t="s">
        <v>12014</v>
      </c>
      <c r="L51" s="109" t="s">
        <v>11903</v>
      </c>
      <c r="M51" s="109" t="s">
        <v>12015</v>
      </c>
      <c r="N51" s="110" t="s">
        <v>12016</v>
      </c>
      <c r="O51" s="110" t="s">
        <v>12017</v>
      </c>
      <c r="P51" s="109" t="s">
        <v>11702</v>
      </c>
      <c r="Q51" s="109" t="s">
        <v>12018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2.5" customHeight="1">
      <c r="A52" s="109" t="s">
        <v>881</v>
      </c>
      <c r="B52" s="109" t="s">
        <v>12019</v>
      </c>
      <c r="C52" s="109" t="s">
        <v>3257</v>
      </c>
      <c r="D52" s="109" t="s">
        <v>3258</v>
      </c>
      <c r="E52" s="109" t="s">
        <v>11576</v>
      </c>
      <c r="F52" s="110" t="s">
        <v>9117</v>
      </c>
      <c r="G52" s="109" t="s">
        <v>11696</v>
      </c>
      <c r="H52" s="109" t="s">
        <v>718</v>
      </c>
      <c r="I52" s="109" t="s">
        <v>9091</v>
      </c>
      <c r="J52" s="109" t="s">
        <v>9092</v>
      </c>
      <c r="K52" s="109" t="s">
        <v>12020</v>
      </c>
      <c r="L52" s="109" t="s">
        <v>12021</v>
      </c>
      <c r="M52" s="109" t="s">
        <v>12022</v>
      </c>
      <c r="N52" s="110" t="s">
        <v>12023</v>
      </c>
      <c r="O52" s="110" t="s">
        <v>12024</v>
      </c>
      <c r="P52" s="109" t="s">
        <v>11702</v>
      </c>
      <c r="Q52" s="109" t="s">
        <v>12025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2.5" customHeight="1">
      <c r="A53" s="109" t="s">
        <v>883</v>
      </c>
      <c r="B53" s="109" t="s">
        <v>12026</v>
      </c>
      <c r="C53" s="109" t="s">
        <v>3259</v>
      </c>
      <c r="D53" s="109" t="s">
        <v>3260</v>
      </c>
      <c r="E53" s="109" t="s">
        <v>11576</v>
      </c>
      <c r="F53" s="110" t="s">
        <v>9118</v>
      </c>
      <c r="G53" s="109" t="s">
        <v>11696</v>
      </c>
      <c r="H53" s="109" t="s">
        <v>718</v>
      </c>
      <c r="I53" s="109" t="s">
        <v>9091</v>
      </c>
      <c r="J53" s="109" t="s">
        <v>9092</v>
      </c>
      <c r="K53" s="109" t="s">
        <v>11966</v>
      </c>
      <c r="L53" s="109" t="s">
        <v>123</v>
      </c>
      <c r="M53" s="109" t="s">
        <v>12027</v>
      </c>
      <c r="N53" s="110" t="s">
        <v>12028</v>
      </c>
      <c r="O53" s="110" t="s">
        <v>12029</v>
      </c>
      <c r="P53" s="109" t="s">
        <v>11710</v>
      </c>
      <c r="Q53" s="109" t="s">
        <v>12030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2.5" customHeight="1">
      <c r="A54" s="109" t="s">
        <v>895</v>
      </c>
      <c r="B54" s="109" t="s">
        <v>12031</v>
      </c>
      <c r="C54" s="109" t="s">
        <v>905</v>
      </c>
      <c r="D54" s="109" t="s">
        <v>3178</v>
      </c>
      <c r="E54" s="109" t="s">
        <v>11576</v>
      </c>
      <c r="F54" s="110" t="s">
        <v>9113</v>
      </c>
      <c r="G54" s="109" t="s">
        <v>11696</v>
      </c>
      <c r="H54" s="109" t="s">
        <v>711</v>
      </c>
      <c r="I54" s="109" t="s">
        <v>9091</v>
      </c>
      <c r="J54" s="109" t="s">
        <v>9092</v>
      </c>
      <c r="K54" s="109" t="s">
        <v>12032</v>
      </c>
      <c r="L54" s="109" t="s">
        <v>12033</v>
      </c>
      <c r="M54" s="109" t="s">
        <v>12034</v>
      </c>
      <c r="N54" s="110" t="s">
        <v>12035</v>
      </c>
      <c r="O54" s="110" t="s">
        <v>12036</v>
      </c>
      <c r="P54" s="109" t="s">
        <v>11702</v>
      </c>
      <c r="Q54" s="109" t="s">
        <v>12037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2.5" customHeight="1">
      <c r="A55" s="109" t="s">
        <v>952</v>
      </c>
      <c r="B55" s="109" t="s">
        <v>12038</v>
      </c>
      <c r="C55" s="109" t="s">
        <v>907</v>
      </c>
      <c r="D55" s="109" t="s">
        <v>3179</v>
      </c>
      <c r="E55" s="109" t="s">
        <v>11576</v>
      </c>
      <c r="F55" s="110" t="s">
        <v>9109</v>
      </c>
      <c r="G55" s="109" t="s">
        <v>11696</v>
      </c>
      <c r="H55" s="109" t="s">
        <v>711</v>
      </c>
      <c r="I55" s="109" t="s">
        <v>9091</v>
      </c>
      <c r="J55" s="109" t="s">
        <v>9092</v>
      </c>
      <c r="K55" s="109" t="s">
        <v>12039</v>
      </c>
      <c r="L55" s="109" t="s">
        <v>11811</v>
      </c>
      <c r="M55" s="109" t="s">
        <v>12040</v>
      </c>
      <c r="N55" s="110" t="s">
        <v>12041</v>
      </c>
      <c r="O55" s="110" t="s">
        <v>12042</v>
      </c>
      <c r="P55" s="109" t="s">
        <v>11702</v>
      </c>
      <c r="Q55" s="109" t="s">
        <v>12043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2.5" customHeight="1">
      <c r="A56" s="109" t="s">
        <v>955</v>
      </c>
      <c r="B56" s="109" t="s">
        <v>12044</v>
      </c>
      <c r="C56" s="109" t="s">
        <v>909</v>
      </c>
      <c r="D56" s="109" t="s">
        <v>3180</v>
      </c>
      <c r="E56" s="109" t="s">
        <v>11576</v>
      </c>
      <c r="F56" s="110" t="s">
        <v>9094</v>
      </c>
      <c r="G56" s="109" t="s">
        <v>11696</v>
      </c>
      <c r="H56" s="109" t="s">
        <v>711</v>
      </c>
      <c r="I56" s="109" t="s">
        <v>9091</v>
      </c>
      <c r="J56" s="109" t="s">
        <v>9092</v>
      </c>
      <c r="K56" s="109" t="s">
        <v>12045</v>
      </c>
      <c r="L56" s="109" t="s">
        <v>12046</v>
      </c>
      <c r="M56" s="109" t="s">
        <v>12047</v>
      </c>
      <c r="N56" s="110" t="s">
        <v>12048</v>
      </c>
      <c r="O56" s="110" t="s">
        <v>12049</v>
      </c>
      <c r="P56" s="109" t="s">
        <v>11710</v>
      </c>
      <c r="Q56" s="109" t="s">
        <v>12050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2.5" customHeight="1">
      <c r="A57" s="109" t="s">
        <v>906</v>
      </c>
      <c r="B57" s="109" t="s">
        <v>12051</v>
      </c>
      <c r="C57" s="109" t="s">
        <v>53</v>
      </c>
      <c r="D57" s="109" t="s">
        <v>54</v>
      </c>
      <c r="E57" s="109" t="s">
        <v>11576</v>
      </c>
      <c r="F57" s="110" t="s">
        <v>55</v>
      </c>
      <c r="G57" s="109" t="s">
        <v>11696</v>
      </c>
      <c r="H57" s="109" t="s">
        <v>699</v>
      </c>
      <c r="I57" s="109" t="s">
        <v>9091</v>
      </c>
      <c r="J57" s="109" t="s">
        <v>9092</v>
      </c>
      <c r="K57" s="109" t="s">
        <v>11787</v>
      </c>
      <c r="L57" s="109" t="s">
        <v>12052</v>
      </c>
      <c r="M57" s="109" t="s">
        <v>12053</v>
      </c>
      <c r="N57" s="110" t="s">
        <v>12054</v>
      </c>
      <c r="O57" s="110" t="s">
        <v>12055</v>
      </c>
      <c r="P57" s="109" t="s">
        <v>11702</v>
      </c>
      <c r="Q57" s="109" t="s">
        <v>12056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2.5" customHeight="1">
      <c r="A58" s="109" t="s">
        <v>908</v>
      </c>
      <c r="B58" s="109" t="s">
        <v>12057</v>
      </c>
      <c r="C58" s="109" t="s">
        <v>911</v>
      </c>
      <c r="D58" s="109" t="s">
        <v>3181</v>
      </c>
      <c r="E58" s="109" t="s">
        <v>11576</v>
      </c>
      <c r="F58" s="110" t="s">
        <v>9123</v>
      </c>
      <c r="G58" s="109" t="s">
        <v>11696</v>
      </c>
      <c r="H58" s="109" t="s">
        <v>711</v>
      </c>
      <c r="I58" s="109" t="s">
        <v>9091</v>
      </c>
      <c r="J58" s="109" t="s">
        <v>9092</v>
      </c>
      <c r="K58" s="109" t="s">
        <v>12058</v>
      </c>
      <c r="L58" s="109" t="s">
        <v>12059</v>
      </c>
      <c r="M58" s="109" t="s">
        <v>12060</v>
      </c>
      <c r="N58" s="110" t="s">
        <v>12061</v>
      </c>
      <c r="O58" s="110" t="s">
        <v>12062</v>
      </c>
      <c r="P58" s="109" t="s">
        <v>11710</v>
      </c>
      <c r="Q58" s="109" t="s">
        <v>12063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2.5" customHeight="1">
      <c r="A59" s="109" t="s">
        <v>752</v>
      </c>
      <c r="B59" s="109" t="s">
        <v>12064</v>
      </c>
      <c r="C59" s="109" t="s">
        <v>72</v>
      </c>
      <c r="D59" s="109" t="s">
        <v>73</v>
      </c>
      <c r="E59" s="109" t="s">
        <v>11568</v>
      </c>
      <c r="F59" s="110" t="s">
        <v>74</v>
      </c>
      <c r="G59" s="109" t="s">
        <v>11696</v>
      </c>
      <c r="H59" s="109" t="s">
        <v>805</v>
      </c>
      <c r="I59" s="109" t="s">
        <v>9241</v>
      </c>
      <c r="J59" s="109" t="s">
        <v>9242</v>
      </c>
      <c r="K59" s="109" t="s">
        <v>11967</v>
      </c>
      <c r="L59" s="109" t="s">
        <v>12065</v>
      </c>
      <c r="M59" s="109" t="s">
        <v>12066</v>
      </c>
      <c r="N59" s="110" t="s">
        <v>12067</v>
      </c>
      <c r="O59" s="110" t="s">
        <v>12068</v>
      </c>
      <c r="P59" s="109" t="s">
        <v>11702</v>
      </c>
      <c r="Q59" s="109" t="s">
        <v>12069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2.5" customHeight="1">
      <c r="A60" s="109" t="s">
        <v>937</v>
      </c>
      <c r="B60" s="109" t="s">
        <v>12070</v>
      </c>
      <c r="C60" s="109" t="s">
        <v>33</v>
      </c>
      <c r="D60" s="109" t="s">
        <v>34</v>
      </c>
      <c r="E60" s="109" t="s">
        <v>11568</v>
      </c>
      <c r="F60" s="110" t="s">
        <v>36</v>
      </c>
      <c r="G60" s="109" t="s">
        <v>11817</v>
      </c>
      <c r="H60" s="109" t="s">
        <v>703</v>
      </c>
      <c r="I60" s="109" t="s">
        <v>9241</v>
      </c>
      <c r="J60" s="109" t="s">
        <v>9242</v>
      </c>
      <c r="K60" s="109" t="s">
        <v>11774</v>
      </c>
      <c r="L60" s="109" t="s">
        <v>12071</v>
      </c>
      <c r="M60" s="109" t="s">
        <v>12072</v>
      </c>
      <c r="N60" s="110" t="s">
        <v>12073</v>
      </c>
      <c r="O60" s="110" t="s">
        <v>12074</v>
      </c>
      <c r="P60" s="109" t="s">
        <v>11702</v>
      </c>
      <c r="Q60" s="109" t="s">
        <v>12075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2.5" customHeight="1">
      <c r="A61" s="109" t="s">
        <v>897</v>
      </c>
      <c r="B61" s="109" t="s">
        <v>12076</v>
      </c>
      <c r="C61" s="109" t="s">
        <v>913</v>
      </c>
      <c r="D61" s="109" t="s">
        <v>3183</v>
      </c>
      <c r="E61" s="109" t="s">
        <v>11568</v>
      </c>
      <c r="F61" s="110" t="s">
        <v>9313</v>
      </c>
      <c r="G61" s="109" t="s">
        <v>11696</v>
      </c>
      <c r="H61" s="109" t="s">
        <v>728</v>
      </c>
      <c r="I61" s="109" t="s">
        <v>9241</v>
      </c>
      <c r="J61" s="109" t="s">
        <v>9242</v>
      </c>
      <c r="K61" s="109" t="s">
        <v>12077</v>
      </c>
      <c r="L61" s="109" t="s">
        <v>12077</v>
      </c>
      <c r="M61" s="109" t="s">
        <v>12078</v>
      </c>
      <c r="N61" s="110" t="s">
        <v>12079</v>
      </c>
      <c r="O61" s="110" t="s">
        <v>12080</v>
      </c>
      <c r="P61" s="109" t="s">
        <v>11702</v>
      </c>
      <c r="Q61" s="109" t="s">
        <v>12081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2.5" customHeight="1">
      <c r="A62" s="109" t="s">
        <v>912</v>
      </c>
      <c r="B62" s="109" t="s">
        <v>12082</v>
      </c>
      <c r="C62" s="109" t="s">
        <v>772</v>
      </c>
      <c r="D62" s="109" t="s">
        <v>219</v>
      </c>
      <c r="E62" s="109" t="s">
        <v>11566</v>
      </c>
      <c r="F62" s="110" t="s">
        <v>9077</v>
      </c>
      <c r="G62" s="109" t="s">
        <v>11817</v>
      </c>
      <c r="H62" s="109" t="s">
        <v>736</v>
      </c>
      <c r="I62" s="109" t="s">
        <v>9009</v>
      </c>
      <c r="J62" s="109" t="s">
        <v>9010</v>
      </c>
      <c r="K62" s="109" t="s">
        <v>12083</v>
      </c>
      <c r="L62" s="109" t="s">
        <v>11967</v>
      </c>
      <c r="M62" s="109" t="s">
        <v>12084</v>
      </c>
      <c r="N62" s="110" t="s">
        <v>12085</v>
      </c>
      <c r="O62" s="110" t="s">
        <v>12086</v>
      </c>
      <c r="P62" s="109" t="s">
        <v>11702</v>
      </c>
      <c r="Q62" s="109" t="s">
        <v>12087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2.5" customHeight="1">
      <c r="A63" s="109" t="s">
        <v>954</v>
      </c>
      <c r="B63" s="109" t="s">
        <v>12088</v>
      </c>
      <c r="C63" s="109" t="s">
        <v>47</v>
      </c>
      <c r="D63" s="109" t="s">
        <v>48</v>
      </c>
      <c r="E63" s="109" t="s">
        <v>11568</v>
      </c>
      <c r="F63" s="110" t="s">
        <v>49</v>
      </c>
      <c r="G63" s="109" t="s">
        <v>11696</v>
      </c>
      <c r="H63" s="109" t="s">
        <v>728</v>
      </c>
      <c r="I63" s="109" t="s">
        <v>9241</v>
      </c>
      <c r="J63" s="109" t="s">
        <v>9242</v>
      </c>
      <c r="K63" s="109" t="s">
        <v>12077</v>
      </c>
      <c r="L63" s="109" t="s">
        <v>11851</v>
      </c>
      <c r="M63" s="109" t="s">
        <v>12089</v>
      </c>
      <c r="N63" s="110" t="s">
        <v>12090</v>
      </c>
      <c r="O63" s="110" t="s">
        <v>12091</v>
      </c>
      <c r="P63" s="109" t="s">
        <v>11710</v>
      </c>
      <c r="Q63" s="109" t="s">
        <v>12092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2.5" customHeight="1">
      <c r="A64" s="109" t="s">
        <v>938</v>
      </c>
      <c r="B64" s="109" t="s">
        <v>12093</v>
      </c>
      <c r="C64" s="109" t="s">
        <v>774</v>
      </c>
      <c r="D64" s="109" t="s">
        <v>222</v>
      </c>
      <c r="E64" s="109" t="s">
        <v>11566</v>
      </c>
      <c r="F64" s="110" t="s">
        <v>9048</v>
      </c>
      <c r="G64" s="109" t="s">
        <v>11817</v>
      </c>
      <c r="H64" s="109" t="s">
        <v>728</v>
      </c>
      <c r="I64" s="109" t="s">
        <v>9009</v>
      </c>
      <c r="J64" s="109" t="s">
        <v>9010</v>
      </c>
      <c r="K64" s="109" t="s">
        <v>11922</v>
      </c>
      <c r="L64" s="109" t="s">
        <v>11967</v>
      </c>
      <c r="M64" s="109" t="s">
        <v>12094</v>
      </c>
      <c r="N64" s="110" t="s">
        <v>12095</v>
      </c>
      <c r="O64" s="110" t="s">
        <v>12096</v>
      </c>
      <c r="P64" s="109" t="s">
        <v>11702</v>
      </c>
      <c r="Q64" s="109" t="s">
        <v>12097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2.5" customHeight="1">
      <c r="A65" s="109" t="s">
        <v>831</v>
      </c>
      <c r="B65" s="109" t="s">
        <v>12098</v>
      </c>
      <c r="C65" s="109" t="s">
        <v>915</v>
      </c>
      <c r="D65" s="109" t="s">
        <v>3184</v>
      </c>
      <c r="E65" s="109" t="s">
        <v>11670</v>
      </c>
      <c r="F65" s="110" t="s">
        <v>9348</v>
      </c>
      <c r="G65" s="109" t="s">
        <v>11696</v>
      </c>
      <c r="H65" s="109" t="s">
        <v>11996</v>
      </c>
      <c r="I65" s="109" t="s">
        <v>9322</v>
      </c>
      <c r="J65" s="109" t="s">
        <v>8595</v>
      </c>
      <c r="K65" s="109" t="s">
        <v>12099</v>
      </c>
      <c r="L65" s="109" t="s">
        <v>11928</v>
      </c>
      <c r="M65" s="109" t="s">
        <v>12100</v>
      </c>
      <c r="N65" s="110" t="s">
        <v>12101</v>
      </c>
      <c r="O65" s="110" t="s">
        <v>12102</v>
      </c>
      <c r="P65" s="109" t="s">
        <v>11702</v>
      </c>
      <c r="Q65" s="109" t="s">
        <v>12103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2.5" hidden="1" customHeight="1">
      <c r="A66" s="112"/>
      <c r="B66" s="112"/>
      <c r="C66" s="112"/>
      <c r="D66" s="112"/>
      <c r="E66" s="112" t="s">
        <v>944</v>
      </c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</sheetData>
  <dataValidations>
    <dataValidation allowBlank="1" showDropDown="1" sqref="B2:D66 F2:Q66"/>
  </dataValidations>
  <hyperlinks>
    <hyperlink r:id="rId1" ref="F2"/>
    <hyperlink r:id="rId2" ref="N2"/>
    <hyperlink r:id="rId3" ref="O2"/>
    <hyperlink r:id="rId4" ref="F3"/>
    <hyperlink r:id="rId5" ref="N3"/>
    <hyperlink r:id="rId6" ref="O3"/>
    <hyperlink r:id="rId7" ref="F4"/>
    <hyperlink r:id="rId8" ref="N4"/>
    <hyperlink r:id="rId9" ref="O4"/>
    <hyperlink r:id="rId10" ref="F5"/>
    <hyperlink r:id="rId11" ref="N5"/>
    <hyperlink r:id="rId12" ref="O5"/>
    <hyperlink r:id="rId13" ref="F6"/>
    <hyperlink r:id="rId14" ref="N6"/>
    <hyperlink r:id="rId15" ref="O6"/>
    <hyperlink r:id="rId16" ref="F7"/>
    <hyperlink r:id="rId17" ref="N7"/>
    <hyperlink r:id="rId18" ref="O7"/>
    <hyperlink r:id="rId19" ref="F8"/>
    <hyperlink r:id="rId20" ref="N8"/>
    <hyperlink r:id="rId21" ref="O8"/>
    <hyperlink r:id="rId22" ref="F9"/>
    <hyperlink r:id="rId23" ref="N9"/>
    <hyperlink r:id="rId24" ref="O9"/>
    <hyperlink r:id="rId25" ref="F10"/>
    <hyperlink r:id="rId26" ref="N10"/>
    <hyperlink r:id="rId27" ref="O10"/>
    <hyperlink r:id="rId28" ref="F11"/>
    <hyperlink r:id="rId29" ref="N11"/>
    <hyperlink r:id="rId30" ref="O11"/>
    <hyperlink r:id="rId31" ref="F12"/>
    <hyperlink r:id="rId32" ref="N12"/>
    <hyperlink r:id="rId33" ref="O12"/>
    <hyperlink r:id="rId34" ref="F13"/>
    <hyperlink r:id="rId35" ref="N13"/>
    <hyperlink r:id="rId36" ref="O13"/>
    <hyperlink r:id="rId37" ref="F14"/>
    <hyperlink r:id="rId38" ref="N14"/>
    <hyperlink r:id="rId39" ref="O14"/>
    <hyperlink r:id="rId40" ref="F15"/>
    <hyperlink r:id="rId41" ref="N15"/>
    <hyperlink r:id="rId42" ref="O15"/>
    <hyperlink r:id="rId43" ref="F16"/>
    <hyperlink r:id="rId44" ref="N16"/>
    <hyperlink r:id="rId45" ref="O16"/>
    <hyperlink r:id="rId46" ref="F17"/>
    <hyperlink r:id="rId47" ref="N17"/>
    <hyperlink r:id="rId48" ref="O17"/>
    <hyperlink r:id="rId49" ref="F18"/>
    <hyperlink r:id="rId50" ref="N18"/>
    <hyperlink r:id="rId51" ref="O18"/>
    <hyperlink r:id="rId52" ref="F19"/>
    <hyperlink r:id="rId53" ref="N19"/>
    <hyperlink r:id="rId54" ref="O19"/>
    <hyperlink r:id="rId55" ref="F20"/>
    <hyperlink r:id="rId56" ref="N20"/>
    <hyperlink r:id="rId57" ref="O20"/>
    <hyperlink r:id="rId58" ref="F21"/>
    <hyperlink r:id="rId59" ref="N21"/>
    <hyperlink r:id="rId60" ref="O21"/>
    <hyperlink r:id="rId61" ref="F22"/>
    <hyperlink r:id="rId62" ref="N22"/>
    <hyperlink r:id="rId63" ref="O22"/>
    <hyperlink r:id="rId64" ref="F23"/>
    <hyperlink r:id="rId65" ref="N23"/>
    <hyperlink r:id="rId66" ref="O23"/>
    <hyperlink r:id="rId67" ref="F24"/>
    <hyperlink r:id="rId68" ref="N24"/>
    <hyperlink r:id="rId69" ref="O24"/>
    <hyperlink r:id="rId70" ref="F25"/>
    <hyperlink r:id="rId71" ref="N25"/>
    <hyperlink r:id="rId72" ref="O25"/>
    <hyperlink r:id="rId73" ref="F26"/>
    <hyperlink r:id="rId74" ref="N26"/>
    <hyperlink r:id="rId75" ref="O26"/>
    <hyperlink r:id="rId76" ref="F27"/>
    <hyperlink r:id="rId77" ref="N27"/>
    <hyperlink r:id="rId78" ref="O27"/>
    <hyperlink r:id="rId79" ref="F28"/>
    <hyperlink r:id="rId80" ref="N28"/>
    <hyperlink r:id="rId81" ref="O28"/>
    <hyperlink r:id="rId82" ref="F29"/>
    <hyperlink r:id="rId83" ref="N29"/>
    <hyperlink r:id="rId84" ref="O29"/>
    <hyperlink r:id="rId85" ref="F30"/>
    <hyperlink r:id="rId86" ref="N30"/>
    <hyperlink r:id="rId87" ref="O30"/>
    <hyperlink r:id="rId88" ref="F31"/>
    <hyperlink r:id="rId89" ref="N31"/>
    <hyperlink r:id="rId90" ref="O31"/>
    <hyperlink r:id="rId91" ref="F32"/>
    <hyperlink r:id="rId92" ref="N32"/>
    <hyperlink r:id="rId93" ref="O32"/>
    <hyperlink r:id="rId94" ref="F33"/>
    <hyperlink r:id="rId95" ref="N33"/>
    <hyperlink r:id="rId96" ref="O33"/>
    <hyperlink r:id="rId97" ref="F34"/>
    <hyperlink r:id="rId98" ref="N34"/>
    <hyperlink r:id="rId99" ref="O34"/>
    <hyperlink r:id="rId100" ref="F35"/>
    <hyperlink r:id="rId101" ref="N35"/>
    <hyperlink r:id="rId102" ref="O35"/>
    <hyperlink r:id="rId103" ref="F36"/>
    <hyperlink r:id="rId104" ref="N36"/>
    <hyperlink r:id="rId105" ref="O36"/>
    <hyperlink r:id="rId106" ref="F37"/>
    <hyperlink r:id="rId107" ref="N37"/>
    <hyperlink r:id="rId108" ref="O37"/>
    <hyperlink r:id="rId109" ref="F38"/>
    <hyperlink r:id="rId110" ref="N38"/>
    <hyperlink r:id="rId111" ref="O38"/>
    <hyperlink r:id="rId112" ref="F39"/>
    <hyperlink r:id="rId113" ref="N39"/>
    <hyperlink r:id="rId114" ref="O39"/>
    <hyperlink r:id="rId115" ref="F40"/>
    <hyperlink r:id="rId116" ref="N40"/>
    <hyperlink r:id="rId117" ref="O40"/>
    <hyperlink r:id="rId118" ref="F41"/>
    <hyperlink r:id="rId119" ref="N41"/>
    <hyperlink r:id="rId120" ref="O41"/>
    <hyperlink r:id="rId121" ref="F42"/>
    <hyperlink r:id="rId122" ref="N42"/>
    <hyperlink r:id="rId123" ref="O42"/>
    <hyperlink r:id="rId124" ref="F43"/>
    <hyperlink r:id="rId125" ref="N43"/>
    <hyperlink r:id="rId126" ref="O43"/>
    <hyperlink r:id="rId127" ref="F44"/>
    <hyperlink r:id="rId128" ref="N44"/>
    <hyperlink r:id="rId129" ref="O44"/>
    <hyperlink r:id="rId130" ref="F45"/>
    <hyperlink r:id="rId131" ref="N45"/>
    <hyperlink r:id="rId132" ref="O45"/>
    <hyperlink r:id="rId133" ref="F46"/>
    <hyperlink r:id="rId134" ref="N46"/>
    <hyperlink r:id="rId135" ref="O46"/>
    <hyperlink r:id="rId136" ref="F47"/>
    <hyperlink r:id="rId137" ref="N47"/>
    <hyperlink r:id="rId138" ref="O47"/>
    <hyperlink r:id="rId139" ref="F48"/>
    <hyperlink r:id="rId140" ref="N48"/>
    <hyperlink r:id="rId141" ref="O48"/>
    <hyperlink r:id="rId142" ref="F49"/>
    <hyperlink r:id="rId143" ref="N49"/>
    <hyperlink r:id="rId144" ref="O49"/>
    <hyperlink r:id="rId145" ref="F50"/>
    <hyperlink r:id="rId146" ref="N50"/>
    <hyperlink r:id="rId147" ref="O50"/>
    <hyperlink r:id="rId148" ref="F51"/>
    <hyperlink r:id="rId149" ref="N51"/>
    <hyperlink r:id="rId150" ref="O51"/>
    <hyperlink r:id="rId151" ref="F52"/>
    <hyperlink r:id="rId152" ref="N52"/>
    <hyperlink r:id="rId153" ref="O52"/>
    <hyperlink r:id="rId154" ref="F53"/>
    <hyperlink r:id="rId155" ref="N53"/>
    <hyperlink r:id="rId156" ref="O53"/>
    <hyperlink r:id="rId157" ref="F54"/>
    <hyperlink r:id="rId158" ref="N54"/>
    <hyperlink r:id="rId159" ref="O54"/>
    <hyperlink r:id="rId160" ref="F55"/>
    <hyperlink r:id="rId161" ref="N55"/>
    <hyperlink r:id="rId162" ref="O55"/>
    <hyperlink r:id="rId163" ref="F56"/>
    <hyperlink r:id="rId164" ref="N56"/>
    <hyperlink r:id="rId165" ref="O56"/>
    <hyperlink r:id="rId166" ref="F57"/>
    <hyperlink r:id="rId167" ref="N57"/>
    <hyperlink r:id="rId168" ref="O57"/>
    <hyperlink r:id="rId169" ref="F58"/>
    <hyperlink r:id="rId170" ref="N58"/>
    <hyperlink r:id="rId171" ref="O58"/>
    <hyperlink r:id="rId172" ref="F59"/>
    <hyperlink r:id="rId173" ref="N59"/>
    <hyperlink r:id="rId174" ref="O59"/>
    <hyperlink r:id="rId175" ref="F60"/>
    <hyperlink r:id="rId176" ref="N60"/>
    <hyperlink r:id="rId177" ref="O60"/>
    <hyperlink r:id="rId178" ref="F61"/>
    <hyperlink r:id="rId179" ref="N61"/>
    <hyperlink r:id="rId180" ref="O61"/>
    <hyperlink r:id="rId181" ref="F62"/>
    <hyperlink r:id="rId182" ref="N62"/>
    <hyperlink r:id="rId183" ref="O62"/>
    <hyperlink r:id="rId184" ref="F63"/>
    <hyperlink r:id="rId185" ref="N63"/>
    <hyperlink r:id="rId186" ref="O63"/>
    <hyperlink r:id="rId187" ref="F64"/>
    <hyperlink r:id="rId188" ref="N64"/>
    <hyperlink r:id="rId189" ref="O64"/>
    <hyperlink r:id="rId190" ref="F65"/>
    <hyperlink r:id="rId191" ref="N65"/>
    <hyperlink r:id="rId192" ref="O65"/>
  </hyperlinks>
  <drawing r:id="rId193"/>
  <tableParts count="1">
    <tablePart r:id="rId195"/>
  </tableParts>
</worksheet>
</file>