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anti.INTRANET\Desktop\PhD\3_CODEs\demod_Matteo\demod\datasets\Germany\raw_data\"/>
    </mc:Choice>
  </mc:AlternateContent>
  <xr:revisionPtr revIDLastSave="0" documentId="13_ncr:1_{B7879336-A9F3-48DA-9E90-21DF07CF0197}" xr6:coauthVersionLast="36" xr6:coauthVersionMax="36" xr10:uidLastSave="{00000000-0000-0000-0000-000000000000}"/>
  <bookViews>
    <workbookView xWindow="0" yWindow="0" windowWidth="14400" windowHeight="6113" tabRatio="500" xr2:uid="{00000000-000D-0000-FFFF-FFFF00000000}"/>
  </bookViews>
  <sheets>
    <sheet name="Appliances" sheetId="1" r:id="rId1"/>
    <sheet name="ActivityStats" sheetId="2" r:id="rId2"/>
    <sheet name="Lighting" sheetId="3" r:id="rId3"/>
    <sheet name="Heating Systems" sheetId="4" r:id="rId4"/>
    <sheet name="Buildings" sheetId="5" r:id="rId5"/>
    <sheet name="Electric Cars" sheetId="7" r:id="rId6"/>
    <sheet name="Charging Station" sheetId="8" r:id="rId7"/>
    <sheet name="Current track" sheetId="9" r:id="rId8"/>
  </sheets>
  <externalReferences>
    <externalReference r:id="rId9"/>
  </externalReferences>
  <definedNames>
    <definedName name="rProbActivelyOccupied">[1]ActivityStats!$D$10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43" i="1" l="1"/>
  <c r="AB43" i="1"/>
  <c r="AH38" i="1"/>
  <c r="AI37" i="1"/>
  <c r="AF43" i="1"/>
  <c r="AG43" i="1"/>
  <c r="AH43" i="1"/>
  <c r="AI43" i="1"/>
  <c r="AF32" i="1"/>
  <c r="AG29" i="1"/>
  <c r="AH27" i="1"/>
  <c r="AI25" i="1"/>
  <c r="AH24" i="1"/>
  <c r="AI21" i="1"/>
  <c r="Q30" i="1"/>
  <c r="AF31" i="1"/>
  <c r="AH26" i="1"/>
  <c r="AI24" i="1"/>
  <c r="M23" i="1"/>
  <c r="R26" i="1"/>
  <c r="P27" i="1"/>
  <c r="Q27" i="1" s="1"/>
  <c r="R28" i="1"/>
  <c r="AG24" i="1"/>
  <c r="AH20" i="1"/>
  <c r="AI17" i="1"/>
  <c r="AF23" i="1"/>
  <c r="AG22" i="1"/>
  <c r="AH21" i="1"/>
  <c r="AI18" i="1"/>
  <c r="V43" i="1"/>
  <c r="V41" i="1"/>
  <c r="AI42" i="1"/>
  <c r="AF25" i="1"/>
  <c r="AH25" i="1"/>
  <c r="AI23" i="1"/>
  <c r="J25" i="1"/>
  <c r="L25" i="1" s="1"/>
  <c r="M25" i="1" s="1"/>
  <c r="R22" i="1"/>
  <c r="AH22" i="1"/>
  <c r="AI22" i="1"/>
  <c r="AG20" i="1"/>
  <c r="AF20" i="1"/>
  <c r="AF21" i="1"/>
  <c r="AG21" i="1"/>
  <c r="P22" i="1"/>
  <c r="Q21" i="1"/>
  <c r="Z35" i="1" l="1"/>
  <c r="AB35" i="1"/>
  <c r="Z23" i="1" l="1"/>
  <c r="V26" i="1" l="1"/>
  <c r="P25" i="1"/>
  <c r="W34" i="1" l="1"/>
  <c r="AC34" i="1"/>
  <c r="AB34" i="1"/>
  <c r="V34" i="1"/>
  <c r="AC28" i="1"/>
  <c r="AJ20" i="1" l="1"/>
  <c r="Z20" i="1"/>
  <c r="V20" i="1"/>
  <c r="Z31" i="1"/>
  <c r="AB20" i="1" l="1"/>
  <c r="AC20" i="1" s="1"/>
  <c r="AC22" i="1"/>
  <c r="Z29" i="1" l="1"/>
  <c r="AJ24" i="1"/>
  <c r="S34" i="1" l="1"/>
  <c r="AE34" i="1"/>
  <c r="X19" i="1"/>
  <c r="X18" i="1"/>
  <c r="X17" i="1"/>
  <c r="X16" i="1"/>
  <c r="AE16" i="1"/>
  <c r="AD16" i="1"/>
  <c r="AJ16" i="1"/>
  <c r="AC16" i="1"/>
  <c r="S18" i="5" l="1"/>
  <c r="T18" i="5" s="1"/>
  <c r="M18" i="5"/>
  <c r="P18" i="5" s="1"/>
  <c r="Q18" i="5" s="1"/>
  <c r="G18" i="5"/>
  <c r="S17" i="5"/>
  <c r="T17" i="5" s="1"/>
  <c r="M17" i="5"/>
  <c r="P17" i="5" s="1"/>
  <c r="Q17" i="5" s="1"/>
  <c r="G17" i="5"/>
  <c r="S16" i="5"/>
  <c r="T16" i="5" s="1"/>
  <c r="P16" i="5"/>
  <c r="Q16" i="5" s="1"/>
  <c r="M16" i="5"/>
  <c r="O16" i="5" s="1"/>
  <c r="S15" i="5"/>
  <c r="T15" i="5" s="1"/>
  <c r="M15" i="5"/>
  <c r="O15" i="5" s="1"/>
  <c r="S14" i="5"/>
  <c r="T14" i="5" s="1"/>
  <c r="M14" i="5"/>
  <c r="P14" i="5" s="1"/>
  <c r="Q14" i="5" s="1"/>
  <c r="H12" i="4"/>
  <c r="J12" i="4" s="1"/>
  <c r="D12" i="4"/>
  <c r="H11" i="4"/>
  <c r="P11" i="4" s="1"/>
  <c r="D11" i="4"/>
  <c r="AB16" i="1"/>
  <c r="Z22" i="1"/>
  <c r="Z16" i="1"/>
  <c r="Z45" i="1"/>
  <c r="Z32" i="1"/>
  <c r="Z33" i="1"/>
  <c r="Z34" i="1"/>
  <c r="AD34" i="1" s="1"/>
  <c r="AJ34" i="1"/>
  <c r="V19" i="1"/>
  <c r="U34" i="1"/>
  <c r="O34" i="1"/>
  <c r="P34" i="1" s="1"/>
  <c r="N34" i="1"/>
  <c r="J24" i="1"/>
  <c r="K34" i="1"/>
  <c r="L34" i="1" s="1"/>
  <c r="M34" i="1" s="1"/>
  <c r="G34" i="1"/>
  <c r="R34" i="1" l="1"/>
  <c r="P15" i="5"/>
  <c r="Q15" i="5" s="1"/>
  <c r="O14" i="5"/>
  <c r="O18" i="5"/>
  <c r="O17" i="5"/>
  <c r="P12" i="4"/>
  <c r="J11" i="4"/>
  <c r="Q34" i="1"/>
  <c r="AF34" i="1" s="1"/>
  <c r="AG34" i="1" s="1"/>
  <c r="AH34" i="1" l="1"/>
  <c r="AI34" i="1" s="1"/>
  <c r="J22" i="1"/>
  <c r="G22" i="1"/>
  <c r="T13" i="5"/>
  <c r="S13" i="5"/>
  <c r="P13" i="5"/>
  <c r="Q13" i="5" s="1"/>
  <c r="O13" i="5"/>
  <c r="M13" i="5"/>
  <c r="G13" i="5"/>
  <c r="S12" i="5"/>
  <c r="T12" i="5" s="1"/>
  <c r="M12" i="5"/>
  <c r="P12" i="5" s="1"/>
  <c r="Q12" i="5" s="1"/>
  <c r="G12" i="5"/>
  <c r="S11" i="5"/>
  <c r="T11" i="5" s="1"/>
  <c r="M11" i="5"/>
  <c r="P11" i="5" s="1"/>
  <c r="Q11" i="5" s="1"/>
  <c r="T10" i="5"/>
  <c r="S10" i="5"/>
  <c r="P10" i="5"/>
  <c r="Q10" i="5" s="1"/>
  <c r="O10" i="5"/>
  <c r="M10" i="5"/>
  <c r="S9" i="5"/>
  <c r="T9" i="5" s="1"/>
  <c r="M9" i="5"/>
  <c r="P9" i="5" s="1"/>
  <c r="Q9" i="5" s="1"/>
  <c r="T8" i="5"/>
  <c r="S8" i="5"/>
  <c r="P8" i="5"/>
  <c r="Q8" i="5" s="1"/>
  <c r="O8" i="5"/>
  <c r="M8" i="5"/>
  <c r="S7" i="5"/>
  <c r="T7" i="5" s="1"/>
  <c r="M7" i="5"/>
  <c r="P7" i="5" s="1"/>
  <c r="Q7" i="5" s="1"/>
  <c r="T6" i="5"/>
  <c r="S6" i="5"/>
  <c r="P6" i="5"/>
  <c r="Q6" i="5" s="1"/>
  <c r="O6" i="5"/>
  <c r="M6" i="5"/>
  <c r="H13" i="4"/>
  <c r="P13" i="4" s="1"/>
  <c r="D13" i="4"/>
  <c r="H10" i="4"/>
  <c r="P10" i="4" s="1"/>
  <c r="D10" i="4"/>
  <c r="H9" i="4"/>
  <c r="P9" i="4" s="1"/>
  <c r="D9" i="4"/>
  <c r="H8" i="4"/>
  <c r="P8" i="4" s="1"/>
  <c r="D8" i="4"/>
  <c r="H7" i="4"/>
  <c r="P7" i="4" s="1"/>
  <c r="D7" i="4"/>
  <c r="H6" i="4"/>
  <c r="P6" i="4" s="1"/>
  <c r="D6" i="4"/>
  <c r="AJ47" i="1"/>
  <c r="V47" i="1"/>
  <c r="W47" i="1" s="1"/>
  <c r="U47" i="1"/>
  <c r="O47" i="1"/>
  <c r="P47" i="1" s="1"/>
  <c r="Q47" i="1" s="1"/>
  <c r="N47" i="1"/>
  <c r="K47" i="1"/>
  <c r="J47" i="1"/>
  <c r="G47" i="1"/>
  <c r="AA46" i="1"/>
  <c r="AJ46" i="1" s="1"/>
  <c r="V46" i="1"/>
  <c r="W46" i="1" s="1"/>
  <c r="U46" i="1"/>
  <c r="O46" i="1"/>
  <c r="P46" i="1" s="1"/>
  <c r="Q46" i="1" s="1"/>
  <c r="N46" i="1"/>
  <c r="K46" i="1"/>
  <c r="Z46" i="1" s="1"/>
  <c r="J46" i="1"/>
  <c r="G46" i="1"/>
  <c r="AA45" i="1"/>
  <c r="AJ45" i="1" s="1"/>
  <c r="V45" i="1"/>
  <c r="W45" i="1" s="1"/>
  <c r="U45" i="1"/>
  <c r="O45" i="1"/>
  <c r="P45" i="1" s="1"/>
  <c r="N45" i="1"/>
  <c r="K45" i="1"/>
  <c r="J45" i="1"/>
  <c r="G45" i="1"/>
  <c r="AJ44" i="1"/>
  <c r="V44" i="1"/>
  <c r="W44" i="1" s="1"/>
  <c r="U44" i="1"/>
  <c r="O44" i="1"/>
  <c r="P44" i="1" s="1"/>
  <c r="N44" i="1"/>
  <c r="K44" i="1"/>
  <c r="J44" i="1"/>
  <c r="G44" i="1"/>
  <c r="AJ43" i="1"/>
  <c r="U43" i="1"/>
  <c r="O43" i="1"/>
  <c r="P43" i="1" s="1"/>
  <c r="N43" i="1"/>
  <c r="K43" i="1"/>
  <c r="AC43" i="1" s="1"/>
  <c r="J43" i="1"/>
  <c r="G43" i="1"/>
  <c r="AJ42" i="1"/>
  <c r="V42" i="1"/>
  <c r="U42" i="1"/>
  <c r="O42" i="1"/>
  <c r="P42" i="1" s="1"/>
  <c r="Q42" i="1" s="1"/>
  <c r="N42" i="1"/>
  <c r="K42" i="1"/>
  <c r="J42" i="1"/>
  <c r="G42" i="1"/>
  <c r="AJ41" i="1"/>
  <c r="U41" i="1"/>
  <c r="O41" i="1"/>
  <c r="P41" i="1" s="1"/>
  <c r="Q41" i="1" s="1"/>
  <c r="N41" i="1"/>
  <c r="K41" i="1"/>
  <c r="J41" i="1"/>
  <c r="G41" i="1"/>
  <c r="AJ40" i="1"/>
  <c r="V40" i="1"/>
  <c r="U40" i="1"/>
  <c r="O40" i="1"/>
  <c r="P40" i="1" s="1"/>
  <c r="N40" i="1"/>
  <c r="K40" i="1"/>
  <c r="J40" i="1"/>
  <c r="G40" i="1"/>
  <c r="AJ39" i="1"/>
  <c r="V39" i="1"/>
  <c r="U39" i="1"/>
  <c r="O39" i="1"/>
  <c r="P39" i="1" s="1"/>
  <c r="N39" i="1"/>
  <c r="K39" i="1"/>
  <c r="J39" i="1"/>
  <c r="G39" i="1"/>
  <c r="AJ38" i="1"/>
  <c r="V38" i="1"/>
  <c r="U38" i="1"/>
  <c r="O38" i="1"/>
  <c r="P38" i="1" s="1"/>
  <c r="N38" i="1"/>
  <c r="K38" i="1"/>
  <c r="J38" i="1"/>
  <c r="G38" i="1"/>
  <c r="AJ37" i="1"/>
  <c r="V37" i="1"/>
  <c r="U37" i="1"/>
  <c r="O37" i="1"/>
  <c r="P37" i="1" s="1"/>
  <c r="Q37" i="1" s="1"/>
  <c r="N37" i="1"/>
  <c r="K37" i="1"/>
  <c r="J37" i="1"/>
  <c r="G37" i="1"/>
  <c r="AJ36" i="1"/>
  <c r="AE36" i="1"/>
  <c r="AD36" i="1"/>
  <c r="V36" i="1"/>
  <c r="U36" i="1"/>
  <c r="O36" i="1"/>
  <c r="P36" i="1" s="1"/>
  <c r="N36" i="1"/>
  <c r="K36" i="1"/>
  <c r="J36" i="1"/>
  <c r="G36" i="1"/>
  <c r="AJ35" i="1"/>
  <c r="V35" i="1"/>
  <c r="U35" i="1"/>
  <c r="O35" i="1"/>
  <c r="P35" i="1" s="1"/>
  <c r="N35" i="1"/>
  <c r="K35" i="1"/>
  <c r="J35" i="1"/>
  <c r="G35" i="1"/>
  <c r="AJ33" i="1"/>
  <c r="V33" i="1"/>
  <c r="U33" i="1"/>
  <c r="O33" i="1"/>
  <c r="P33" i="1" s="1"/>
  <c r="N33" i="1"/>
  <c r="K33" i="1"/>
  <c r="J33" i="1"/>
  <c r="G33" i="1"/>
  <c r="AJ32" i="1"/>
  <c r="V32" i="1"/>
  <c r="U32" i="1"/>
  <c r="O32" i="1"/>
  <c r="P32" i="1" s="1"/>
  <c r="N32" i="1"/>
  <c r="K32" i="1"/>
  <c r="J32" i="1"/>
  <c r="G32" i="1"/>
  <c r="AJ31" i="1"/>
  <c r="V31" i="1"/>
  <c r="U31" i="1"/>
  <c r="O31" i="1"/>
  <c r="P31" i="1" s="1"/>
  <c r="Q31" i="1" s="1"/>
  <c r="N31" i="1"/>
  <c r="K31" i="1"/>
  <c r="J31" i="1"/>
  <c r="G31" i="1"/>
  <c r="AJ30" i="1"/>
  <c r="V30" i="1"/>
  <c r="U30" i="1"/>
  <c r="O30" i="1"/>
  <c r="P30" i="1" s="1"/>
  <c r="N30" i="1"/>
  <c r="K30" i="1"/>
  <c r="J30" i="1"/>
  <c r="AJ29" i="1"/>
  <c r="V29" i="1"/>
  <c r="U29" i="1"/>
  <c r="O29" i="1"/>
  <c r="P29" i="1" s="1"/>
  <c r="Q29" i="1" s="1"/>
  <c r="AF29" i="1" s="1"/>
  <c r="N29" i="1"/>
  <c r="K29" i="1"/>
  <c r="J29" i="1"/>
  <c r="G29" i="1"/>
  <c r="AJ28" i="1"/>
  <c r="V28" i="1"/>
  <c r="U28" i="1"/>
  <c r="O28" i="1"/>
  <c r="P28" i="1" s="1"/>
  <c r="Q28" i="1" s="1"/>
  <c r="N28" i="1"/>
  <c r="K28" i="1"/>
  <c r="Z28" i="1" s="1"/>
  <c r="AB28" i="1" s="1"/>
  <c r="J28" i="1"/>
  <c r="G28" i="1"/>
  <c r="AJ27" i="1"/>
  <c r="V27" i="1"/>
  <c r="U27" i="1"/>
  <c r="O27" i="1"/>
  <c r="N27" i="1"/>
  <c r="K27" i="1"/>
  <c r="J27" i="1"/>
  <c r="G27" i="1"/>
  <c r="AJ26" i="1"/>
  <c r="U26" i="1"/>
  <c r="O26" i="1"/>
  <c r="P26" i="1" s="1"/>
  <c r="Q26" i="1" s="1"/>
  <c r="N26" i="1"/>
  <c r="K26" i="1"/>
  <c r="Z26" i="1" s="1"/>
  <c r="AB26" i="1" s="1"/>
  <c r="AC26" i="1" s="1"/>
  <c r="J26" i="1"/>
  <c r="G26" i="1"/>
  <c r="AJ25" i="1"/>
  <c r="V25" i="1"/>
  <c r="U25" i="1"/>
  <c r="O25" i="1"/>
  <c r="N25" i="1"/>
  <c r="K25" i="1"/>
  <c r="G25" i="1"/>
  <c r="V24" i="1"/>
  <c r="U24" i="1"/>
  <c r="O24" i="1"/>
  <c r="P24" i="1" s="1"/>
  <c r="N24" i="1"/>
  <c r="K24" i="1"/>
  <c r="Z24" i="1" s="1"/>
  <c r="G24" i="1"/>
  <c r="AJ23" i="1"/>
  <c r="V23" i="1"/>
  <c r="U23" i="1"/>
  <c r="O23" i="1"/>
  <c r="P23" i="1" s="1"/>
  <c r="N23" i="1"/>
  <c r="K23" i="1"/>
  <c r="J23" i="1"/>
  <c r="G23" i="1"/>
  <c r="AJ22" i="1"/>
  <c r="V22" i="1"/>
  <c r="U22" i="1"/>
  <c r="O22" i="1"/>
  <c r="Q22" i="1" s="1"/>
  <c r="AF22" i="1" s="1"/>
  <c r="N22" i="1"/>
  <c r="K22" i="1"/>
  <c r="AJ21" i="1"/>
  <c r="V21" i="1"/>
  <c r="U21" i="1"/>
  <c r="O21" i="1"/>
  <c r="P21" i="1" s="1"/>
  <c r="N21" i="1"/>
  <c r="K21" i="1"/>
  <c r="J21" i="1"/>
  <c r="G21" i="1"/>
  <c r="AE20" i="1"/>
  <c r="AD20" i="1"/>
  <c r="U20" i="1"/>
  <c r="O20" i="1"/>
  <c r="P20" i="1" s="1"/>
  <c r="N20" i="1"/>
  <c r="K20" i="1"/>
  <c r="J20" i="1"/>
  <c r="G20" i="1"/>
  <c r="AJ19" i="1"/>
  <c r="U19" i="1"/>
  <c r="O19" i="1"/>
  <c r="P19" i="1" s="1"/>
  <c r="N19" i="1"/>
  <c r="K19" i="1"/>
  <c r="J19" i="1"/>
  <c r="L19" i="1" s="1"/>
  <c r="M19" i="1" s="1"/>
  <c r="G19" i="1"/>
  <c r="AJ18" i="1"/>
  <c r="V18" i="1"/>
  <c r="U18" i="1"/>
  <c r="O18" i="1"/>
  <c r="P18" i="1" s="1"/>
  <c r="N18" i="1"/>
  <c r="K18" i="1"/>
  <c r="J18" i="1"/>
  <c r="G18" i="1"/>
  <c r="AJ17" i="1"/>
  <c r="V17" i="1"/>
  <c r="U17" i="1"/>
  <c r="O17" i="1"/>
  <c r="P17" i="1" s="1"/>
  <c r="N17" i="1"/>
  <c r="K17" i="1"/>
  <c r="J17" i="1"/>
  <c r="G17" i="1"/>
  <c r="V16" i="1"/>
  <c r="U16" i="1"/>
  <c r="O16" i="1"/>
  <c r="P16" i="1" s="1"/>
  <c r="Q16" i="1" s="1"/>
  <c r="AF16" i="1" s="1"/>
  <c r="N16" i="1"/>
  <c r="K16" i="1"/>
  <c r="J16" i="1"/>
  <c r="G16" i="1"/>
  <c r="AG16" i="1" l="1"/>
  <c r="AH16" i="1" s="1"/>
  <c r="AI16" i="1" s="1"/>
  <c r="Q17" i="1"/>
  <c r="Z19" i="1"/>
  <c r="AB19" i="1" s="1"/>
  <c r="AC19" i="1" s="1"/>
  <c r="AB22" i="1"/>
  <c r="AD22" i="1" s="1"/>
  <c r="AB23" i="1"/>
  <c r="AC23" i="1" s="1"/>
  <c r="Z27" i="1"/>
  <c r="AB27" i="1" s="1"/>
  <c r="AC27" i="1" s="1"/>
  <c r="AB29" i="1"/>
  <c r="AC29" i="1" s="1"/>
  <c r="Z30" i="1"/>
  <c r="AB30" i="1" s="1"/>
  <c r="AC30" i="1" s="1"/>
  <c r="AB31" i="1"/>
  <c r="AC31" i="1" s="1"/>
  <c r="AB33" i="1"/>
  <c r="AC33" i="1" s="1"/>
  <c r="AC35" i="1"/>
  <c r="AB36" i="1"/>
  <c r="Z36" i="1"/>
  <c r="L38" i="1"/>
  <c r="M38" i="1" s="1"/>
  <c r="R38" i="1" s="1"/>
  <c r="L39" i="1"/>
  <c r="M39" i="1" s="1"/>
  <c r="Z25" i="1"/>
  <c r="AB25" i="1" s="1"/>
  <c r="AC25" i="1" s="1"/>
  <c r="AE25" i="1" s="1"/>
  <c r="Z21" i="1"/>
  <c r="AB21" i="1" s="1"/>
  <c r="AC21" i="1" s="1"/>
  <c r="Z39" i="1"/>
  <c r="AB39" i="1" s="1"/>
  <c r="AC39" i="1" s="1"/>
  <c r="Z18" i="1"/>
  <c r="AB18" i="1" s="1"/>
  <c r="AC18" i="1" s="1"/>
  <c r="AB37" i="1"/>
  <c r="AC37" i="1" s="1"/>
  <c r="AD37" i="1" s="1"/>
  <c r="Z37" i="1"/>
  <c r="Z38" i="1"/>
  <c r="AB38" i="1" s="1"/>
  <c r="AC38" i="1" s="1"/>
  <c r="Z40" i="1"/>
  <c r="AB40" i="1" s="1"/>
  <c r="AC40" i="1" s="1"/>
  <c r="Z41" i="1"/>
  <c r="AB41" i="1" s="1"/>
  <c r="AC41" i="1" s="1"/>
  <c r="Z42" i="1"/>
  <c r="AB42" i="1" s="1"/>
  <c r="AC42" i="1" s="1"/>
  <c r="AE42" i="1" s="1"/>
  <c r="Z44" i="1"/>
  <c r="AB44" i="1" s="1"/>
  <c r="AC44" i="1" s="1"/>
  <c r="AE44" i="1" s="1"/>
  <c r="Z47" i="1"/>
  <c r="AB47" i="1" s="1"/>
  <c r="AC47" i="1" s="1"/>
  <c r="AE47" i="1" s="1"/>
  <c r="Z17" i="1"/>
  <c r="L26" i="1"/>
  <c r="M26" i="1" s="1"/>
  <c r="Q38" i="1"/>
  <c r="L45" i="1"/>
  <c r="M45" i="1" s="1"/>
  <c r="L46" i="1"/>
  <c r="M46" i="1" s="1"/>
  <c r="R46" i="1" s="1"/>
  <c r="L47" i="1"/>
  <c r="M47" i="1" s="1"/>
  <c r="L32" i="1"/>
  <c r="M32" i="1" s="1"/>
  <c r="R32" i="1" s="1"/>
  <c r="Q43" i="1"/>
  <c r="L37" i="1"/>
  <c r="M37" i="1" s="1"/>
  <c r="R37" i="1" s="1"/>
  <c r="L21" i="1"/>
  <c r="M21" i="1" s="1"/>
  <c r="R21" i="1" s="1"/>
  <c r="Q39" i="1"/>
  <c r="R45" i="1"/>
  <c r="Q20" i="1"/>
  <c r="R19" i="1"/>
  <c r="L40" i="1"/>
  <c r="M40" i="1" s="1"/>
  <c r="R40" i="1" s="1"/>
  <c r="L41" i="1"/>
  <c r="M41" i="1" s="1"/>
  <c r="R41" i="1" s="1"/>
  <c r="Q33" i="1"/>
  <c r="Q32" i="1"/>
  <c r="Q35" i="1"/>
  <c r="Q44" i="1"/>
  <c r="Q18" i="1"/>
  <c r="Q36" i="1"/>
  <c r="AF36" i="1" s="1"/>
  <c r="Q40" i="1"/>
  <c r="Q45" i="1"/>
  <c r="Q24" i="1"/>
  <c r="L17" i="1"/>
  <c r="M17" i="1" s="1"/>
  <c r="R17" i="1" s="1"/>
  <c r="L20" i="1"/>
  <c r="M20" i="1" s="1"/>
  <c r="R20" i="1" s="1"/>
  <c r="L29" i="1"/>
  <c r="M29" i="1" s="1"/>
  <c r="R29" i="1" s="1"/>
  <c r="L30" i="1"/>
  <c r="M30" i="1" s="1"/>
  <c r="R30" i="1" s="1"/>
  <c r="L43" i="1"/>
  <c r="M43" i="1" s="1"/>
  <c r="R43" i="1" s="1"/>
  <c r="Q23" i="1"/>
  <c r="Q19" i="1"/>
  <c r="L18" i="1"/>
  <c r="M18" i="1" s="1"/>
  <c r="R18" i="1" s="1"/>
  <c r="L35" i="1"/>
  <c r="M35" i="1" s="1"/>
  <c r="R35" i="1" s="1"/>
  <c r="R39" i="1"/>
  <c r="L44" i="1"/>
  <c r="M44" i="1" s="1"/>
  <c r="R44" i="1" s="1"/>
  <c r="L22" i="1"/>
  <c r="M22" i="1" s="1"/>
  <c r="AD26" i="1"/>
  <c r="AE26" i="1"/>
  <c r="Q25" i="1"/>
  <c r="L28" i="1"/>
  <c r="M28" i="1" s="1"/>
  <c r="L24" i="1"/>
  <c r="M24" i="1" s="1"/>
  <c r="R24" i="1" s="1"/>
  <c r="AB24" i="1"/>
  <c r="AC24" i="1" s="1"/>
  <c r="L33" i="1"/>
  <c r="AE43" i="1"/>
  <c r="AD43" i="1"/>
  <c r="R47" i="1"/>
  <c r="L16" i="1"/>
  <c r="M16" i="1" s="1"/>
  <c r="R16" i="1" s="1"/>
  <c r="L23" i="1"/>
  <c r="R23" i="1" s="1"/>
  <c r="L27" i="1"/>
  <c r="M27" i="1" s="1"/>
  <c r="R27" i="1" s="1"/>
  <c r="L31" i="1"/>
  <c r="M31" i="1" s="1"/>
  <c r="R31" i="1" s="1"/>
  <c r="L36" i="1"/>
  <c r="M36" i="1" s="1"/>
  <c r="R36" i="1" s="1"/>
  <c r="J6" i="4"/>
  <c r="J8" i="4"/>
  <c r="J10" i="4"/>
  <c r="AB32" i="1"/>
  <c r="AC32" i="1" s="1"/>
  <c r="L42" i="1"/>
  <c r="M42" i="1" s="1"/>
  <c r="R42" i="1" s="1"/>
  <c r="O9" i="5"/>
  <c r="J7" i="4"/>
  <c r="J9" i="4"/>
  <c r="J13" i="4"/>
  <c r="O12" i="5"/>
  <c r="O7" i="5"/>
  <c r="O11" i="5"/>
  <c r="AB45" i="1"/>
  <c r="AC45" i="1" s="1"/>
  <c r="AB46" i="1"/>
  <c r="AC46" i="1" s="1"/>
  <c r="R25" i="1" l="1"/>
  <c r="AB17" i="1"/>
  <c r="AC17" i="1" s="1"/>
  <c r="AE30" i="1"/>
  <c r="AD30" i="1"/>
  <c r="AD42" i="1"/>
  <c r="AF26" i="1"/>
  <c r="AG26" i="1" s="1"/>
  <c r="AI26" i="1" s="1"/>
  <c r="AD41" i="1"/>
  <c r="AF41" i="1" s="1"/>
  <c r="AG41" i="1" s="1"/>
  <c r="AH41" i="1" s="1"/>
  <c r="AI41" i="1" s="1"/>
  <c r="AE41" i="1"/>
  <c r="AE40" i="1"/>
  <c r="AD40" i="1"/>
  <c r="AE29" i="1"/>
  <c r="AD29" i="1"/>
  <c r="AH29" i="1" s="1"/>
  <c r="AI29" i="1" s="1"/>
  <c r="AE18" i="1"/>
  <c r="AD18" i="1"/>
  <c r="AD27" i="1"/>
  <c r="AE27" i="1"/>
  <c r="AD19" i="1"/>
  <c r="AE19" i="1"/>
  <c r="AD39" i="1"/>
  <c r="AE39" i="1"/>
  <c r="AE23" i="1"/>
  <c r="AD23" i="1"/>
  <c r="AG23" i="1" s="1"/>
  <c r="AH23" i="1" s="1"/>
  <c r="AD33" i="1"/>
  <c r="AE33" i="1"/>
  <c r="AD31" i="1"/>
  <c r="AG31" i="1" s="1"/>
  <c r="AH31" i="1" s="1"/>
  <c r="AI31" i="1" s="1"/>
  <c r="AE31" i="1"/>
  <c r="AD38" i="1"/>
  <c r="AE38" i="1"/>
  <c r="AE21" i="1"/>
  <c r="AD21" i="1"/>
  <c r="AD35" i="1"/>
  <c r="AE35" i="1"/>
  <c r="AE37" i="1"/>
  <c r="AD25" i="1"/>
  <c r="AE22" i="1"/>
  <c r="M33" i="1"/>
  <c r="R33" i="1" s="1"/>
  <c r="AD44" i="1"/>
  <c r="AF44" i="1" s="1"/>
  <c r="AG44" i="1" s="1"/>
  <c r="AH44" i="1" s="1"/>
  <c r="AI44" i="1" s="1"/>
  <c r="AD47" i="1"/>
  <c r="AF47" i="1" s="1"/>
  <c r="AG47" i="1" s="1"/>
  <c r="AH47" i="1" s="1"/>
  <c r="AI47" i="1" s="1"/>
  <c r="AF37" i="1"/>
  <c r="AG37" i="1" s="1"/>
  <c r="AH37" i="1" s="1"/>
  <c r="AF42" i="1"/>
  <c r="AG42" i="1" s="1"/>
  <c r="AH42" i="1" s="1"/>
  <c r="AI20" i="1"/>
  <c r="AG36" i="1"/>
  <c r="AF19" i="1"/>
  <c r="AG19" i="1" s="1"/>
  <c r="AD24" i="1"/>
  <c r="AE24" i="1"/>
  <c r="AD28" i="1"/>
  <c r="AE28" i="1"/>
  <c r="AE46" i="1"/>
  <c r="AD46" i="1"/>
  <c r="AE45" i="1"/>
  <c r="AD45" i="1"/>
  <c r="AD32" i="1"/>
  <c r="AE32" i="1"/>
  <c r="AI19" i="1" l="1"/>
  <c r="AH19" i="1"/>
  <c r="AG25" i="1"/>
  <c r="AF40" i="1"/>
  <c r="AG40" i="1" s="1"/>
  <c r="AH40" i="1" s="1"/>
  <c r="AI40" i="1" s="1"/>
  <c r="AF27" i="1"/>
  <c r="AG27" i="1" s="1"/>
  <c r="AI27" i="1" s="1"/>
  <c r="AF35" i="1"/>
  <c r="AG35" i="1" s="1"/>
  <c r="AH35" i="1" s="1"/>
  <c r="AI35" i="1" s="1"/>
  <c r="AF39" i="1"/>
  <c r="AG39" i="1" s="1"/>
  <c r="AH39" i="1" s="1"/>
  <c r="AI39" i="1" s="1"/>
  <c r="AD17" i="1"/>
  <c r="AE17" i="1"/>
  <c r="AF18" i="1"/>
  <c r="AG18" i="1" s="1"/>
  <c r="AF30" i="1"/>
  <c r="AG30" i="1" s="1"/>
  <c r="AH30" i="1" s="1"/>
  <c r="AI30" i="1" s="1"/>
  <c r="AF33" i="1"/>
  <c r="AF38" i="1"/>
  <c r="AG38" i="1" s="1"/>
  <c r="AI38" i="1" s="1"/>
  <c r="AF17" i="1"/>
  <c r="AG17" i="1" s="1"/>
  <c r="AF45" i="1"/>
  <c r="AG45" i="1" s="1"/>
  <c r="AH45" i="1" s="1"/>
  <c r="AI45" i="1" s="1"/>
  <c r="AF46" i="1"/>
  <c r="AG46" i="1" s="1"/>
  <c r="AH46" i="1" s="1"/>
  <c r="AI46" i="1" s="1"/>
  <c r="AF24" i="1"/>
  <c r="AF28" i="1"/>
  <c r="AG28" i="1" s="1"/>
  <c r="AH28" i="1" s="1"/>
  <c r="AI28" i="1" s="1"/>
  <c r="AG32" i="1"/>
  <c r="AH32" i="1" s="1"/>
  <c r="AI32" i="1" s="1"/>
  <c r="AH33" i="1" l="1"/>
  <c r="AI33" i="1" s="1"/>
  <c r="AG33" i="1"/>
  <c r="AH18" i="1"/>
  <c r="AH17" i="1"/>
</calcChain>
</file>

<file path=xl/sharedStrings.xml><?xml version="1.0" encoding="utf-8"?>
<sst xmlns="http://schemas.openxmlformats.org/spreadsheetml/2006/main" count="707" uniqueCount="478">
  <si>
    <t>Appliance and water fixture model configuration</t>
  </si>
  <si>
    <t xml:space="preserve"> </t>
  </si>
  <si>
    <t>derived from TOU</t>
  </si>
  <si>
    <t>Guessed</t>
  </si>
  <si>
    <t>Appliance category</t>
  </si>
  <si>
    <t>Appliance type</t>
  </si>
  <si>
    <t>Proportion</t>
  </si>
  <si>
    <t>Appliance demand configuration for UK</t>
  </si>
  <si>
    <t>of dwellings</t>
  </si>
  <si>
    <t>Time appliance</t>
  </si>
  <si>
    <t>Time when</t>
  </si>
  <si>
    <t xml:space="preserve">Time when </t>
  </si>
  <si>
    <t xml:space="preserve">Probability of </t>
  </si>
  <si>
    <t>Overall average demand</t>
  </si>
  <si>
    <t>Appliance</t>
  </si>
  <si>
    <t>with</t>
  </si>
  <si>
    <t>Associated</t>
  </si>
  <si>
    <t>Average</t>
  </si>
  <si>
    <t>Total number</t>
  </si>
  <si>
    <t>Average number</t>
  </si>
  <si>
    <t>Active occupancy</t>
  </si>
  <si>
    <t>Active</t>
  </si>
  <si>
    <t>Number of minutes</t>
  </si>
  <si>
    <t>Probability of</t>
  </si>
  <si>
    <t>Delay start</t>
  </si>
  <si>
    <t>Target number</t>
  </si>
  <si>
    <t>spent running</t>
  </si>
  <si>
    <t>spent in delayed</t>
  </si>
  <si>
    <t>appliance is</t>
  </si>
  <si>
    <t>appliance could</t>
  </si>
  <si>
    <t>between switch</t>
  </si>
  <si>
    <t>switch on event</t>
  </si>
  <si>
    <t>per dwelling taking</t>
  </si>
  <si>
    <t>mean</t>
  </si>
  <si>
    <t>Heat gains ratio</t>
  </si>
  <si>
    <t>Can be used only after other app</t>
  </si>
  <si>
    <t>Can be started only after activity ends</t>
  </si>
  <si>
    <t>appliance</t>
  </si>
  <si>
    <t>activity use</t>
  </si>
  <si>
    <t>activity in</t>
  </si>
  <si>
    <t>activity</t>
  </si>
  <si>
    <t>of minutes</t>
  </si>
  <si>
    <t>of minutes activity</t>
  </si>
  <si>
    <t>activity occurring</t>
  </si>
  <si>
    <t>dependent?</t>
  </si>
  <si>
    <t>occupancy-dependent</t>
  </si>
  <si>
    <t>in which appliance</t>
  </si>
  <si>
    <t xml:space="preserve">activity occurring </t>
  </si>
  <si>
    <t>Mean cycle</t>
  </si>
  <si>
    <t xml:space="preserve">Mean cycle </t>
  </si>
  <si>
    <t>after cycle</t>
  </si>
  <si>
    <t>Standby</t>
  </si>
  <si>
    <t>Standby losses</t>
  </si>
  <si>
    <t>Target demand</t>
  </si>
  <si>
    <t>of cycles</t>
  </si>
  <si>
    <t>in period</t>
  </si>
  <si>
    <t>restart mode</t>
  </si>
  <si>
    <t xml:space="preserve">available to </t>
  </si>
  <si>
    <t>be switched on</t>
  </si>
  <si>
    <t>on events</t>
  </si>
  <si>
    <t>ownership into</t>
  </si>
  <si>
    <t>power</t>
  </si>
  <si>
    <t>(for casual</t>
  </si>
  <si>
    <t>Appliance Names</t>
  </si>
  <si>
    <t>Short name</t>
  </si>
  <si>
    <t>profile</t>
  </si>
  <si>
    <t>GTOU</t>
  </si>
  <si>
    <t>probability</t>
  </si>
  <si>
    <t>performed in period</t>
  </si>
  <si>
    <t>can operate</t>
  </si>
  <si>
    <t>given active</t>
  </si>
  <si>
    <t>demand</t>
  </si>
  <si>
    <t>length</t>
  </si>
  <si>
    <t>has finished</t>
  </si>
  <si>
    <t>Power</t>
  </si>
  <si>
    <t>for period</t>
  </si>
  <si>
    <t>for cycles only</t>
  </si>
  <si>
    <t>switch on</t>
  </si>
  <si>
    <t>due to activity occurring</t>
  </si>
  <si>
    <t>account</t>
  </si>
  <si>
    <t>factor</t>
  </si>
  <si>
    <t>thermal gains)</t>
  </si>
  <si>
    <t>(minutes/year)</t>
  </si>
  <si>
    <t>multiplier</t>
  </si>
  <si>
    <t>(min)</t>
  </si>
  <si>
    <t>occupancy</t>
  </si>
  <si>
    <t>(W)</t>
  </si>
  <si>
    <t>(kWh)</t>
  </si>
  <si>
    <t>(kWh/y)</t>
  </si>
  <si>
    <t>(cycles/y)</t>
  </si>
  <si>
    <t>Water fixture configuration</t>
  </si>
  <si>
    <t>Time fixture</t>
  </si>
  <si>
    <t>fixture is</t>
  </si>
  <si>
    <t>fixture could</t>
  </si>
  <si>
    <t>in which fixture</t>
  </si>
  <si>
    <t>Standing loss</t>
  </si>
  <si>
    <t>Water fixture type</t>
  </si>
  <si>
    <t>flow rate</t>
  </si>
  <si>
    <t>flow volume</t>
  </si>
  <si>
    <t>duration</t>
  </si>
  <si>
    <t>volume for period</t>
  </si>
  <si>
    <t>(minutes/day)</t>
  </si>
  <si>
    <t>(litres/min)</t>
  </si>
  <si>
    <t>(litre)</t>
  </si>
  <si>
    <t>(litres/day)</t>
  </si>
  <si>
    <t>(cycles/day)</t>
  </si>
  <si>
    <t>name</t>
  </si>
  <si>
    <t>type</t>
  </si>
  <si>
    <t>equipped_prob</t>
  </si>
  <si>
    <t>related_activity</t>
  </si>
  <si>
    <t>probabilistic</t>
  </si>
  <si>
    <t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</si>
  <si>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</si>
  <si>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</si>
  <si>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</si>
  <si>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</si>
  <si>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</si>
  <si>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</si>
  <si>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>target_consumption_kWh_year</t>
  </si>
  <si>
    <t xml:space="preserve">poisson_sampling_lambda_liters </t>
  </si>
  <si>
    <t>target_cycle_year</t>
  </si>
  <si>
    <t>target_time_running_min_year</t>
  </si>
  <si>
    <t xml:space="preserve">switch_on_prob_crest </t>
  </si>
  <si>
    <t xml:space="preserve">mean_power_factor </t>
  </si>
  <si>
    <t xml:space="preserve">heat_gains_ratio </t>
  </si>
  <si>
    <t>previous_appliance_type</t>
  </si>
  <si>
    <t>previous_activity</t>
  </si>
  <si>
    <t>Cold</t>
  </si>
  <si>
    <t>Fridge</t>
  </si>
  <si>
    <t>FRIDGE1</t>
  </si>
  <si>
    <t xml:space="preserve">fridge </t>
  </si>
  <si>
    <t>level</t>
  </si>
  <si>
    <t>FRIDGE2</t>
  </si>
  <si>
    <t>Freezer</t>
  </si>
  <si>
    <t>FREEZER1</t>
  </si>
  <si>
    <t xml:space="preserve">freezer </t>
  </si>
  <si>
    <t>FREEZER2</t>
  </si>
  <si>
    <t>Consumer Electronics + ICT</t>
  </si>
  <si>
    <t>Telephone (fixed)</t>
  </si>
  <si>
    <t>PHONE</t>
  </si>
  <si>
    <t xml:space="preserve">fixed_phone </t>
  </si>
  <si>
    <t xml:space="preserve">active_occupancy </t>
  </si>
  <si>
    <t>Iron</t>
  </si>
  <si>
    <t>IRON</t>
  </si>
  <si>
    <t xml:space="preserve">iron </t>
  </si>
  <si>
    <t xml:space="preserve">ironing </t>
  </si>
  <si>
    <t>Vacuum</t>
  </si>
  <si>
    <t>VACUUM</t>
  </si>
  <si>
    <t xml:space="preserve">vacuum_cleaner </t>
  </si>
  <si>
    <t xml:space="preserve">cleaning </t>
  </si>
  <si>
    <t>Computer fixed</t>
  </si>
  <si>
    <t>PC1</t>
  </si>
  <si>
    <t xml:space="preserve">fixed_computer </t>
  </si>
  <si>
    <t xml:space="preserve">electronics </t>
  </si>
  <si>
    <t>PC2</t>
  </si>
  <si>
    <t>Laptop/Notebook</t>
  </si>
  <si>
    <t>LAPTOP1</t>
  </si>
  <si>
    <t xml:space="preserve">laptop_computer </t>
  </si>
  <si>
    <t>LAPTOP2</t>
  </si>
  <si>
    <t>Tablet</t>
  </si>
  <si>
    <t>TABLET</t>
  </si>
  <si>
    <t xml:space="preserve">tablet </t>
  </si>
  <si>
    <t>Printer</t>
  </si>
  <si>
    <t>PRINTER</t>
  </si>
  <si>
    <t xml:space="preserve">printer </t>
  </si>
  <si>
    <t>TV</t>
  </si>
  <si>
    <t>TV1</t>
  </si>
  <si>
    <t xml:space="preserve">tv </t>
  </si>
  <si>
    <t xml:space="preserve">watching_tv </t>
  </si>
  <si>
    <t>TV2</t>
  </si>
  <si>
    <t>DVD &amp; Blu-ray reader</t>
  </si>
  <si>
    <t>VCR_DVD</t>
  </si>
  <si>
    <t xml:space="preserve">blueray_console </t>
  </si>
  <si>
    <t>TV Receiver box</t>
  </si>
  <si>
    <t>RECEIVER</t>
  </si>
  <si>
    <t xml:space="preserve">tv_box </t>
  </si>
  <si>
    <t>Game console</t>
  </si>
  <si>
    <t>CONSOLE</t>
  </si>
  <si>
    <t xml:space="preserve">gaming_console </t>
  </si>
  <si>
    <t>Cooking</t>
  </si>
  <si>
    <t>Cooking plates electric</t>
  </si>
  <si>
    <t>HOB_ELEC</t>
  </si>
  <si>
    <t xml:space="preserve">electric_hob </t>
  </si>
  <si>
    <t xml:space="preserve">cooking </t>
  </si>
  <si>
    <t>Cooking plates gaz</t>
  </si>
  <si>
    <t>HOB_GAZ</t>
  </si>
  <si>
    <t xml:space="preserve">gaz_hob </t>
  </si>
  <si>
    <t>Oven</t>
  </si>
  <si>
    <t>OVEN</t>
  </si>
  <si>
    <t xml:space="preserve">oven </t>
  </si>
  <si>
    <t>Micro-wave</t>
  </si>
  <si>
    <t>MICROWAVE</t>
  </si>
  <si>
    <t xml:space="preserve">microwave </t>
  </si>
  <si>
    <t>Kettle</t>
  </si>
  <si>
    <t>KETTLE</t>
  </si>
  <si>
    <t xml:space="preserve">kettle </t>
  </si>
  <si>
    <t xml:space="preserve">toaster </t>
  </si>
  <si>
    <t>Wet</t>
  </si>
  <si>
    <t>Dish washer</t>
  </si>
  <si>
    <t>DISH_WASHER</t>
  </si>
  <si>
    <t xml:space="preserve">dishwasher </t>
  </si>
  <si>
    <t xml:space="preserve">dishwashing </t>
  </si>
  <si>
    <t>Dryer</t>
  </si>
  <si>
    <t>TUMBLE_DRYER</t>
  </si>
  <si>
    <t xml:space="preserve">dryer </t>
  </si>
  <si>
    <t xml:space="preserve">laundry </t>
  </si>
  <si>
    <t xml:space="preserve">washingmachine </t>
  </si>
  <si>
    <t>Washing machine</t>
  </si>
  <si>
    <t>WASHING_MACHINE</t>
  </si>
  <si>
    <t>Basin</t>
  </si>
  <si>
    <t>BASIN</t>
  </si>
  <si>
    <t xml:space="preserve">basin </t>
  </si>
  <si>
    <t xml:space="preserve">self_washing </t>
  </si>
  <si>
    <t>Sink</t>
  </si>
  <si>
    <t>SINK</t>
  </si>
  <si>
    <t xml:space="preserve">sink </t>
  </si>
  <si>
    <t>Shower</t>
  </si>
  <si>
    <t>SHOWER</t>
  </si>
  <si>
    <t xml:space="preserve">shower </t>
  </si>
  <si>
    <t>Bath</t>
  </si>
  <si>
    <t>BATH</t>
  </si>
  <si>
    <t xml:space="preserve">bath </t>
  </si>
  <si>
    <t>Active occupant and activity statistics (derived from the german TOU.)</t>
  </si>
  <si>
    <t>Activity</t>
  </si>
  <si>
    <t>Activity name</t>
  </si>
  <si>
    <t>Average activity probability (or average proportion of time where at least one active occupant is engaged in this activity)</t>
  </si>
  <si>
    <t>Watching television</t>
  </si>
  <si>
    <t>Performing cooking activities</t>
  </si>
  <si>
    <t>Doing laundry</t>
  </si>
  <si>
    <t>Washing or dressing</t>
  </si>
  <si>
    <t>Ironing</t>
  </si>
  <si>
    <t>Cleaning the house</t>
  </si>
  <si>
    <t>Using electronics</t>
  </si>
  <si>
    <t>Cleaning after dinner</t>
  </si>
  <si>
    <t>Lighting Model Configuration</t>
  </si>
  <si>
    <t>1. General configuration</t>
  </si>
  <si>
    <t>Mean</t>
  </si>
  <si>
    <t>S.D.</t>
  </si>
  <si>
    <t>House external global irradiance threshold</t>
  </si>
  <si>
    <t>W/m2</t>
  </si>
  <si>
    <t>Random variable, X</t>
  </si>
  <si>
    <t>Relative bulb use</t>
  </si>
  <si>
    <t>2. Relative bulb use weighting</t>
  </si>
  <si>
    <t>This represents the concept that some bulbs are used more frequently than others in a house.</t>
  </si>
  <si>
    <t>weighting</t>
  </si>
  <si>
    <t>Curve is of the form: h(t) = - Ln(X)</t>
  </si>
  <si>
    <t>3. Calibration scalar</t>
  </si>
  <si>
    <t>This calibration scaler is used to calibrate the model to so that it provides a particular average output over a large number of runs.</t>
  </si>
  <si>
    <t>Calibration scalar</t>
  </si>
  <si>
    <t>z</t>
  </si>
  <si>
    <t>4. Effective occupancy</t>
  </si>
  <si>
    <t>Effective occupancy represents the sharing of light use.</t>
  </si>
  <si>
    <t>Derived from:</t>
  </si>
  <si>
    <t xml:space="preserve">U.S. Department of Energy, Energy Information Administration, 1993 Residential Energy Consumption Survey, </t>
  </si>
  <si>
    <t>Mean Annual Electricity Consumption for Lighting, by Family Income by Number of Household Members</t>
  </si>
  <si>
    <t xml:space="preserve">Number of </t>
  </si>
  <si>
    <t>Effective</t>
  </si>
  <si>
    <t>active occupants</t>
  </si>
  <si>
    <t>5. Lighting event duration model</t>
  </si>
  <si>
    <t>This model defines how long a bulb will stay on for, if a switch-on event occurs.</t>
  </si>
  <si>
    <t>Source:</t>
  </si>
  <si>
    <t>M. Stokes, M. Rylatt, K. Lomas, A simple model of domestic lighting demand, Energy and Buildings 36 (2004) 103-116</t>
  </si>
  <si>
    <t>range of equal</t>
  </si>
  <si>
    <t>lower value</t>
  </si>
  <si>
    <t>upper value</t>
  </si>
  <si>
    <t>cumulative</t>
  </si>
  <si>
    <t>probability number</t>
  </si>
  <si>
    <t>(minutes)</t>
  </si>
  <si>
    <t>6. Installed bulbs</t>
  </si>
  <si>
    <t>Defines how the households are populated with lights, normal distribution</t>
  </si>
  <si>
    <t>Frondel 2019</t>
  </si>
  <si>
    <t>Mean number of bulbs</t>
  </si>
  <si>
    <t>Std for number of bulbs</t>
  </si>
  <si>
    <t>6. Bulb types</t>
  </si>
  <si>
    <t>Defines how the households are populated with lights</t>
  </si>
  <si>
    <t>Penetration</t>
  </si>
  <si>
    <t>Consumption[W]</t>
  </si>
  <si>
    <t>LED</t>
  </si>
  <si>
    <t>CFL</t>
  </si>
  <si>
    <t>Incandescent</t>
  </si>
  <si>
    <t>Heating or Cooling system model parameters</t>
  </si>
  <si>
    <t xml:space="preserve"> guessed</t>
  </si>
  <si>
    <t>Primary heating system index</t>
  </si>
  <si>
    <t>Proportion of dwellings with this heating system</t>
  </si>
  <si>
    <t>Type of heating unit</t>
  </si>
  <si>
    <t>Type of system</t>
  </si>
  <si>
    <t>Type of fuel</t>
  </si>
  <si>
    <t>Fuel flow rate (nominal)</t>
  </si>
  <si>
    <t>Calorific value of fuel</t>
  </si>
  <si>
    <t>Calorific value of fuel flow rate</t>
  </si>
  <si>
    <t>Thermal efficiency</t>
  </si>
  <si>
    <t>Heat output of unit</t>
  </si>
  <si>
    <t>Standby power</t>
  </si>
  <si>
    <t>Pump power</t>
  </si>
  <si>
    <t>DHW cylinder volume</t>
  </si>
  <si>
    <t>DHW Tank Heat Loss</t>
  </si>
  <si>
    <t>DHW Thermal efficiency</t>
  </si>
  <si>
    <t>DHW Heat output of unit</t>
  </si>
  <si>
    <t>True = is combi</t>
  </si>
  <si>
    <t>W</t>
  </si>
  <si>
    <t>%</t>
  </si>
  <si>
    <t>ltr</t>
  </si>
  <si>
    <t>is_combi</t>
  </si>
  <si>
    <t xml:space="preserve">fuel_type </t>
  </si>
  <si>
    <t xml:space="preserve">fuel_flow_rate </t>
  </si>
  <si>
    <t xml:space="preserve">flow_rate_to_W </t>
  </si>
  <si>
    <t>heat_output_sh</t>
  </si>
  <si>
    <t xml:space="preserve">standby_power </t>
  </si>
  <si>
    <t xml:space="preserve">pump_power </t>
  </si>
  <si>
    <t xml:space="preserve">cyl_volume </t>
  </si>
  <si>
    <t>cyl_loss</t>
  </si>
  <si>
    <t xml:space="preserve">heat_output_dhw </t>
  </si>
  <si>
    <t>Boiler (regular)</t>
  </si>
  <si>
    <t>Mains gas</t>
  </si>
  <si>
    <t>Boiler (combi)</t>
  </si>
  <si>
    <t>Boiler (system)</t>
  </si>
  <si>
    <t>No Heating or Cooling</t>
  </si>
  <si>
    <t>Electricity</t>
  </si>
  <si>
    <t>Electric Water Heater</t>
  </si>
  <si>
    <t>Low-order building thermal model parameters</t>
  </si>
  <si>
    <t>Building index</t>
  </si>
  <si>
    <t>Proportion of dwellings of this building type</t>
  </si>
  <si>
    <t>Description</t>
  </si>
  <si>
    <t>Thermal transfer coefficient between outside air and external building thermal capacitance</t>
  </si>
  <si>
    <t>Thermal transfer coefficient between external building thermal capacitance and internal building thermal capacitance</t>
  </si>
  <si>
    <t>External building thermal capacitance</t>
  </si>
  <si>
    <t>Internal building thermal capacitance</t>
  </si>
  <si>
    <t>Global irradiance multiplier</t>
  </si>
  <si>
    <t>Ventilation rate, air changes per hour</t>
  </si>
  <si>
    <t>Floor area, living space</t>
  </si>
  <si>
    <t>Height, living space</t>
  </si>
  <si>
    <t>Thermal transfer coefficient representing ventilation heat loss between outside air and internal building thermal capacitance</t>
  </si>
  <si>
    <t>Heat output from emitters require to maintain interior temperature of 20 degrees with external temperature of -2 degrees, no other gains</t>
  </si>
  <si>
    <t>Nominal temperature of emitters</t>
  </si>
  <si>
    <t>Heat transfer coefficient of heat emitters</t>
  </si>
  <si>
    <t>Mass of water in heat emitters</t>
  </si>
  <si>
    <t>Thermal capacitance of heat emitters</t>
  </si>
  <si>
    <t>Nominal temperature of coolers</t>
  </si>
  <si>
    <t>Heat transfer coefficient of cool emitters to achieve interior temperature of 25 degrees with external 50, no other gains</t>
  </si>
  <si>
    <t>Thermal capacitance of cool emitters, sized to cool from 25 deg to nominal cooler temperature in five minutes</t>
  </si>
  <si>
    <t>N</t>
  </si>
  <si>
    <t>W/K</t>
  </si>
  <si>
    <t>J/K</t>
  </si>
  <si>
    <t>m</t>
  </si>
  <si>
    <t>°C</t>
  </si>
  <si>
    <t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</si>
  <si>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</si>
  <si>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</si>
  <si>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</si>
  <si>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</si>
  <si>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</si>
  <si>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</si>
  <si>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</si>
  <si>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</si>
  <si>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</si>
  <si>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</si>
  <si>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</si>
  <si>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>Detached</t>
  </si>
  <si>
    <t>Improved detached</t>
  </si>
  <si>
    <t>Semi-detached</t>
  </si>
  <si>
    <t>Improved semi-detached</t>
  </si>
  <si>
    <t>Terraced</t>
  </si>
  <si>
    <t>Improved terrace</t>
  </si>
  <si>
    <t>Cement block appartment</t>
  </si>
  <si>
    <t>Small brick-built house</t>
  </si>
  <si>
    <t>Electric cars models</t>
  </si>
  <si>
    <t>Index</t>
  </si>
  <si>
    <t>Car Type</t>
  </si>
  <si>
    <t>Proportion of car</t>
  </si>
  <si>
    <t>Battery capacity</t>
  </si>
  <si>
    <t>Consumption</t>
  </si>
  <si>
    <t>Max charging power AC</t>
  </si>
  <si>
    <t>Max charging power DC</t>
  </si>
  <si>
    <t>Model brand example</t>
  </si>
  <si>
    <t>kWh</t>
  </si>
  <si>
    <t>kWh/100km</t>
  </si>
  <si>
    <t>kW</t>
  </si>
  <si>
    <t>Sport-fast</t>
  </si>
  <si>
    <t>Porsche Taycan</t>
  </si>
  <si>
    <t>Standard</t>
  </si>
  <si>
    <t>VW ID.3</t>
  </si>
  <si>
    <t>Heavy</t>
  </si>
  <si>
    <t>Audi e-tron Quattro</t>
  </si>
  <si>
    <t>Small</t>
  </si>
  <si>
    <t>VW e-Up!</t>
  </si>
  <si>
    <t>Electric cars charging station models</t>
  </si>
  <si>
    <t>Station Type</t>
  </si>
  <si>
    <t>Proportion of dwellings with this station</t>
  </si>
  <si>
    <t>Max charging power</t>
  </si>
  <si>
    <t>https://www.ladestation-zuhause.de/</t>
  </si>
  <si>
    <t>Standard Electricity plug</t>
  </si>
  <si>
    <t>Typ-1</t>
  </si>
  <si>
    <t>Typ-2</t>
  </si>
  <si>
    <t>CREST</t>
  </si>
  <si>
    <t>Occupancy</t>
  </si>
  <si>
    <t>we/wd</t>
  </si>
  <si>
    <t>v</t>
  </si>
  <si>
    <t>n residents</t>
  </si>
  <si>
    <t>social</t>
  </si>
  <si>
    <t>-</t>
  </si>
  <si>
    <t>seasonal</t>
  </si>
  <si>
    <t>set</t>
  </si>
  <si>
    <t>social set</t>
  </si>
  <si>
    <t xml:space="preserve">- </t>
  </si>
  <si>
    <t>not implemented</t>
  </si>
  <si>
    <t>water</t>
  </si>
  <si>
    <t>crest</t>
  </si>
  <si>
    <t>calibration</t>
  </si>
  <si>
    <t>not detailed</t>
  </si>
  <si>
    <t>Light</t>
  </si>
  <si>
    <t>bulbs</t>
  </si>
  <si>
    <t>Heating</t>
  </si>
  <si>
    <t>gas</t>
  </si>
  <si>
    <t>heat pump</t>
  </si>
  <si>
    <t>variable T</t>
  </si>
  <si>
    <t>not data-based</t>
  </si>
  <si>
    <t xml:space="preserve">buildings </t>
  </si>
  <si>
    <t>Electric Cars</t>
  </si>
  <si>
    <t>model</t>
  </si>
  <si>
    <t>data</t>
  </si>
  <si>
    <t>Toaster</t>
  </si>
  <si>
    <t>TOASTER</t>
  </si>
  <si>
    <t>Wifi-box</t>
  </si>
  <si>
    <t>WIFI_BOX</t>
  </si>
  <si>
    <t>wifi_box</t>
  </si>
  <si>
    <t>From Frondel et al. 2019</t>
  </si>
  <si>
    <t xml:space="preserve">Probabilistic </t>
  </si>
  <si>
    <t xml:space="preserve">not always ON </t>
  </si>
  <si>
    <t xml:space="preserve">during the full </t>
  </si>
  <si>
    <t>duration of act</t>
  </si>
  <si>
    <t xml:space="preserve">appl. that it is  </t>
  </si>
  <si>
    <t xml:space="preserve">Should stop if </t>
  </si>
  <si>
    <t>occupants leave</t>
  </si>
  <si>
    <t>missing</t>
  </si>
  <si>
    <r>
      <t>m</t>
    </r>
    <r>
      <rPr>
        <i/>
        <vertAlign val="subscript"/>
        <sz val="8"/>
        <rFont val="Arial"/>
        <family val="2"/>
      </rPr>
      <t>fuel</t>
    </r>
  </si>
  <si>
    <r>
      <t>η</t>
    </r>
    <r>
      <rPr>
        <i/>
        <vertAlign val="subscript"/>
        <sz val="8"/>
        <rFont val="Arial"/>
        <family val="2"/>
      </rPr>
      <t>h</t>
    </r>
  </si>
  <si>
    <r>
      <t>φ</t>
    </r>
    <r>
      <rPr>
        <i/>
        <vertAlign val="subscript"/>
        <sz val="8"/>
        <rFont val="Arial"/>
        <family val="2"/>
      </rPr>
      <t>h</t>
    </r>
  </si>
  <si>
    <r>
      <t>P</t>
    </r>
    <r>
      <rPr>
        <i/>
        <vertAlign val="subscript"/>
        <sz val="8"/>
        <rFont val="Arial"/>
        <family val="2"/>
      </rPr>
      <t>standby</t>
    </r>
  </si>
  <si>
    <r>
      <t>P</t>
    </r>
    <r>
      <rPr>
        <i/>
        <vertAlign val="subscript"/>
        <sz val="8"/>
        <rFont val="Arial"/>
        <family val="2"/>
      </rPr>
      <t>pump</t>
    </r>
  </si>
  <si>
    <r>
      <t>V</t>
    </r>
    <r>
      <rPr>
        <i/>
        <vertAlign val="subscript"/>
        <sz val="8"/>
        <rFont val="Arial"/>
        <family val="2"/>
      </rPr>
      <t>cyl</t>
    </r>
  </si>
  <si>
    <r>
      <t>H</t>
    </r>
    <r>
      <rPr>
        <i/>
        <vertAlign val="subscript"/>
        <sz val="8"/>
        <rFont val="Arial"/>
        <family val="2"/>
      </rPr>
      <t>loss</t>
    </r>
  </si>
  <si>
    <r>
      <t>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 or kW</t>
    </r>
  </si>
  <si>
    <r>
      <t>MJ/m</t>
    </r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or MJ/kWh</t>
    </r>
  </si>
  <si>
    <r>
      <t>WK</t>
    </r>
    <r>
      <rPr>
        <vertAlign val="superscript"/>
        <sz val="8"/>
        <rFont val="Arial"/>
        <family val="2"/>
      </rPr>
      <t>-1</t>
    </r>
  </si>
  <si>
    <t>Heat pump (air-source)</t>
  </si>
  <si>
    <t>Heat pump (ground-source)</t>
  </si>
  <si>
    <t>Heat pump (generic)</t>
  </si>
  <si>
    <t>To de defined</t>
  </si>
  <si>
    <r>
      <t>H</t>
    </r>
    <r>
      <rPr>
        <i/>
        <vertAlign val="subscript"/>
        <sz val="8"/>
        <rFont val="Arial"/>
        <family val="2"/>
      </rPr>
      <t>ob</t>
    </r>
  </si>
  <si>
    <r>
      <t>H</t>
    </r>
    <r>
      <rPr>
        <i/>
        <vertAlign val="subscript"/>
        <sz val="8"/>
        <rFont val="Arial"/>
        <family val="2"/>
      </rPr>
      <t>bi</t>
    </r>
  </si>
  <si>
    <r>
      <t>C</t>
    </r>
    <r>
      <rPr>
        <i/>
        <vertAlign val="subscript"/>
        <sz val="8"/>
        <rFont val="Arial"/>
        <family val="2"/>
      </rPr>
      <t>b</t>
    </r>
  </si>
  <si>
    <r>
      <t>C</t>
    </r>
    <r>
      <rPr>
        <i/>
        <vertAlign val="subscript"/>
        <sz val="8"/>
        <rFont val="Arial"/>
        <family val="2"/>
      </rPr>
      <t>i</t>
    </r>
  </si>
  <si>
    <r>
      <t>A</t>
    </r>
    <r>
      <rPr>
        <i/>
        <vertAlign val="subscript"/>
        <sz val="8"/>
        <rFont val="Arial"/>
        <family val="2"/>
      </rPr>
      <t>s</t>
    </r>
  </si>
  <si>
    <r>
      <t>A</t>
    </r>
    <r>
      <rPr>
        <i/>
        <vertAlign val="subscript"/>
        <sz val="8"/>
        <rFont val="Arial"/>
        <family val="2"/>
      </rPr>
      <t>living</t>
    </r>
  </si>
  <si>
    <r>
      <t>L</t>
    </r>
    <r>
      <rPr>
        <i/>
        <vertAlign val="subscript"/>
        <sz val="8"/>
        <rFont val="Arial"/>
        <family val="2"/>
      </rPr>
      <t>living</t>
    </r>
  </si>
  <si>
    <r>
      <t>H</t>
    </r>
    <r>
      <rPr>
        <i/>
        <vertAlign val="subscript"/>
        <sz val="8"/>
        <rFont val="Arial"/>
        <family val="2"/>
      </rPr>
      <t>v</t>
    </r>
  </si>
  <si>
    <r>
      <t>φ</t>
    </r>
    <r>
      <rPr>
        <i/>
        <vertAlign val="subscript"/>
        <sz val="8"/>
        <rFont val="Arial"/>
        <family val="2"/>
      </rPr>
      <t>design</t>
    </r>
  </si>
  <si>
    <r>
      <t>θ</t>
    </r>
    <r>
      <rPr>
        <i/>
        <vertAlign val="subscript"/>
        <sz val="8"/>
        <rFont val="Arial"/>
        <family val="2"/>
      </rPr>
      <t>em</t>
    </r>
  </si>
  <si>
    <r>
      <t>H</t>
    </r>
    <r>
      <rPr>
        <i/>
        <vertAlign val="subscript"/>
        <sz val="8"/>
        <rFont val="Arial"/>
        <family val="2"/>
      </rPr>
      <t>em</t>
    </r>
  </si>
  <si>
    <r>
      <t>m</t>
    </r>
    <r>
      <rPr>
        <i/>
        <vertAlign val="subscript"/>
        <sz val="8"/>
        <rFont val="Arial"/>
        <family val="2"/>
      </rPr>
      <t>em</t>
    </r>
  </si>
  <si>
    <r>
      <t>C</t>
    </r>
    <r>
      <rPr>
        <i/>
        <vertAlign val="subscript"/>
        <sz val="8"/>
        <rFont val="Arial"/>
        <family val="2"/>
      </rPr>
      <t>em</t>
    </r>
  </si>
  <si>
    <r>
      <t>m</t>
    </r>
    <r>
      <rPr>
        <vertAlign val="superscript"/>
        <sz val="8"/>
        <rFont val="Arial"/>
        <family val="2"/>
      </rPr>
      <t>2</t>
    </r>
  </si>
  <si>
    <r>
      <t>h</t>
    </r>
    <r>
      <rPr>
        <vertAlign val="superscript"/>
        <sz val="8"/>
        <rFont val="Arial"/>
        <family val="2"/>
      </rPr>
      <t>-1</t>
    </r>
  </si>
  <si>
    <t>to be defined</t>
  </si>
  <si>
    <t>DE1</t>
  </si>
  <si>
    <t>DE2</t>
  </si>
  <si>
    <t>DE3</t>
  </si>
  <si>
    <t>DE4</t>
  </si>
  <si>
    <t>DE5</t>
  </si>
  <si>
    <t>(min/y)</t>
  </si>
  <si>
    <t xml:space="preserve">Average time </t>
  </si>
  <si>
    <t>fixed_computer_2</t>
  </si>
  <si>
    <t xml:space="preserve">laptop_computer_2 </t>
  </si>
  <si>
    <t>Calculation method</t>
  </si>
  <si>
    <t>prob_calc_method</t>
  </si>
  <si>
    <t>laundry</t>
  </si>
  <si>
    <t>activity_based</t>
  </si>
  <si>
    <t>occupancy_based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</si>
</sst>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"/>
    <numFmt numFmtId="167" formatCode="0.0"/>
    <numFmt numFmtId="168" formatCode="* #,##0.00\ ;\-* #,##0.00\ ;* \-#\ ;@\ "/>
    <numFmt numFmtId="169" formatCode="* #,##0.0\ ;\-* #,##0.0\ ;* \-#\ ;@\ "/>
  </numFmts>
  <fonts count="20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8"/>
      <color rgb="FF000000"/>
      <name val="Arial"/>
      <family val="2"/>
    </font>
    <font>
      <sz val="10"/>
      <name val="Mang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vertAlign val="superscript"/>
      <sz val="8"/>
      <name val="Arial"/>
      <family val="2"/>
    </font>
    <font>
      <sz val="8"/>
      <color rgb="FFFFFF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D9D9D9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FFFF00"/>
        <bgColor rgb="FF808080"/>
      </patternFill>
    </fill>
    <fill>
      <patternFill patternType="solid">
        <fgColor rgb="FFFFFF00"/>
        <bgColor rgb="FFE6E905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rgb="FFFF8000"/>
      </patternFill>
    </fill>
    <fill>
      <patternFill patternType="solid">
        <fgColor rgb="FFFFFF00"/>
        <bgColor rgb="FF993366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8" fontId="10" fillId="0" borderId="0" applyBorder="0" applyProtection="0"/>
    <xf numFmtId="9" fontId="10" fillId="0" borderId="0" applyBorder="0" applyProtection="0"/>
    <xf numFmtId="0" fontId="1" fillId="2" borderId="0" applyBorder="0" applyProtection="0"/>
    <xf numFmtId="0" fontId="2" fillId="3" borderId="0" applyBorder="0" applyProtection="0"/>
    <xf numFmtId="0" fontId="12" fillId="0" borderId="0"/>
    <xf numFmtId="0" fontId="3" fillId="0" borderId="0"/>
  </cellStyleXfs>
  <cellXfs count="216">
    <xf numFmtId="0" fontId="0" fillId="0" borderId="0" xfId="0"/>
    <xf numFmtId="0" fontId="4" fillId="0" borderId="0" xfId="5" applyFont="1"/>
    <xf numFmtId="0" fontId="5" fillId="0" borderId="0" xfId="5" applyFont="1"/>
    <xf numFmtId="0" fontId="5" fillId="4" borderId="0" xfId="5" applyFont="1" applyFill="1"/>
    <xf numFmtId="0" fontId="5" fillId="5" borderId="0" xfId="5" applyFont="1" applyFill="1"/>
    <xf numFmtId="0" fontId="5" fillId="8" borderId="0" xfId="5" applyFont="1" applyFill="1"/>
    <xf numFmtId="164" fontId="5" fillId="0" borderId="0" xfId="5" applyNumberFormat="1" applyFont="1"/>
    <xf numFmtId="0" fontId="5" fillId="10" borderId="0" xfId="5" applyFont="1" applyFill="1"/>
    <xf numFmtId="0" fontId="5" fillId="0" borderId="0" xfId="5" applyFont="1" applyBorder="1"/>
    <xf numFmtId="0" fontId="5" fillId="0" borderId="10" xfId="5" applyFont="1" applyBorder="1"/>
    <xf numFmtId="0" fontId="0" fillId="0" borderId="0" xfId="0" applyFont="1"/>
    <xf numFmtId="0" fontId="5" fillId="0" borderId="0" xfId="5" applyFont="1" applyAlignment="1">
      <alignment wrapText="1"/>
    </xf>
    <xf numFmtId="0" fontId="6" fillId="0" borderId="1" xfId="5" applyFont="1" applyBorder="1" applyAlignment="1">
      <alignment wrapText="1"/>
    </xf>
    <xf numFmtId="0" fontId="6" fillId="0" borderId="2" xfId="5" applyFont="1" applyBorder="1" applyAlignment="1">
      <alignment wrapText="1"/>
    </xf>
    <xf numFmtId="0" fontId="6" fillId="0" borderId="4" xfId="5" applyFont="1" applyBorder="1" applyAlignment="1">
      <alignment wrapText="1"/>
    </xf>
    <xf numFmtId="0" fontId="5" fillId="0" borderId="6" xfId="5" applyFont="1" applyBorder="1" applyAlignment="1">
      <alignment wrapText="1"/>
    </xf>
    <xf numFmtId="0" fontId="5" fillId="0" borderId="9" xfId="5" applyFont="1" applyBorder="1" applyAlignment="1">
      <alignment wrapText="1"/>
    </xf>
    <xf numFmtId="0" fontId="7" fillId="0" borderId="0" xfId="5" applyFont="1"/>
    <xf numFmtId="0" fontId="8" fillId="0" borderId="0" xfId="5" applyFont="1"/>
    <xf numFmtId="0" fontId="7" fillId="0" borderId="17" xfId="5" applyFont="1" applyBorder="1"/>
    <xf numFmtId="0" fontId="7" fillId="0" borderId="18" xfId="5" applyFont="1" applyBorder="1"/>
    <xf numFmtId="0" fontId="7" fillId="11" borderId="14" xfId="5" applyFont="1" applyFill="1" applyBorder="1"/>
    <xf numFmtId="0" fontId="7" fillId="0" borderId="14" xfId="5" applyFont="1" applyBorder="1"/>
    <xf numFmtId="0" fontId="8" fillId="0" borderId="5" xfId="5" applyFont="1" applyBorder="1"/>
    <xf numFmtId="0" fontId="8" fillId="0" borderId="16" xfId="5" applyFont="1" applyBorder="1"/>
    <xf numFmtId="0" fontId="7" fillId="0" borderId="16" xfId="5" applyFont="1" applyBorder="1"/>
    <xf numFmtId="165" fontId="7" fillId="11" borderId="14" xfId="5" applyNumberFormat="1" applyFont="1" applyFill="1" applyBorder="1"/>
    <xf numFmtId="0" fontId="7" fillId="0" borderId="0" xfId="5" applyFont="1" applyBorder="1"/>
    <xf numFmtId="0" fontId="4" fillId="0" borderId="0" xfId="0" applyFont="1"/>
    <xf numFmtId="0" fontId="0" fillId="12" borderId="0" xfId="0" applyFont="1" applyFill="1"/>
    <xf numFmtId="0" fontId="0" fillId="0" borderId="0" xfId="0" applyFont="1" applyBorder="1"/>
    <xf numFmtId="0" fontId="11" fillId="0" borderId="0" xfId="2" applyNumberFormat="1" applyFont="1" applyBorder="1" applyAlignment="1" applyProtection="1"/>
    <xf numFmtId="2" fontId="0" fillId="0" borderId="0" xfId="0" applyNumberFormat="1"/>
    <xf numFmtId="0" fontId="7" fillId="0" borderId="0" xfId="0" applyFont="1"/>
    <xf numFmtId="0" fontId="5" fillId="6" borderId="0" xfId="0" applyFont="1" applyFill="1"/>
    <xf numFmtId="0" fontId="5" fillId="0" borderId="0" xfId="0" applyFont="1"/>
    <xf numFmtId="0" fontId="5" fillId="7" borderId="0" xfId="0" applyFont="1" applyFill="1"/>
    <xf numFmtId="0" fontId="5" fillId="9" borderId="0" xfId="0" applyFont="1" applyFill="1"/>
    <xf numFmtId="0" fontId="13" fillId="0" borderId="1" xfId="5" applyFont="1" applyBorder="1"/>
    <xf numFmtId="0" fontId="13" fillId="0" borderId="2" xfId="5" applyFont="1" applyBorder="1"/>
    <xf numFmtId="0" fontId="13" fillId="0" borderId="3" xfId="5" applyFont="1" applyFill="1" applyBorder="1"/>
    <xf numFmtId="0" fontId="14" fillId="0" borderId="2" xfId="5" applyFont="1" applyBorder="1"/>
    <xf numFmtId="164" fontId="14" fillId="0" borderId="2" xfId="5" applyNumberFormat="1" applyFont="1" applyBorder="1"/>
    <xf numFmtId="0" fontId="14" fillId="0" borderId="1" xfId="5" applyFont="1" applyBorder="1"/>
    <xf numFmtId="0" fontId="14" fillId="0" borderId="3" xfId="5" applyFont="1" applyBorder="1"/>
    <xf numFmtId="0" fontId="14" fillId="0" borderId="0" xfId="5" applyFont="1" applyBorder="1"/>
    <xf numFmtId="0" fontId="14" fillId="0" borderId="0" xfId="5" applyFont="1"/>
    <xf numFmtId="0" fontId="14" fillId="0" borderId="0" xfId="0" applyFont="1"/>
    <xf numFmtId="0" fontId="14" fillId="0" borderId="6" xfId="5" applyFont="1" applyBorder="1"/>
    <xf numFmtId="0" fontId="13" fillId="0" borderId="0" xfId="5" applyFont="1" applyBorder="1"/>
    <xf numFmtId="0" fontId="13" fillId="0" borderId="7" xfId="5" applyFont="1" applyFill="1" applyBorder="1"/>
    <xf numFmtId="164" fontId="14" fillId="0" borderId="0" xfId="5" applyNumberFormat="1" applyFont="1" applyBorder="1"/>
    <xf numFmtId="0" fontId="14" fillId="0" borderId="7" xfId="5" applyFont="1" applyBorder="1"/>
    <xf numFmtId="0" fontId="14" fillId="0" borderId="0" xfId="5" applyFont="1" applyBorder="1" applyAlignment="1"/>
    <xf numFmtId="164" fontId="14" fillId="0" borderId="0" xfId="5" applyNumberFormat="1" applyFont="1" applyBorder="1" applyAlignment="1"/>
    <xf numFmtId="0" fontId="13" fillId="0" borderId="6" xfId="5" applyFont="1" applyBorder="1"/>
    <xf numFmtId="0" fontId="14" fillId="0" borderId="7" xfId="5" applyFont="1" applyFill="1" applyBorder="1"/>
    <xf numFmtId="0" fontId="13" fillId="0" borderId="3" xfId="5" applyFont="1" applyBorder="1"/>
    <xf numFmtId="165" fontId="9" fillId="0" borderId="2" xfId="6" applyNumberFormat="1" applyFont="1" applyBorder="1"/>
    <xf numFmtId="165" fontId="13" fillId="0" borderId="2" xfId="5" applyNumberFormat="1" applyFont="1" applyBorder="1" applyAlignment="1">
      <alignment horizontal="right"/>
    </xf>
    <xf numFmtId="1" fontId="9" fillId="0" borderId="2" xfId="6" applyNumberFormat="1" applyFont="1" applyBorder="1"/>
    <xf numFmtId="2" fontId="9" fillId="0" borderId="2" xfId="6" applyNumberFormat="1" applyFont="1" applyBorder="1" applyAlignment="1">
      <alignment horizontal="right"/>
    </xf>
    <xf numFmtId="164" fontId="13" fillId="0" borderId="2" xfId="5" applyNumberFormat="1" applyFont="1" applyBorder="1" applyAlignment="1">
      <alignment horizontal="right"/>
    </xf>
    <xf numFmtId="1" fontId="14" fillId="0" borderId="2" xfId="5" applyNumberFormat="1" applyFont="1" applyBorder="1"/>
    <xf numFmtId="0" fontId="13" fillId="0" borderId="7" xfId="5" applyFont="1" applyBorder="1"/>
    <xf numFmtId="165" fontId="9" fillId="0" borderId="0" xfId="6" applyNumberFormat="1" applyFont="1" applyBorder="1"/>
    <xf numFmtId="1" fontId="9" fillId="0" borderId="0" xfId="6" applyNumberFormat="1" applyFont="1" applyBorder="1"/>
    <xf numFmtId="2" fontId="9" fillId="0" borderId="0" xfId="6" applyNumberFormat="1" applyFont="1" applyBorder="1" applyAlignment="1">
      <alignment horizontal="right"/>
    </xf>
    <xf numFmtId="165" fontId="13" fillId="0" borderId="0" xfId="5" applyNumberFormat="1" applyFont="1" applyBorder="1"/>
    <xf numFmtId="165" fontId="14" fillId="0" borderId="0" xfId="5" applyNumberFormat="1" applyFont="1" applyBorder="1"/>
    <xf numFmtId="1" fontId="14" fillId="0" borderId="0" xfId="5" applyNumberFormat="1" applyFont="1" applyBorder="1"/>
    <xf numFmtId="166" fontId="14" fillId="0" borderId="0" xfId="5" applyNumberFormat="1" applyFont="1" applyBorder="1"/>
    <xf numFmtId="1" fontId="14" fillId="0" borderId="6" xfId="5" applyNumberFormat="1" applyFont="1" applyBorder="1"/>
    <xf numFmtId="1" fontId="14" fillId="0" borderId="7" xfId="5" applyNumberFormat="1" applyFont="1" applyBorder="1"/>
    <xf numFmtId="0" fontId="14" fillId="0" borderId="0" xfId="0" applyFont="1" applyBorder="1"/>
    <xf numFmtId="0" fontId="14" fillId="0" borderId="9" xfId="5" applyFont="1" applyBorder="1"/>
    <xf numFmtId="0" fontId="14" fillId="0" borderId="10" xfId="5" applyFont="1" applyBorder="1"/>
    <xf numFmtId="165" fontId="13" fillId="0" borderId="10" xfId="5" applyNumberFormat="1" applyFont="1" applyBorder="1"/>
    <xf numFmtId="165" fontId="13" fillId="0" borderId="11" xfId="5" applyNumberFormat="1" applyFont="1" applyBorder="1"/>
    <xf numFmtId="0" fontId="14" fillId="0" borderId="10" xfId="5" applyFont="1" applyBorder="1" applyAlignment="1"/>
    <xf numFmtId="165" fontId="9" fillId="0" borderId="10" xfId="6" applyNumberFormat="1" applyFont="1" applyBorder="1"/>
    <xf numFmtId="0" fontId="14" fillId="0" borderId="10" xfId="0" applyFont="1" applyBorder="1"/>
    <xf numFmtId="164" fontId="14" fillId="0" borderId="10" xfId="5" applyNumberFormat="1" applyFont="1" applyBorder="1" applyAlignment="1"/>
    <xf numFmtId="166" fontId="14" fillId="0" borderId="10" xfId="5" applyNumberFormat="1" applyFont="1" applyBorder="1"/>
    <xf numFmtId="1" fontId="14" fillId="0" borderId="11" xfId="5" applyNumberFormat="1" applyFont="1" applyBorder="1"/>
    <xf numFmtId="0" fontId="14" fillId="0" borderId="15" xfId="0" applyFont="1" applyBorder="1"/>
    <xf numFmtId="0" fontId="14" fillId="0" borderId="15" xfId="5" applyFont="1" applyBorder="1"/>
    <xf numFmtId="1" fontId="9" fillId="0" borderId="0" xfId="6" applyNumberFormat="1" applyFont="1" applyBorder="1" applyAlignment="1">
      <alignment horizontal="right"/>
    </xf>
    <xf numFmtId="167" fontId="14" fillId="0" borderId="0" xfId="5" applyNumberFormat="1" applyFont="1" applyBorder="1"/>
    <xf numFmtId="165" fontId="14" fillId="0" borderId="0" xfId="5" applyNumberFormat="1" applyFont="1" applyBorder="1" applyAlignment="1">
      <alignment horizontal="right"/>
    </xf>
    <xf numFmtId="165" fontId="14" fillId="0" borderId="7" xfId="5" applyNumberFormat="1" applyFont="1" applyBorder="1"/>
    <xf numFmtId="165" fontId="14" fillId="0" borderId="3" xfId="5" applyNumberFormat="1" applyFont="1" applyBorder="1"/>
    <xf numFmtId="0" fontId="13" fillId="0" borderId="9" xfId="5" applyFont="1" applyBorder="1"/>
    <xf numFmtId="0" fontId="13" fillId="0" borderId="10" xfId="5" applyFont="1" applyBorder="1"/>
    <xf numFmtId="165" fontId="14" fillId="0" borderId="11" xfId="5" applyNumberFormat="1" applyFont="1" applyBorder="1"/>
    <xf numFmtId="164" fontId="14" fillId="0" borderId="0" xfId="0" applyNumberFormat="1" applyFont="1"/>
    <xf numFmtId="0" fontId="14" fillId="13" borderId="7" xfId="5" applyFont="1" applyFill="1" applyBorder="1"/>
    <xf numFmtId="165" fontId="14" fillId="14" borderId="7" xfId="5" applyNumberFormat="1" applyFont="1" applyFill="1" applyBorder="1" applyAlignment="1">
      <alignment horizontal="right"/>
    </xf>
    <xf numFmtId="165" fontId="14" fillId="14" borderId="7" xfId="5" applyNumberFormat="1" applyFont="1" applyFill="1" applyBorder="1"/>
    <xf numFmtId="0" fontId="14" fillId="0" borderId="0" xfId="5" applyFont="1" applyFill="1" applyBorder="1"/>
    <xf numFmtId="0" fontId="5" fillId="0" borderId="0" xfId="5" applyFont="1" applyFill="1"/>
    <xf numFmtId="0" fontId="14" fillId="0" borderId="0" xfId="5" applyFont="1" applyBorder="1" applyAlignment="1">
      <alignment vertical="center" wrapText="1"/>
    </xf>
    <xf numFmtId="0" fontId="14" fillId="0" borderId="10" xfId="5" applyFont="1" applyBorder="1" applyAlignment="1">
      <alignment vertical="center" wrapText="1"/>
    </xf>
    <xf numFmtId="0" fontId="9" fillId="0" borderId="0" xfId="6" applyFont="1" applyBorder="1" applyAlignment="1">
      <alignment horizontal="center"/>
    </xf>
    <xf numFmtId="0" fontId="14" fillId="0" borderId="0" xfId="5" applyFont="1" applyAlignment="1">
      <alignment horizontal="center"/>
    </xf>
    <xf numFmtId="0" fontId="13" fillId="0" borderId="2" xfId="5" applyFont="1" applyFill="1" applyBorder="1"/>
    <xf numFmtId="0" fontId="13" fillId="0" borderId="0" xfId="5" applyFont="1" applyFill="1" applyBorder="1"/>
    <xf numFmtId="1" fontId="14" fillId="0" borderId="0" xfId="5" applyNumberFormat="1" applyFont="1" applyFill="1" applyBorder="1"/>
    <xf numFmtId="0" fontId="5" fillId="15" borderId="0" xfId="5" applyFont="1" applyFill="1"/>
    <xf numFmtId="0" fontId="14" fillId="0" borderId="2" xfId="5" applyFont="1" applyFill="1" applyBorder="1"/>
    <xf numFmtId="0" fontId="14" fillId="14" borderId="0" xfId="5" applyFont="1" applyFill="1" applyBorder="1"/>
    <xf numFmtId="0" fontId="14" fillId="16" borderId="0" xfId="5" applyFont="1" applyFill="1" applyBorder="1"/>
    <xf numFmtId="1" fontId="14" fillId="14" borderId="0" xfId="5" applyNumberFormat="1" applyFont="1" applyFill="1" applyBorder="1"/>
    <xf numFmtId="0" fontId="14" fillId="17" borderId="0" xfId="5" applyFont="1" applyFill="1" applyBorder="1"/>
    <xf numFmtId="0" fontId="14" fillId="18" borderId="0" xfId="5" applyFont="1" applyFill="1" applyBorder="1"/>
    <xf numFmtId="0" fontId="14" fillId="0" borderId="0" xfId="5" applyFont="1" applyFill="1"/>
    <xf numFmtId="165" fontId="14" fillId="0" borderId="0" xfId="5" applyNumberFormat="1" applyFont="1" applyFill="1" applyBorder="1"/>
    <xf numFmtId="165" fontId="14" fillId="0" borderId="0" xfId="5" applyNumberFormat="1" applyFont="1" applyFill="1" applyBorder="1" applyAlignment="1">
      <alignment horizontal="right"/>
    </xf>
    <xf numFmtId="165" fontId="14" fillId="19" borderId="0" xfId="5" applyNumberFormat="1" applyFont="1" applyFill="1" applyBorder="1"/>
    <xf numFmtId="0" fontId="14" fillId="19" borderId="2" xfId="5" applyFont="1" applyFill="1" applyBorder="1"/>
    <xf numFmtId="165" fontId="9" fillId="19" borderId="2" xfId="6" applyNumberFormat="1" applyFont="1" applyFill="1" applyBorder="1"/>
    <xf numFmtId="1" fontId="9" fillId="19" borderId="2" xfId="6" applyNumberFormat="1" applyFont="1" applyFill="1" applyBorder="1"/>
    <xf numFmtId="2" fontId="9" fillId="19" borderId="2" xfId="6" applyNumberFormat="1" applyFont="1" applyFill="1" applyBorder="1" applyAlignment="1">
      <alignment horizontal="right"/>
    </xf>
    <xf numFmtId="0" fontId="9" fillId="19" borderId="2" xfId="6" applyFont="1" applyFill="1" applyBorder="1" applyAlignment="1">
      <alignment horizontal="center"/>
    </xf>
    <xf numFmtId="1" fontId="9" fillId="19" borderId="2" xfId="6" applyNumberFormat="1" applyFont="1" applyFill="1" applyBorder="1" applyAlignment="1">
      <alignment horizontal="right"/>
    </xf>
    <xf numFmtId="2" fontId="14" fillId="19" borderId="2" xfId="5" applyNumberFormat="1" applyFont="1" applyFill="1" applyBorder="1"/>
    <xf numFmtId="1" fontId="14" fillId="19" borderId="2" xfId="5" applyNumberFormat="1" applyFont="1" applyFill="1" applyBorder="1"/>
    <xf numFmtId="167" fontId="14" fillId="19" borderId="2" xfId="5" applyNumberFormat="1" applyFont="1" applyFill="1" applyBorder="1"/>
    <xf numFmtId="164" fontId="14" fillId="19" borderId="2" xfId="5" applyNumberFormat="1" applyFont="1" applyFill="1" applyBorder="1"/>
    <xf numFmtId="166" fontId="14" fillId="19" borderId="2" xfId="5" applyNumberFormat="1" applyFont="1" applyFill="1" applyBorder="1"/>
    <xf numFmtId="0" fontId="14" fillId="19" borderId="1" xfId="5" applyFont="1" applyFill="1" applyBorder="1"/>
    <xf numFmtId="1" fontId="14" fillId="19" borderId="3" xfId="5" applyNumberFormat="1" applyFont="1" applyFill="1" applyBorder="1"/>
    <xf numFmtId="0" fontId="14" fillId="19" borderId="0" xfId="5" applyFont="1" applyFill="1" applyBorder="1"/>
    <xf numFmtId="165" fontId="9" fillId="19" borderId="0" xfId="6" applyNumberFormat="1" applyFont="1" applyFill="1" applyBorder="1"/>
    <xf numFmtId="1" fontId="9" fillId="19" borderId="0" xfId="6" applyNumberFormat="1" applyFont="1" applyFill="1" applyBorder="1"/>
    <xf numFmtId="2" fontId="9" fillId="19" borderId="0" xfId="6" applyNumberFormat="1" applyFont="1" applyFill="1" applyBorder="1" applyAlignment="1">
      <alignment horizontal="right"/>
    </xf>
    <xf numFmtId="0" fontId="9" fillId="19" borderId="0" xfId="6" applyFont="1" applyFill="1" applyBorder="1" applyAlignment="1">
      <alignment horizontal="center"/>
    </xf>
    <xf numFmtId="1" fontId="9" fillId="19" borderId="0" xfId="6" applyNumberFormat="1" applyFont="1" applyFill="1" applyBorder="1" applyAlignment="1">
      <alignment horizontal="right"/>
    </xf>
    <xf numFmtId="2" fontId="14" fillId="19" borderId="0" xfId="5" applyNumberFormat="1" applyFont="1" applyFill="1" applyBorder="1"/>
    <xf numFmtId="1" fontId="14" fillId="19" borderId="0" xfId="5" applyNumberFormat="1" applyFont="1" applyFill="1" applyBorder="1"/>
    <xf numFmtId="167" fontId="14" fillId="19" borderId="0" xfId="5" applyNumberFormat="1" applyFont="1" applyFill="1" applyBorder="1"/>
    <xf numFmtId="164" fontId="14" fillId="19" borderId="0" xfId="5" applyNumberFormat="1" applyFont="1" applyFill="1" applyBorder="1"/>
    <xf numFmtId="166" fontId="14" fillId="19" borderId="0" xfId="5" applyNumberFormat="1" applyFont="1" applyFill="1" applyBorder="1"/>
    <xf numFmtId="0" fontId="14" fillId="19" borderId="6" xfId="5" applyFont="1" applyFill="1" applyBorder="1"/>
    <xf numFmtId="1" fontId="14" fillId="19" borderId="7" xfId="5" applyNumberFormat="1" applyFont="1" applyFill="1" applyBorder="1"/>
    <xf numFmtId="0" fontId="14" fillId="19" borderId="10" xfId="5" applyFont="1" applyFill="1" applyBorder="1"/>
    <xf numFmtId="165" fontId="9" fillId="19" borderId="10" xfId="6" applyNumberFormat="1" applyFont="1" applyFill="1" applyBorder="1"/>
    <xf numFmtId="1" fontId="9" fillId="19" borderId="10" xfId="6" applyNumberFormat="1" applyFont="1" applyFill="1" applyBorder="1"/>
    <xf numFmtId="2" fontId="9" fillId="19" borderId="10" xfId="6" applyNumberFormat="1" applyFont="1" applyFill="1" applyBorder="1" applyAlignment="1">
      <alignment horizontal="right"/>
    </xf>
    <xf numFmtId="0" fontId="9" fillId="19" borderId="10" xfId="6" applyFont="1" applyFill="1" applyBorder="1" applyAlignment="1">
      <alignment horizontal="center"/>
    </xf>
    <xf numFmtId="1" fontId="9" fillId="19" borderId="10" xfId="6" applyNumberFormat="1" applyFont="1" applyFill="1" applyBorder="1" applyAlignment="1">
      <alignment horizontal="right"/>
    </xf>
    <xf numFmtId="2" fontId="14" fillId="19" borderId="10" xfId="5" applyNumberFormat="1" applyFont="1" applyFill="1" applyBorder="1"/>
    <xf numFmtId="1" fontId="14" fillId="19" borderId="10" xfId="5" applyNumberFormat="1" applyFont="1" applyFill="1" applyBorder="1"/>
    <xf numFmtId="167" fontId="14" fillId="19" borderId="10" xfId="5" applyNumberFormat="1" applyFont="1" applyFill="1" applyBorder="1"/>
    <xf numFmtId="164" fontId="14" fillId="19" borderId="10" xfId="5" applyNumberFormat="1" applyFont="1" applyFill="1" applyBorder="1"/>
    <xf numFmtId="166" fontId="14" fillId="19" borderId="10" xfId="5" applyNumberFormat="1" applyFont="1" applyFill="1" applyBorder="1"/>
    <xf numFmtId="0" fontId="14" fillId="19" borderId="9" xfId="5" applyFont="1" applyFill="1" applyBorder="1"/>
    <xf numFmtId="1" fontId="14" fillId="19" borderId="11" xfId="5" applyNumberFormat="1" applyFont="1" applyFill="1" applyBorder="1"/>
    <xf numFmtId="167" fontId="14" fillId="0" borderId="0" xfId="5" applyNumberFormat="1" applyFont="1" applyFill="1" applyBorder="1"/>
    <xf numFmtId="1" fontId="14" fillId="16" borderId="0" xfId="5" applyNumberFormat="1" applyFont="1" applyFill="1" applyBorder="1"/>
    <xf numFmtId="164" fontId="14" fillId="0" borderId="0" xfId="5" applyNumberFormat="1" applyFont="1" applyFill="1" applyBorder="1"/>
    <xf numFmtId="165" fontId="5" fillId="0" borderId="8" xfId="5" applyNumberFormat="1" applyFont="1" applyBorder="1"/>
    <xf numFmtId="165" fontId="5" fillId="0" borderId="12" xfId="5" applyNumberFormat="1" applyFont="1" applyBorder="1"/>
    <xf numFmtId="0" fontId="13" fillId="0" borderId="19" xfId="0" applyFont="1" applyBorder="1" applyAlignment="1">
      <alignment wrapText="1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12" borderId="0" xfId="2" applyNumberFormat="1" applyFont="1" applyFill="1" applyBorder="1" applyAlignment="1" applyProtection="1"/>
    <xf numFmtId="0" fontId="14" fillId="0" borderId="0" xfId="2" applyNumberFormat="1" applyFont="1" applyBorder="1" applyAlignment="1" applyProtection="1"/>
    <xf numFmtId="167" fontId="14" fillId="0" borderId="0" xfId="0" applyNumberFormat="1" applyFont="1" applyBorder="1" applyAlignment="1">
      <alignment horizontal="center"/>
    </xf>
    <xf numFmtId="0" fontId="19" fillId="2" borderId="22" xfId="3" applyFont="1" applyBorder="1" applyProtection="1"/>
    <xf numFmtId="0" fontId="19" fillId="2" borderId="21" xfId="3" applyFont="1" applyBorder="1" applyProtection="1"/>
    <xf numFmtId="0" fontId="19" fillId="2" borderId="23" xfId="3" applyFont="1" applyBorder="1" applyProtection="1"/>
    <xf numFmtId="0" fontId="13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2" xfId="0" applyFont="1" applyBorder="1"/>
    <xf numFmtId="0" fontId="13" fillId="0" borderId="4" xfId="0" applyFont="1" applyBorder="1" applyAlignment="1">
      <alignment wrapText="1"/>
    </xf>
    <xf numFmtId="0" fontId="14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6" xfId="0" applyFont="1" applyBorder="1"/>
    <xf numFmtId="0" fontId="14" fillId="0" borderId="8" xfId="0" applyFont="1" applyBorder="1"/>
    <xf numFmtId="2" fontId="14" fillId="0" borderId="0" xfId="0" applyNumberFormat="1" applyFont="1" applyBorder="1"/>
    <xf numFmtId="0" fontId="14" fillId="12" borderId="0" xfId="0" applyFont="1" applyFill="1" applyBorder="1"/>
    <xf numFmtId="0" fontId="14" fillId="0" borderId="9" xfId="0" applyFont="1" applyBorder="1"/>
    <xf numFmtId="0" fontId="14" fillId="12" borderId="10" xfId="0" applyFont="1" applyFill="1" applyBorder="1"/>
    <xf numFmtId="2" fontId="14" fillId="0" borderId="10" xfId="0" applyNumberFormat="1" applyFont="1" applyBorder="1"/>
    <xf numFmtId="167" fontId="14" fillId="0" borderId="10" xfId="0" applyNumberFormat="1" applyFont="1" applyBorder="1" applyAlignment="1">
      <alignment horizontal="center"/>
    </xf>
    <xf numFmtId="0" fontId="14" fillId="0" borderId="12" xfId="0" applyFont="1" applyBorder="1"/>
    <xf numFmtId="0" fontId="1" fillId="0" borderId="0" xfId="3" applyFill="1" applyBorder="1" applyProtection="1"/>
    <xf numFmtId="0" fontId="0" fillId="0" borderId="0" xfId="0" applyFill="1"/>
    <xf numFmtId="0" fontId="14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169" fontId="14" fillId="0" borderId="0" xfId="1" applyNumberFormat="1" applyFont="1" applyBorder="1" applyAlignment="1" applyProtection="1"/>
    <xf numFmtId="0" fontId="7" fillId="12" borderId="0" xfId="0" applyFont="1" applyFill="1"/>
    <xf numFmtId="167" fontId="14" fillId="0" borderId="0" xfId="0" applyNumberFormat="1" applyFont="1" applyBorder="1"/>
    <xf numFmtId="0" fontId="14" fillId="12" borderId="10" xfId="2" applyNumberFormat="1" applyFont="1" applyFill="1" applyBorder="1" applyAlignment="1" applyProtection="1"/>
    <xf numFmtId="167" fontId="14" fillId="0" borderId="10" xfId="0" applyNumberFormat="1" applyFont="1" applyBorder="1"/>
    <xf numFmtId="169" fontId="14" fillId="0" borderId="10" xfId="1" applyNumberFormat="1" applyFont="1" applyBorder="1" applyAlignment="1" applyProtection="1"/>
    <xf numFmtId="2" fontId="14" fillId="0" borderId="12" xfId="0" applyNumberFormat="1" applyFont="1" applyBorder="1"/>
    <xf numFmtId="0" fontId="5" fillId="12" borderId="0" xfId="0" applyFont="1" applyFill="1"/>
    <xf numFmtId="0" fontId="14" fillId="0" borderId="1" xfId="0" applyFont="1" applyBorder="1"/>
    <xf numFmtId="0" fontId="14" fillId="0" borderId="2" xfId="0" applyFont="1" applyBorder="1"/>
    <xf numFmtId="0" fontId="14" fillId="12" borderId="2" xfId="2" applyNumberFormat="1" applyFont="1" applyFill="1" applyBorder="1" applyAlignment="1" applyProtection="1"/>
    <xf numFmtId="0" fontId="14" fillId="0" borderId="4" xfId="0" applyFont="1" applyBorder="1"/>
    <xf numFmtId="0" fontId="15" fillId="3" borderId="22" xfId="4" applyFont="1" applyBorder="1" applyAlignment="1" applyProtection="1"/>
    <xf numFmtId="0" fontId="15" fillId="3" borderId="21" xfId="4" applyFont="1" applyBorder="1" applyAlignment="1" applyProtection="1"/>
    <xf numFmtId="0" fontId="15" fillId="3" borderId="20" xfId="4" applyFont="1" applyBorder="1" applyAlignment="1" applyProtection="1"/>
    <xf numFmtId="164" fontId="15" fillId="3" borderId="21" xfId="4" applyNumberFormat="1" applyFont="1" applyBorder="1" applyAlignment="1" applyProtection="1"/>
    <xf numFmtId="0" fontId="15" fillId="0" borderId="13" xfId="4" applyFont="1" applyFill="1" applyBorder="1" applyAlignment="1" applyProtection="1"/>
    <xf numFmtId="165" fontId="14" fillId="19" borderId="0" xfId="5" applyNumberFormat="1" applyFont="1" applyFill="1" applyBorder="1" applyAlignment="1">
      <alignment horizontal="right"/>
    </xf>
    <xf numFmtId="0" fontId="14" fillId="19" borderId="0" xfId="5" applyFont="1" applyFill="1"/>
    <xf numFmtId="0" fontId="14" fillId="0" borderId="6" xfId="5" applyFont="1" applyBorder="1" applyAlignment="1">
      <alignment horizontal="center" vertical="center" wrapText="1"/>
    </xf>
    <xf numFmtId="0" fontId="14" fillId="0" borderId="7" xfId="5" applyFont="1" applyBorder="1" applyAlignment="1">
      <alignment horizontal="center" vertical="center" wrapText="1"/>
    </xf>
  </cellXfs>
  <cellStyles count="7">
    <cellStyle name="Accent 2 6" xfId="3" xr:uid="{00000000-0005-0000-0000-000006000000}"/>
    <cellStyle name="Accent 3 1" xfId="4" xr:uid="{00000000-0005-0000-0000-000007000000}"/>
    <cellStyle name="Comma" xfId="1" builtinId="3"/>
    <cellStyle name="Normal" xfId="0" builtinId="0"/>
    <cellStyle name="Normal 2" xfId="5" xr:uid="{00000000-0005-0000-0000-000008000000}"/>
    <cellStyle name="Normal 4 2" xfId="6" xr:uid="{00000000-0005-0000-0000-000009000000}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7646800777088"/>
          <c:y val="0.11052338530066801"/>
          <c:w val="0.82177100958826799"/>
          <c:h val="0.54315144766147005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35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2.3025850929940499</c:v>
                </c:pt>
                <c:pt idx="3">
                  <c:v>1.89711998488588</c:v>
                </c:pt>
                <c:pt idx="4">
                  <c:v>1.6094379124341001</c:v>
                </c:pt>
                <c:pt idx="5">
                  <c:v>1.3862943611198899</c:v>
                </c:pt>
                <c:pt idx="6">
                  <c:v>1.2039728043259399</c:v>
                </c:pt>
                <c:pt idx="7">
                  <c:v>1.0498221244986801</c:v>
                </c:pt>
                <c:pt idx="8">
                  <c:v>0.916290731874155</c:v>
                </c:pt>
                <c:pt idx="9">
                  <c:v>0.79850769621777196</c:v>
                </c:pt>
                <c:pt idx="10">
                  <c:v>0.69314718055994495</c:v>
                </c:pt>
                <c:pt idx="11">
                  <c:v>0.59783700075561996</c:v>
                </c:pt>
                <c:pt idx="12">
                  <c:v>0.51082562376599105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0.28768207245178101</c:v>
                </c:pt>
                <c:pt idx="16">
                  <c:v>0.22314355131420999</c:v>
                </c:pt>
                <c:pt idx="17">
                  <c:v>0.16251892949777499</c:v>
                </c:pt>
                <c:pt idx="18">
                  <c:v>0.105360515657826</c:v>
                </c:pt>
                <c:pt idx="19">
                  <c:v>5.1293294387550599E-2</c:v>
                </c:pt>
                <c:pt idx="2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C6-4DA8-A923-EB4A1AC5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690"/>
        <c:axId val="95671507"/>
      </c:scatterChart>
      <c:valAx>
        <c:axId val="31104690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33728144387999"/>
              <c:y val="0.813752783964365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95671507"/>
        <c:crosses val="autoZero"/>
        <c:crossBetween val="midCat"/>
      </c:valAx>
      <c:valAx>
        <c:axId val="9567150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4.5497273923669902E-2"/>
              <c:y val="0.126113585746102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3110469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685311284047"/>
          <c:y val="9.0002267059623706E-2"/>
          <c:w val="0.88095817120622599"/>
          <c:h val="0.60802539106778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2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1.5281456953642401</c:v>
                </c:pt>
                <c:pt idx="3">
                  <c:v>1.6937086092715199</c:v>
                </c:pt>
                <c:pt idx="4">
                  <c:v>1.98344370860927</c:v>
                </c:pt>
                <c:pt idx="5">
                  <c:v>2.0943708609271501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A97-4256-9DA5-28210374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4683"/>
        <c:axId val="45346713"/>
      </c:barChart>
      <c:catAx>
        <c:axId val="12304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17023346303499"/>
              <c:y val="0.84833371117660406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45346713"/>
        <c:crosses val="autoZero"/>
        <c:auto val="1"/>
        <c:lblAlgn val="ctr"/>
        <c:lblOffset val="100"/>
        <c:noMultiLvlLbl val="0"/>
      </c:catAx>
      <c:valAx>
        <c:axId val="4534671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8.3900778210116694E-3"/>
              <c:y val="0.182498299705282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12304683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3978084802287"/>
          <c:y val="0.13595228301110701"/>
          <c:w val="0.853501667460696"/>
          <c:h val="0.61517893870835105"/>
        </c:manualLayout>
      </c:layout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475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0.11111111111111099</c:v>
                </c:pt>
                <c:pt idx="1">
                  <c:v>0.22222222222222199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0.55555555555555602</c:v>
                </c:pt>
                <c:pt idx="5">
                  <c:v>0.66666666666666696</c:v>
                </c:pt>
                <c:pt idx="6">
                  <c:v>0.77777777777777801</c:v>
                </c:pt>
                <c:pt idx="7">
                  <c:v>0.88888888888888895</c:v>
                </c:pt>
                <c:pt idx="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CF-48A2-B905-D4033F39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8510"/>
        <c:axId val="37165770"/>
      </c:scatterChart>
      <c:valAx>
        <c:axId val="55738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45116722248702"/>
              <c:y val="0.8624023035787740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37165770"/>
        <c:crosses val="autoZero"/>
        <c:crossBetween val="midCat"/>
      </c:valAx>
      <c:valAx>
        <c:axId val="37165770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GB" sz="8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2.1557884707003299E-2"/>
              <c:y val="0.20361990950226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lang="en-US" sz="825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fr-FR"/>
          </a:p>
        </c:txPr>
        <c:crossAx val="5573851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693000</xdr:colOff>
      <xdr:row>9</xdr:row>
      <xdr:rowOff>32040</xdr:rowOff>
    </xdr:from>
    <xdr:to>
      <xdr:col>7</xdr:col>
      <xdr:colOff>531000</xdr:colOff>
      <xdr:row>17</xdr:row>
      <xdr:rowOff>87620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638640</xdr:colOff>
      <xdr:row>44</xdr:row>
      <xdr:rowOff>146695</xdr:rowOff>
    </xdr:to>
    <xdr:graphicFrame macro="">
      <xdr:nvGraphicFramePr>
        <xdr:cNvPr id="3" name="Chart 2_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762480</xdr:colOff>
      <xdr:row>63</xdr:row>
      <xdr:rowOff>11740</xdr:rowOff>
    </xdr:to>
    <xdr:graphicFrame macro="">
      <xdr:nvGraphicFramePr>
        <xdr:cNvPr id="4" name="Chart 6_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ST_data/CREST_Demand_Model_v2.3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"/>
  <sheetViews>
    <sheetView tabSelected="1" topLeftCell="A13" zoomScale="120" zoomScaleNormal="120" workbookViewId="0">
      <pane xSplit="3" topLeftCell="P1" activePane="topRight" state="frozen"/>
      <selection pane="topRight" activeCell="V51" sqref="V51"/>
    </sheetView>
  </sheetViews>
  <sheetFormatPr defaultColWidth="11.59765625" defaultRowHeight="10.15" x14ac:dyDescent="0.3"/>
  <cols>
    <col min="1" max="1" width="24.265625" style="47" customWidth="1"/>
    <col min="2" max="2" width="18.3984375" style="47" customWidth="1"/>
    <col min="3" max="3" width="11.59765625" style="47"/>
    <col min="4" max="4" width="15.59765625" style="47" bestFit="1" customWidth="1"/>
    <col min="5" max="5" width="13.3984375" style="47" customWidth="1"/>
    <col min="6" max="6" width="16.1328125" style="47" customWidth="1"/>
    <col min="7" max="7" width="13.59765625" style="47" customWidth="1"/>
    <col min="8" max="8" width="15.33203125" style="47" bestFit="1" customWidth="1"/>
    <col min="9" max="10" width="11.59765625" style="47"/>
    <col min="11" max="11" width="13.73046875" style="47" customWidth="1"/>
    <col min="12" max="12" width="14.59765625" style="47" bestFit="1" customWidth="1"/>
    <col min="13" max="13" width="12.73046875" style="47" customWidth="1"/>
    <col min="14" max="14" width="15.59765625" style="47" customWidth="1"/>
    <col min="15" max="15" width="14.1328125" style="47" customWidth="1"/>
    <col min="16" max="16" width="16.1328125" style="47" customWidth="1"/>
    <col min="17" max="17" width="14.3984375" style="47" customWidth="1"/>
    <col min="18" max="18" width="13.3984375" style="47" customWidth="1"/>
    <col min="19" max="19" width="20" style="47" customWidth="1"/>
    <col min="20" max="20" width="21.265625" style="47" customWidth="1"/>
    <col min="21" max="21" width="11.59765625" style="47"/>
    <col min="22" max="22" width="13" style="47" customWidth="1"/>
    <col min="23" max="26" width="11.59765625" style="47"/>
    <col min="27" max="27" width="15.73046875" style="47" customWidth="1"/>
    <col min="28" max="28" width="14.3984375" style="47" customWidth="1"/>
    <col min="29" max="29" width="14.59765625" style="47" customWidth="1"/>
    <col min="30" max="30" width="12" style="47" customWidth="1"/>
    <col min="31" max="34" width="11.59765625" style="47"/>
    <col min="35" max="35" width="11.59765625" style="95"/>
    <col min="36" max="38" width="11.59765625" style="47"/>
    <col min="39" max="39" width="15.265625" style="47" customWidth="1"/>
    <col min="40" max="40" width="13.265625" style="47" customWidth="1"/>
    <col min="41" max="16384" width="11.59765625" style="47"/>
  </cols>
  <sheetData>
    <row r="1" spans="1:60" customFormat="1" ht="15" x14ac:dyDescent="0.4">
      <c r="A1" s="1" t="s">
        <v>0</v>
      </c>
      <c r="B1" s="2"/>
      <c r="C1" s="2"/>
      <c r="D1" s="2"/>
      <c r="E1" s="3"/>
      <c r="F1" s="2"/>
      <c r="G1" s="2"/>
      <c r="H1" s="2"/>
      <c r="I1" s="4"/>
      <c r="J1" s="100"/>
      <c r="K1" s="2"/>
      <c r="L1" s="36"/>
      <c r="M1" s="35"/>
      <c r="N1" s="47"/>
      <c r="O1" s="5"/>
      <c r="P1" s="2"/>
      <c r="Q1" s="47"/>
      <c r="R1" s="47"/>
      <c r="S1" s="2"/>
      <c r="T1" s="2"/>
      <c r="U1" s="47"/>
      <c r="V1" s="47"/>
      <c r="W1" s="35"/>
      <c r="X1" s="35"/>
      <c r="Y1" s="35"/>
      <c r="AB1" s="2"/>
      <c r="AG1" s="2"/>
      <c r="AH1" s="2"/>
      <c r="AI1" s="6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customFormat="1" ht="13.15" thickBot="1" x14ac:dyDescent="0.4">
      <c r="A2" s="2"/>
      <c r="B2" s="2"/>
      <c r="C2" s="2"/>
      <c r="D2" s="2"/>
      <c r="E2" s="108"/>
      <c r="F2" s="2" t="s">
        <v>433</v>
      </c>
      <c r="G2" s="2"/>
      <c r="H2" s="2"/>
      <c r="I2" s="34"/>
      <c r="J2" s="35" t="s">
        <v>2</v>
      </c>
      <c r="K2" s="2"/>
      <c r="L2" s="37"/>
      <c r="M2" s="35" t="s">
        <v>425</v>
      </c>
      <c r="N2" s="35"/>
      <c r="O2" s="7" t="s">
        <v>1</v>
      </c>
      <c r="P2" s="2" t="s">
        <v>3</v>
      </c>
      <c r="Q2" s="47"/>
      <c r="R2" s="47"/>
      <c r="S2" s="2"/>
      <c r="T2" s="2"/>
      <c r="U2" s="47"/>
      <c r="V2" s="47"/>
      <c r="W2" s="35"/>
      <c r="X2" s="35"/>
      <c r="Y2" s="35"/>
      <c r="AB2" s="2"/>
      <c r="AG2" s="2"/>
      <c r="AH2" s="2"/>
      <c r="AI2" s="6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3">
      <c r="A3" s="38" t="s">
        <v>4</v>
      </c>
      <c r="B3" s="39" t="s">
        <v>5</v>
      </c>
      <c r="C3" s="39"/>
      <c r="D3" s="39"/>
      <c r="E3" s="40" t="s">
        <v>6</v>
      </c>
      <c r="F3" s="39" t="s">
        <v>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105"/>
      <c r="T3" s="105"/>
      <c r="U3" s="39"/>
      <c r="V3" s="41"/>
      <c r="W3" s="41"/>
      <c r="X3" s="41"/>
      <c r="Y3" s="109"/>
      <c r="Z3" s="109"/>
      <c r="AA3" s="109"/>
      <c r="AB3" s="41"/>
      <c r="AC3" s="41"/>
      <c r="AD3" s="41"/>
      <c r="AE3" s="41"/>
      <c r="AF3" s="41"/>
      <c r="AG3" s="41"/>
      <c r="AH3" s="41"/>
      <c r="AI3" s="42"/>
      <c r="AJ3" s="41"/>
      <c r="AK3" s="41"/>
      <c r="AL3" s="41"/>
      <c r="AM3" s="43"/>
      <c r="AN3" s="44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6"/>
      <c r="AZ3" s="45"/>
      <c r="BA3" s="45"/>
      <c r="BB3" s="45"/>
      <c r="BC3" s="45"/>
      <c r="BD3" s="45"/>
      <c r="BE3" s="45"/>
      <c r="BF3" s="45"/>
      <c r="BG3" s="46"/>
      <c r="BH3" s="45"/>
    </row>
    <row r="4" spans="1:60" ht="12.75" customHeight="1" x14ac:dyDescent="0.3">
      <c r="A4" s="48"/>
      <c r="B4" s="45"/>
      <c r="C4" s="49"/>
      <c r="D4" s="49"/>
      <c r="E4" s="50" t="s">
        <v>8</v>
      </c>
      <c r="F4" s="49"/>
      <c r="G4" s="101" t="s">
        <v>426</v>
      </c>
      <c r="H4" s="101"/>
      <c r="I4" s="49"/>
      <c r="J4" s="49"/>
      <c r="K4" s="49"/>
      <c r="L4" s="49"/>
      <c r="M4" s="49"/>
      <c r="N4" s="49"/>
      <c r="O4" s="49"/>
      <c r="P4" s="49"/>
      <c r="Q4" s="49"/>
      <c r="R4" s="49"/>
      <c r="S4" s="106"/>
      <c r="T4" s="106"/>
      <c r="U4" s="49"/>
      <c r="V4" s="45"/>
      <c r="W4" s="45"/>
      <c r="X4" s="45"/>
      <c r="Y4" s="99"/>
      <c r="Z4" s="99"/>
      <c r="AA4" s="99"/>
      <c r="AB4" s="45"/>
      <c r="AC4" s="45"/>
      <c r="AD4" s="45" t="s">
        <v>9</v>
      </c>
      <c r="AE4" s="45" t="s">
        <v>9</v>
      </c>
      <c r="AF4" s="45" t="s">
        <v>10</v>
      </c>
      <c r="AG4" s="45" t="s">
        <v>11</v>
      </c>
      <c r="AH4" s="45" t="s">
        <v>470</v>
      </c>
      <c r="AI4" s="51" t="s">
        <v>12</v>
      </c>
      <c r="AJ4" s="45" t="s">
        <v>13</v>
      </c>
      <c r="AK4" s="45" t="s">
        <v>14</v>
      </c>
      <c r="AL4" s="45"/>
      <c r="AM4" s="48"/>
      <c r="AN4" s="52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6"/>
      <c r="AZ4" s="45"/>
      <c r="BA4" s="45"/>
      <c r="BB4" s="45"/>
      <c r="BC4" s="45"/>
      <c r="BD4" s="45"/>
      <c r="BE4" s="45"/>
      <c r="BF4" s="45"/>
      <c r="BG4" s="46"/>
      <c r="BH4" s="45"/>
    </row>
    <row r="5" spans="1:60" ht="12.75" customHeight="1" x14ac:dyDescent="0.3">
      <c r="A5" s="48"/>
      <c r="B5" s="45"/>
      <c r="C5" s="49"/>
      <c r="D5" s="49"/>
      <c r="E5" s="50" t="s">
        <v>15</v>
      </c>
      <c r="F5" s="53" t="s">
        <v>16</v>
      </c>
      <c r="G5" s="101" t="s">
        <v>430</v>
      </c>
      <c r="H5" s="101" t="s">
        <v>473</v>
      </c>
      <c r="I5" s="53" t="s">
        <v>16</v>
      </c>
      <c r="J5" s="53" t="s">
        <v>17</v>
      </c>
      <c r="K5" s="53" t="s">
        <v>18</v>
      </c>
      <c r="L5" s="53" t="s">
        <v>19</v>
      </c>
      <c r="M5" s="53" t="s">
        <v>12</v>
      </c>
      <c r="N5" s="101" t="s">
        <v>431</v>
      </c>
      <c r="O5" s="53" t="s">
        <v>20</v>
      </c>
      <c r="P5" s="53" t="s">
        <v>21</v>
      </c>
      <c r="Q5" s="53" t="s">
        <v>22</v>
      </c>
      <c r="R5" s="53" t="s">
        <v>23</v>
      </c>
      <c r="S5" s="106"/>
      <c r="T5" s="106"/>
      <c r="U5" s="49"/>
      <c r="V5" s="45"/>
      <c r="W5" s="45"/>
      <c r="X5" s="53" t="s">
        <v>24</v>
      </c>
      <c r="Y5" s="99"/>
      <c r="Z5" s="99"/>
      <c r="AA5" s="99"/>
      <c r="AB5" s="45"/>
      <c r="AC5" s="53" t="s">
        <v>25</v>
      </c>
      <c r="AD5" s="53" t="s">
        <v>26</v>
      </c>
      <c r="AE5" s="53" t="s">
        <v>27</v>
      </c>
      <c r="AF5" s="53" t="s">
        <v>28</v>
      </c>
      <c r="AG5" s="53" t="s">
        <v>29</v>
      </c>
      <c r="AH5" s="53" t="s">
        <v>30</v>
      </c>
      <c r="AI5" s="54" t="s">
        <v>31</v>
      </c>
      <c r="AJ5" s="45" t="s">
        <v>32</v>
      </c>
      <c r="AK5" s="45" t="s">
        <v>33</v>
      </c>
      <c r="AL5" s="45" t="s">
        <v>34</v>
      </c>
      <c r="AM5" s="214" t="s">
        <v>35</v>
      </c>
      <c r="AN5" s="215" t="s">
        <v>36</v>
      </c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6"/>
      <c r="AZ5" s="45"/>
      <c r="BA5" s="45"/>
      <c r="BB5" s="45"/>
      <c r="BC5" s="45"/>
      <c r="BD5" s="45"/>
      <c r="BE5" s="45"/>
      <c r="BF5" s="45"/>
      <c r="BG5" s="46"/>
      <c r="BH5" s="45"/>
    </row>
    <row r="6" spans="1:60" x14ac:dyDescent="0.3">
      <c r="A6" s="48"/>
      <c r="B6" s="45"/>
      <c r="C6" s="49"/>
      <c r="D6" s="49"/>
      <c r="E6" s="50" t="s">
        <v>37</v>
      </c>
      <c r="F6" s="53" t="s">
        <v>38</v>
      </c>
      <c r="G6" s="101" t="s">
        <v>427</v>
      </c>
      <c r="H6" s="101"/>
      <c r="I6" s="53" t="s">
        <v>39</v>
      </c>
      <c r="J6" s="53" t="s">
        <v>40</v>
      </c>
      <c r="K6" s="53" t="s">
        <v>41</v>
      </c>
      <c r="L6" s="53" t="s">
        <v>42</v>
      </c>
      <c r="M6" s="53" t="s">
        <v>43</v>
      </c>
      <c r="N6" s="101" t="s">
        <v>432</v>
      </c>
      <c r="O6" s="53" t="s">
        <v>44</v>
      </c>
      <c r="P6" s="53" t="s">
        <v>45</v>
      </c>
      <c r="Q6" s="53" t="s">
        <v>46</v>
      </c>
      <c r="R6" s="53" t="s">
        <v>47</v>
      </c>
      <c r="S6" s="99" t="s">
        <v>48</v>
      </c>
      <c r="T6" s="99"/>
      <c r="U6" s="45"/>
      <c r="V6" s="45" t="s">
        <v>49</v>
      </c>
      <c r="W6" s="45" t="s">
        <v>48</v>
      </c>
      <c r="X6" s="53" t="s">
        <v>50</v>
      </c>
      <c r="Y6" s="99" t="s">
        <v>51</v>
      </c>
      <c r="Z6" s="99" t="s">
        <v>52</v>
      </c>
      <c r="AA6" s="99" t="s">
        <v>53</v>
      </c>
      <c r="AB6" s="45" t="s">
        <v>53</v>
      </c>
      <c r="AC6" s="53" t="s">
        <v>54</v>
      </c>
      <c r="AD6" s="53" t="s">
        <v>55</v>
      </c>
      <c r="AE6" s="53" t="s">
        <v>56</v>
      </c>
      <c r="AF6" s="53" t="s">
        <v>57</v>
      </c>
      <c r="AG6" s="53" t="s">
        <v>58</v>
      </c>
      <c r="AH6" s="53" t="s">
        <v>59</v>
      </c>
      <c r="AI6" s="54"/>
      <c r="AJ6" s="45" t="s">
        <v>60</v>
      </c>
      <c r="AK6" s="45" t="s">
        <v>61</v>
      </c>
      <c r="AL6" s="45" t="s">
        <v>62</v>
      </c>
      <c r="AM6" s="214"/>
      <c r="AN6" s="21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  <c r="AZ6" s="45"/>
      <c r="BA6" s="45"/>
      <c r="BB6" s="45"/>
      <c r="BC6" s="45"/>
      <c r="BD6" s="45"/>
      <c r="BE6" s="45"/>
      <c r="BF6" s="45"/>
      <c r="BG6" s="46"/>
      <c r="BH6" s="45"/>
    </row>
    <row r="7" spans="1:60" x14ac:dyDescent="0.3">
      <c r="A7" s="48"/>
      <c r="B7" s="49" t="s">
        <v>63</v>
      </c>
      <c r="C7" s="49" t="s">
        <v>64</v>
      </c>
      <c r="D7" s="49"/>
      <c r="E7" s="50"/>
      <c r="F7" s="53" t="s">
        <v>65</v>
      </c>
      <c r="G7" s="101" t="s">
        <v>428</v>
      </c>
      <c r="H7" s="101"/>
      <c r="I7" s="53" t="s">
        <v>66</v>
      </c>
      <c r="J7" s="53" t="s">
        <v>67</v>
      </c>
      <c r="K7" s="53" t="s">
        <v>55</v>
      </c>
      <c r="L7" s="53" t="s">
        <v>68</v>
      </c>
      <c r="M7" s="53"/>
      <c r="N7" s="101"/>
      <c r="O7" s="53"/>
      <c r="P7" s="53" t="s">
        <v>67</v>
      </c>
      <c r="Q7" s="53" t="s">
        <v>69</v>
      </c>
      <c r="R7" s="53" t="s">
        <v>70</v>
      </c>
      <c r="S7" s="99" t="s">
        <v>61</v>
      </c>
      <c r="T7" s="99"/>
      <c r="U7" s="45"/>
      <c r="V7" s="45" t="s">
        <v>71</v>
      </c>
      <c r="W7" s="45" t="s">
        <v>72</v>
      </c>
      <c r="X7" s="53" t="s">
        <v>73</v>
      </c>
      <c r="Y7" s="99" t="s">
        <v>74</v>
      </c>
      <c r="Z7" s="99" t="s">
        <v>75</v>
      </c>
      <c r="AA7" s="99" t="s">
        <v>75</v>
      </c>
      <c r="AB7" s="45" t="s">
        <v>76</v>
      </c>
      <c r="AC7" s="53" t="s">
        <v>55</v>
      </c>
      <c r="AD7" s="53"/>
      <c r="AE7" s="53"/>
      <c r="AF7" s="53" t="s">
        <v>77</v>
      </c>
      <c r="AG7" s="53" t="s">
        <v>78</v>
      </c>
      <c r="AH7" s="53"/>
      <c r="AI7" s="54"/>
      <c r="AJ7" s="45" t="s">
        <v>79</v>
      </c>
      <c r="AK7" s="45" t="s">
        <v>80</v>
      </c>
      <c r="AL7" s="45" t="s">
        <v>81</v>
      </c>
      <c r="AM7" s="214"/>
      <c r="AN7" s="21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6"/>
      <c r="AZ7" s="45"/>
      <c r="BA7" s="45"/>
      <c r="BB7" s="45"/>
      <c r="BC7" s="45"/>
      <c r="BD7" s="45"/>
      <c r="BE7" s="45"/>
      <c r="BF7" s="45"/>
      <c r="BG7" s="46"/>
      <c r="BH7" s="45"/>
    </row>
    <row r="8" spans="1:60" ht="10.5" thickBot="1" x14ac:dyDescent="0.35">
      <c r="A8" s="55"/>
      <c r="B8" s="49"/>
      <c r="C8" s="45"/>
      <c r="D8" s="45"/>
      <c r="E8" s="56"/>
      <c r="F8" s="45"/>
      <c r="G8" s="102" t="s">
        <v>429</v>
      </c>
      <c r="H8" s="101"/>
      <c r="I8" s="45"/>
      <c r="J8" s="45"/>
      <c r="K8" s="45" t="s">
        <v>82</v>
      </c>
      <c r="L8" s="45" t="s">
        <v>82</v>
      </c>
      <c r="M8" s="45"/>
      <c r="N8" s="101"/>
      <c r="O8" s="45"/>
      <c r="P8" s="45" t="s">
        <v>83</v>
      </c>
      <c r="Q8" s="45" t="s">
        <v>84</v>
      </c>
      <c r="R8" s="45" t="s">
        <v>85</v>
      </c>
      <c r="S8" s="99" t="s">
        <v>86</v>
      </c>
      <c r="T8" s="99"/>
      <c r="U8" s="45"/>
      <c r="V8" s="45" t="s">
        <v>87</v>
      </c>
      <c r="W8" s="45" t="s">
        <v>84</v>
      </c>
      <c r="X8" s="53" t="s">
        <v>84</v>
      </c>
      <c r="Y8" s="99" t="s">
        <v>86</v>
      </c>
      <c r="Z8" s="99" t="s">
        <v>88</v>
      </c>
      <c r="AA8" s="99" t="s">
        <v>88</v>
      </c>
      <c r="AB8" s="45" t="s">
        <v>88</v>
      </c>
      <c r="AC8" s="53" t="s">
        <v>89</v>
      </c>
      <c r="AD8" s="53" t="s">
        <v>469</v>
      </c>
      <c r="AE8" s="53" t="s">
        <v>84</v>
      </c>
      <c r="AF8" s="53" t="s">
        <v>84</v>
      </c>
      <c r="AG8" s="53" t="s">
        <v>84</v>
      </c>
      <c r="AH8" s="53" t="s">
        <v>84</v>
      </c>
      <c r="AI8" s="54"/>
      <c r="AJ8" s="45" t="s">
        <v>88</v>
      </c>
      <c r="AK8" s="45"/>
      <c r="AL8" s="45"/>
      <c r="AM8" s="214"/>
      <c r="AN8" s="21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6"/>
      <c r="AZ8" s="45"/>
      <c r="BA8" s="45"/>
      <c r="BB8" s="45"/>
      <c r="BC8" s="45"/>
      <c r="BD8" s="45"/>
      <c r="BE8" s="45"/>
      <c r="BF8" s="45"/>
      <c r="BG8" s="46"/>
      <c r="BH8" s="45"/>
    </row>
    <row r="9" spans="1:60" x14ac:dyDescent="0.3">
      <c r="A9" s="38"/>
      <c r="B9" s="39"/>
      <c r="C9" s="39"/>
      <c r="D9" s="39"/>
      <c r="E9" s="57"/>
      <c r="F9" s="39" t="s">
        <v>90</v>
      </c>
      <c r="G9" s="39"/>
      <c r="H9" s="39"/>
      <c r="I9" s="39"/>
      <c r="J9" s="58"/>
      <c r="K9" s="59"/>
      <c r="L9" s="60"/>
      <c r="M9" s="60"/>
      <c r="N9" s="60"/>
      <c r="O9" s="60"/>
      <c r="P9" s="61"/>
      <c r="Q9" s="60"/>
      <c r="R9" s="60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2"/>
      <c r="AJ9" s="63"/>
      <c r="AK9" s="41"/>
      <c r="AL9" s="41"/>
      <c r="AM9" s="43"/>
      <c r="AN9" s="44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6"/>
      <c r="AZ9" s="46"/>
      <c r="BA9" s="46"/>
      <c r="BB9" s="46"/>
      <c r="BC9" s="46"/>
      <c r="BD9" s="46"/>
      <c r="BE9" s="46"/>
      <c r="BF9" s="46"/>
      <c r="BG9" s="46"/>
      <c r="BH9" s="46"/>
    </row>
    <row r="10" spans="1:60" x14ac:dyDescent="0.3">
      <c r="A10" s="48"/>
      <c r="B10" s="49"/>
      <c r="C10" s="49"/>
      <c r="D10" s="49"/>
      <c r="E10" s="64" t="s">
        <v>6</v>
      </c>
      <c r="F10" s="49"/>
      <c r="G10" s="49"/>
      <c r="H10" s="49"/>
      <c r="I10" s="49"/>
      <c r="J10" s="65"/>
      <c r="K10" s="49"/>
      <c r="L10" s="66"/>
      <c r="M10" s="66"/>
      <c r="N10" s="66"/>
      <c r="O10" s="66"/>
      <c r="P10" s="67"/>
      <c r="Q10" s="66"/>
      <c r="R10" s="66"/>
      <c r="S10" s="68"/>
      <c r="T10" s="68"/>
      <c r="U10" s="68"/>
      <c r="V10" s="68"/>
      <c r="W10" s="68"/>
      <c r="X10" s="68"/>
      <c r="Y10" s="68"/>
      <c r="Z10" s="69"/>
      <c r="AA10" s="69"/>
      <c r="AB10" s="69"/>
      <c r="AC10" s="69"/>
      <c r="AD10" s="45" t="s">
        <v>91</v>
      </c>
      <c r="AE10" s="45" t="s">
        <v>91</v>
      </c>
      <c r="AF10" s="45" t="s">
        <v>10</v>
      </c>
      <c r="AG10" s="45" t="s">
        <v>11</v>
      </c>
      <c r="AH10" s="45" t="s">
        <v>470</v>
      </c>
      <c r="AI10" s="51" t="s">
        <v>12</v>
      </c>
      <c r="AJ10" s="45" t="s">
        <v>13</v>
      </c>
      <c r="AK10" s="70"/>
      <c r="AL10" s="45"/>
      <c r="AM10" s="48"/>
      <c r="AN10" s="52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6"/>
      <c r="AZ10" s="46"/>
      <c r="BA10" s="46"/>
      <c r="BB10" s="46"/>
      <c r="BC10" s="46"/>
      <c r="BD10" s="46"/>
      <c r="BE10" s="46"/>
      <c r="BF10" s="46"/>
      <c r="BG10" s="46"/>
      <c r="BH10" s="46"/>
    </row>
    <row r="11" spans="1:60" x14ac:dyDescent="0.3">
      <c r="A11" s="48"/>
      <c r="B11" s="45"/>
      <c r="C11" s="49"/>
      <c r="D11" s="49"/>
      <c r="E11" s="64" t="s">
        <v>8</v>
      </c>
      <c r="F11" s="53" t="s">
        <v>16</v>
      </c>
      <c r="G11" s="53"/>
      <c r="H11" s="53"/>
      <c r="I11" s="53" t="s">
        <v>16</v>
      </c>
      <c r="J11" s="53" t="s">
        <v>17</v>
      </c>
      <c r="K11" s="53" t="s">
        <v>18</v>
      </c>
      <c r="L11" s="53" t="s">
        <v>19</v>
      </c>
      <c r="M11" s="53" t="s">
        <v>12</v>
      </c>
      <c r="N11" s="101" t="s">
        <v>431</v>
      </c>
      <c r="O11" s="53" t="s">
        <v>20</v>
      </c>
      <c r="P11" s="53" t="s">
        <v>21</v>
      </c>
      <c r="Q11" s="53" t="s">
        <v>22</v>
      </c>
      <c r="R11" s="53" t="s">
        <v>23</v>
      </c>
      <c r="S11" s="53"/>
      <c r="T11" s="53"/>
      <c r="U11" s="53"/>
      <c r="V11" s="45"/>
      <c r="W11" s="45"/>
      <c r="X11" s="53" t="s">
        <v>24</v>
      </c>
      <c r="Y11" s="53"/>
      <c r="Z11" s="45"/>
      <c r="AA11" s="69"/>
      <c r="AB11" s="45"/>
      <c r="AC11" s="53" t="s">
        <v>25</v>
      </c>
      <c r="AD11" s="53" t="s">
        <v>26</v>
      </c>
      <c r="AE11" s="53" t="s">
        <v>27</v>
      </c>
      <c r="AF11" s="53" t="s">
        <v>92</v>
      </c>
      <c r="AG11" s="53" t="s">
        <v>93</v>
      </c>
      <c r="AH11" s="53" t="s">
        <v>30</v>
      </c>
      <c r="AI11" s="54" t="s">
        <v>31</v>
      </c>
      <c r="AJ11" s="45" t="s">
        <v>32</v>
      </c>
      <c r="AK11" s="71"/>
      <c r="AL11" s="45"/>
      <c r="AM11" s="72"/>
      <c r="AN11" s="73"/>
      <c r="AO11" s="70"/>
      <c r="AP11" s="45"/>
      <c r="AQ11" s="45"/>
      <c r="AR11" s="45"/>
      <c r="AS11" s="45"/>
      <c r="AT11" s="45"/>
      <c r="AU11" s="45"/>
      <c r="AV11" s="45"/>
      <c r="AW11" s="45"/>
      <c r="AX11" s="45"/>
      <c r="AY11" s="46"/>
      <c r="AZ11" s="46"/>
      <c r="BA11" s="46"/>
      <c r="BB11" s="46"/>
      <c r="BC11" s="46"/>
      <c r="BD11" s="46"/>
      <c r="BE11" s="46"/>
      <c r="BF11" s="46"/>
      <c r="BG11" s="46"/>
      <c r="BH11" s="46"/>
    </row>
    <row r="12" spans="1:60" x14ac:dyDescent="0.3">
      <c r="A12" s="48"/>
      <c r="B12" s="45"/>
      <c r="C12" s="49"/>
      <c r="D12" s="49"/>
      <c r="E12" s="64" t="s">
        <v>15</v>
      </c>
      <c r="F12" s="53" t="s">
        <v>38</v>
      </c>
      <c r="G12" s="53"/>
      <c r="H12" s="53"/>
      <c r="I12" s="53" t="s">
        <v>39</v>
      </c>
      <c r="J12" s="53" t="s">
        <v>40</v>
      </c>
      <c r="K12" s="53" t="s">
        <v>41</v>
      </c>
      <c r="L12" s="53" t="s">
        <v>42</v>
      </c>
      <c r="M12" s="53" t="s">
        <v>43</v>
      </c>
      <c r="N12" s="101" t="s">
        <v>432</v>
      </c>
      <c r="O12" s="53" t="s">
        <v>44</v>
      </c>
      <c r="P12" s="53" t="s">
        <v>45</v>
      </c>
      <c r="Q12" s="53" t="s">
        <v>94</v>
      </c>
      <c r="R12" s="53" t="s">
        <v>47</v>
      </c>
      <c r="S12" s="74"/>
      <c r="T12" s="53" t="s">
        <v>48</v>
      </c>
      <c r="U12" s="53"/>
      <c r="V12" s="53" t="s">
        <v>48</v>
      </c>
      <c r="W12" s="53" t="s">
        <v>49</v>
      </c>
      <c r="X12" s="53" t="s">
        <v>50</v>
      </c>
      <c r="Y12" s="53" t="s">
        <v>95</v>
      </c>
      <c r="Z12" s="45" t="s">
        <v>95</v>
      </c>
      <c r="AA12" s="45" t="s">
        <v>53</v>
      </c>
      <c r="AB12" s="45" t="s">
        <v>53</v>
      </c>
      <c r="AC12" s="53" t="s">
        <v>54</v>
      </c>
      <c r="AD12" s="53" t="s">
        <v>55</v>
      </c>
      <c r="AE12" s="53" t="s">
        <v>56</v>
      </c>
      <c r="AF12" s="53" t="s">
        <v>57</v>
      </c>
      <c r="AG12" s="53" t="s">
        <v>58</v>
      </c>
      <c r="AH12" s="53" t="s">
        <v>59</v>
      </c>
      <c r="AI12" s="54"/>
      <c r="AJ12" s="45" t="s">
        <v>60</v>
      </c>
      <c r="AK12" s="45"/>
      <c r="AL12" s="71"/>
      <c r="AM12" s="48"/>
      <c r="AN12" s="73"/>
      <c r="AO12" s="70"/>
      <c r="AP12" s="70"/>
      <c r="AQ12" s="45"/>
      <c r="AR12" s="45"/>
      <c r="AS12" s="45"/>
      <c r="AT12" s="45"/>
      <c r="AU12" s="45"/>
      <c r="AV12" s="45"/>
      <c r="AW12" s="45"/>
      <c r="AX12" s="45"/>
      <c r="AY12" s="46"/>
      <c r="AZ12" s="46"/>
      <c r="BA12" s="46"/>
      <c r="BB12" s="46"/>
      <c r="BC12" s="46"/>
      <c r="BD12" s="46"/>
      <c r="BE12" s="46"/>
      <c r="BF12" s="46"/>
      <c r="BG12" s="46"/>
      <c r="BH12" s="46"/>
    </row>
    <row r="13" spans="1:60" x14ac:dyDescent="0.3">
      <c r="A13" s="48"/>
      <c r="B13" s="49" t="s">
        <v>96</v>
      </c>
      <c r="C13" s="49" t="s">
        <v>64</v>
      </c>
      <c r="D13" s="49"/>
      <c r="E13" s="64" t="s">
        <v>37</v>
      </c>
      <c r="F13" s="53" t="s">
        <v>65</v>
      </c>
      <c r="G13" s="53"/>
      <c r="H13" s="53"/>
      <c r="I13" s="53" t="s">
        <v>66</v>
      </c>
      <c r="J13" s="53" t="s">
        <v>67</v>
      </c>
      <c r="K13" s="53" t="s">
        <v>55</v>
      </c>
      <c r="L13" s="53" t="s">
        <v>68</v>
      </c>
      <c r="M13" s="53"/>
      <c r="N13" s="53"/>
      <c r="O13" s="53"/>
      <c r="P13" s="53" t="s">
        <v>67</v>
      </c>
      <c r="Q13" s="53" t="s">
        <v>69</v>
      </c>
      <c r="R13" s="53" t="s">
        <v>70</v>
      </c>
      <c r="S13" s="74"/>
      <c r="T13" s="53" t="s">
        <v>97</v>
      </c>
      <c r="U13" s="53"/>
      <c r="V13" s="53" t="s">
        <v>98</v>
      </c>
      <c r="W13" s="53" t="s">
        <v>99</v>
      </c>
      <c r="X13" s="53" t="s">
        <v>73</v>
      </c>
      <c r="Y13" s="53" t="s">
        <v>97</v>
      </c>
      <c r="Z13" s="45" t="s">
        <v>100</v>
      </c>
      <c r="AA13" s="45" t="s">
        <v>75</v>
      </c>
      <c r="AB13" s="45" t="s">
        <v>76</v>
      </c>
      <c r="AC13" s="53" t="s">
        <v>55</v>
      </c>
      <c r="AD13" s="53"/>
      <c r="AE13" s="53"/>
      <c r="AF13" s="53" t="s">
        <v>77</v>
      </c>
      <c r="AG13" s="53" t="s">
        <v>78</v>
      </c>
      <c r="AH13" s="53"/>
      <c r="AI13" s="54"/>
      <c r="AJ13" s="45" t="s">
        <v>79</v>
      </c>
      <c r="AK13" s="45"/>
      <c r="AL13" s="71"/>
      <c r="AM13" s="48"/>
      <c r="AN13" s="73"/>
      <c r="AO13" s="70"/>
      <c r="AP13" s="70"/>
      <c r="AQ13" s="45"/>
      <c r="AR13" s="45"/>
      <c r="AS13" s="45"/>
      <c r="AT13" s="45"/>
      <c r="AU13" s="45"/>
      <c r="AV13" s="45"/>
      <c r="AW13" s="45"/>
      <c r="AX13" s="45"/>
      <c r="AY13" s="46"/>
      <c r="AZ13" s="46"/>
      <c r="BA13" s="46"/>
      <c r="BB13" s="46"/>
      <c r="BC13" s="46"/>
      <c r="BD13" s="46"/>
      <c r="BE13" s="46"/>
      <c r="BF13" s="46"/>
      <c r="BG13" s="46"/>
      <c r="BH13" s="46"/>
    </row>
    <row r="14" spans="1:60" ht="10.5" thickBot="1" x14ac:dyDescent="0.35">
      <c r="A14" s="75"/>
      <c r="B14" s="76"/>
      <c r="C14" s="77"/>
      <c r="D14" s="77"/>
      <c r="E14" s="78"/>
      <c r="F14" s="79"/>
      <c r="G14" s="79"/>
      <c r="H14" s="79"/>
      <c r="I14" s="79"/>
      <c r="J14" s="80"/>
      <c r="K14" s="79" t="s">
        <v>101</v>
      </c>
      <c r="L14" s="79" t="s">
        <v>101</v>
      </c>
      <c r="M14" s="76"/>
      <c r="N14" s="76"/>
      <c r="O14" s="76"/>
      <c r="P14" s="76" t="s">
        <v>83</v>
      </c>
      <c r="Q14" s="76" t="s">
        <v>84</v>
      </c>
      <c r="R14" s="76" t="s">
        <v>85</v>
      </c>
      <c r="S14" s="81"/>
      <c r="T14" s="79" t="s">
        <v>102</v>
      </c>
      <c r="U14" s="79"/>
      <c r="V14" s="79" t="s">
        <v>103</v>
      </c>
      <c r="W14" s="79" t="s">
        <v>84</v>
      </c>
      <c r="X14" s="79" t="s">
        <v>84</v>
      </c>
      <c r="Y14" s="79" t="s">
        <v>102</v>
      </c>
      <c r="Z14" s="76" t="s">
        <v>104</v>
      </c>
      <c r="AA14" s="76" t="s">
        <v>104</v>
      </c>
      <c r="AB14" s="76" t="s">
        <v>104</v>
      </c>
      <c r="AC14" s="79" t="s">
        <v>105</v>
      </c>
      <c r="AD14" s="79" t="s">
        <v>469</v>
      </c>
      <c r="AE14" s="79" t="s">
        <v>84</v>
      </c>
      <c r="AF14" s="79" t="s">
        <v>84</v>
      </c>
      <c r="AG14" s="79" t="s">
        <v>84</v>
      </c>
      <c r="AH14" s="79" t="s">
        <v>84</v>
      </c>
      <c r="AI14" s="82"/>
      <c r="AJ14" s="76" t="s">
        <v>104</v>
      </c>
      <c r="AK14" s="76"/>
      <c r="AL14" s="83"/>
      <c r="AM14" s="75"/>
      <c r="AN14" s="84"/>
      <c r="AO14" s="70"/>
      <c r="AP14" s="70"/>
      <c r="AQ14" s="45"/>
      <c r="AR14" s="45"/>
      <c r="AS14" s="45"/>
      <c r="AT14" s="45"/>
      <c r="AU14" s="45"/>
      <c r="AV14" s="45"/>
      <c r="AW14" s="45"/>
      <c r="AX14" s="45"/>
      <c r="AY14" s="46"/>
      <c r="AZ14" s="46"/>
      <c r="BA14" s="46"/>
      <c r="BB14" s="46"/>
      <c r="BC14" s="46"/>
      <c r="BD14" s="46"/>
      <c r="BE14" s="46"/>
      <c r="BF14" s="46"/>
      <c r="BG14" s="46"/>
      <c r="BH14" s="46"/>
    </row>
    <row r="15" spans="1:60" s="211" customFormat="1" ht="10.5" thickBot="1" x14ac:dyDescent="0.35">
      <c r="A15" s="207"/>
      <c r="B15" s="208"/>
      <c r="C15" s="208" t="s">
        <v>106</v>
      </c>
      <c r="D15" s="208" t="s">
        <v>107</v>
      </c>
      <c r="E15" s="209" t="s">
        <v>108</v>
      </c>
      <c r="F15" s="208" t="s">
        <v>109</v>
      </c>
      <c r="G15" s="208" t="s">
        <v>110</v>
      </c>
      <c r="H15" s="208" t="s">
        <v>474</v>
      </c>
      <c r="I15" s="208"/>
      <c r="J15" s="208"/>
      <c r="K15" s="208"/>
      <c r="L15" s="208"/>
      <c r="M15" s="208"/>
      <c r="N15" s="208" t="s">
        <v>111</v>
      </c>
      <c r="O15" s="208"/>
      <c r="P15" s="208"/>
      <c r="Q15" s="208"/>
      <c r="R15" s="208"/>
      <c r="S15" s="208" t="s">
        <v>112</v>
      </c>
      <c r="T15" s="208" t="s">
        <v>113</v>
      </c>
      <c r="U15" s="208" t="s">
        <v>114</v>
      </c>
      <c r="V15" s="208"/>
      <c r="W15" s="208" t="s">
        <v>115</v>
      </c>
      <c r="X15" s="208" t="s">
        <v>116</v>
      </c>
      <c r="Y15" s="208" t="s">
        <v>117</v>
      </c>
      <c r="Z15" s="208"/>
      <c r="AA15" s="208" t="s">
        <v>118</v>
      </c>
      <c r="AB15" s="208" t="s">
        <v>119</v>
      </c>
      <c r="AC15" s="208" t="s">
        <v>120</v>
      </c>
      <c r="AD15" s="208" t="s">
        <v>121</v>
      </c>
      <c r="AE15" s="208"/>
      <c r="AF15" s="208"/>
      <c r="AG15" s="208"/>
      <c r="AH15" s="208"/>
      <c r="AI15" s="210" t="s">
        <v>122</v>
      </c>
      <c r="AJ15" s="208"/>
      <c r="AK15" s="208" t="s">
        <v>123</v>
      </c>
      <c r="AL15" s="208" t="s">
        <v>124</v>
      </c>
      <c r="AM15" s="207" t="s">
        <v>125</v>
      </c>
      <c r="AN15" s="209" t="s">
        <v>126</v>
      </c>
    </row>
    <row r="16" spans="1:60" s="85" customFormat="1" x14ac:dyDescent="0.3">
      <c r="A16" s="49" t="s">
        <v>127</v>
      </c>
      <c r="B16" s="74" t="s">
        <v>128</v>
      </c>
      <c r="C16" s="99" t="s">
        <v>129</v>
      </c>
      <c r="D16" s="45" t="s">
        <v>130</v>
      </c>
      <c r="E16" s="96">
        <v>0.997</v>
      </c>
      <c r="F16" s="45" t="s">
        <v>131</v>
      </c>
      <c r="G16" s="45" t="b">
        <f>FALSE()</f>
        <v>0</v>
      </c>
      <c r="H16" s="45"/>
      <c r="I16" s="99"/>
      <c r="J16" s="65">
        <f>IF(F16="level", 1, VLOOKUP(F16,ActivityStats!$C$4:$D$12,2,FALSE()))</f>
        <v>1</v>
      </c>
      <c r="K16" s="66">
        <f t="shared" ref="K16:K43" si="0">365*24*60</f>
        <v>525600</v>
      </c>
      <c r="L16" s="66">
        <f t="shared" ref="L16:L47" si="1">J16*K16</f>
        <v>525600</v>
      </c>
      <c r="M16" s="67">
        <f t="shared" ref="M16:M47" si="2">L16/K16</f>
        <v>1</v>
      </c>
      <c r="N16" s="45" t="b">
        <f>FALSE()</f>
        <v>0</v>
      </c>
      <c r="O16" s="103" t="b">
        <f t="shared" ref="O16:O47" si="3">IF(F16="level",FALSE(), TRUE())</f>
        <v>0</v>
      </c>
      <c r="P16" s="67">
        <f>IF(O16 = FALSE(),1,ActivityStats!$D$12)</f>
        <v>1</v>
      </c>
      <c r="Q16" s="87">
        <f t="shared" ref="Q16:Q47" si="4">P16*K16</f>
        <v>525600</v>
      </c>
      <c r="R16" s="67">
        <f t="shared" ref="R16:R47" si="5">M16/P16</f>
        <v>1</v>
      </c>
      <c r="S16" s="159">
        <v>130</v>
      </c>
      <c r="T16" s="107">
        <v>0</v>
      </c>
      <c r="U16" s="107" t="b">
        <f t="shared" ref="U16:U47" si="6">IF(T16&gt;0, TRUE(), FALSE())</f>
        <v>0</v>
      </c>
      <c r="V16" s="45">
        <f t="shared" ref="V16:V43" si="7">S16*W16/(60*1000)</f>
        <v>3.9E-2</v>
      </c>
      <c r="W16" s="112">
        <v>18</v>
      </c>
      <c r="X16" s="112">
        <f>W16</f>
        <v>18</v>
      </c>
      <c r="Y16" s="99">
        <v>0</v>
      </c>
      <c r="Z16" s="116">
        <f>Y16*K16/(60*1000)</f>
        <v>0</v>
      </c>
      <c r="AA16" s="99">
        <v>436</v>
      </c>
      <c r="AB16" s="69">
        <f t="shared" ref="AB16:AB47" si="8">AA16-Z16</f>
        <v>436</v>
      </c>
      <c r="AC16" s="158">
        <f>AB16/((S16-Y16)*W16)*60*1000</f>
        <v>11179.48717948718</v>
      </c>
      <c r="AD16" s="88">
        <f>AC16*W16</f>
        <v>201230.76923076925</v>
      </c>
      <c r="AE16" s="88">
        <f>AC16*X16</f>
        <v>201230.76923076925</v>
      </c>
      <c r="AF16" s="70">
        <f>Q16-AD16-AE16</f>
        <v>123138.4615384615</v>
      </c>
      <c r="AG16" s="70">
        <f>AF16*R16</f>
        <v>123138.4615384615</v>
      </c>
      <c r="AH16" s="70">
        <f>AG16/AC16</f>
        <v>11.014678899082565</v>
      </c>
      <c r="AI16" s="160">
        <f>1/AH16</f>
        <v>9.0787939363651537E-2</v>
      </c>
      <c r="AJ16" s="70">
        <f>AA16*E16</f>
        <v>434.69200000000001</v>
      </c>
      <c r="AK16" s="45">
        <v>0.8</v>
      </c>
      <c r="AL16" s="45">
        <v>1</v>
      </c>
      <c r="AM16" s="48"/>
      <c r="AN16" s="52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</row>
    <row r="17" spans="1:60" x14ac:dyDescent="0.3">
      <c r="A17" s="49"/>
      <c r="B17" s="47" t="s">
        <v>128</v>
      </c>
      <c r="C17" s="99" t="s">
        <v>132</v>
      </c>
      <c r="D17" s="46" t="s">
        <v>130</v>
      </c>
      <c r="E17" s="96">
        <v>0.23300000000000001</v>
      </c>
      <c r="F17" s="46" t="s">
        <v>131</v>
      </c>
      <c r="G17" s="45" t="b">
        <f>FALSE()</f>
        <v>0</v>
      </c>
      <c r="H17" s="45"/>
      <c r="I17" s="99"/>
      <c r="J17" s="65">
        <f>IF(F17="level", 1, VLOOKUP(F17,ActivityStats!$C$4:$D$12,2,FALSE()))</f>
        <v>1</v>
      </c>
      <c r="K17" s="66">
        <f t="shared" si="0"/>
        <v>525600</v>
      </c>
      <c r="L17" s="66">
        <f t="shared" si="1"/>
        <v>525600</v>
      </c>
      <c r="M17" s="67">
        <f t="shared" si="2"/>
        <v>1</v>
      </c>
      <c r="N17" s="45" t="b">
        <f>FALSE()</f>
        <v>0</v>
      </c>
      <c r="O17" s="103" t="b">
        <f t="shared" si="3"/>
        <v>0</v>
      </c>
      <c r="P17" s="67">
        <f>IF(O17 = FALSE(),1,ActivityStats!$D$12)</f>
        <v>1</v>
      </c>
      <c r="Q17" s="87">
        <f t="shared" si="4"/>
        <v>525600</v>
      </c>
      <c r="R17" s="67">
        <f t="shared" si="5"/>
        <v>1</v>
      </c>
      <c r="S17" s="159">
        <v>130</v>
      </c>
      <c r="T17" s="107">
        <v>0</v>
      </c>
      <c r="U17" s="107" t="b">
        <f t="shared" si="6"/>
        <v>0</v>
      </c>
      <c r="V17" s="45">
        <f t="shared" si="7"/>
        <v>3.9E-2</v>
      </c>
      <c r="W17" s="112">
        <v>18</v>
      </c>
      <c r="X17" s="112">
        <f>W17</f>
        <v>18</v>
      </c>
      <c r="Y17" s="99">
        <v>0</v>
      </c>
      <c r="Z17" s="116">
        <f t="shared" ref="Z17:Z43" si="9">Y17*K17/(60*1000)</f>
        <v>0</v>
      </c>
      <c r="AA17" s="99">
        <v>436</v>
      </c>
      <c r="AB17" s="69">
        <f t="shared" si="8"/>
        <v>436</v>
      </c>
      <c r="AC17" s="158">
        <f>AB17/((S17-Y17)*W17)*60*1000</f>
        <v>11179.48717948718</v>
      </c>
      <c r="AD17" s="88">
        <f t="shared" ref="AD17:AD47" si="10">AC17*W17</f>
        <v>201230.76923076925</v>
      </c>
      <c r="AE17" s="88">
        <f t="shared" ref="AE17:AE47" si="11">AC17*X17</f>
        <v>201230.76923076925</v>
      </c>
      <c r="AF17" s="70">
        <f t="shared" ref="AF17:AF47" si="12">Q17-AD17-AE17</f>
        <v>123138.4615384615</v>
      </c>
      <c r="AG17" s="70">
        <f t="shared" ref="AG17:AG47" si="13">AF17*R17</f>
        <v>123138.4615384615</v>
      </c>
      <c r="AH17" s="70">
        <f>AG17/AC17</f>
        <v>11.014678899082565</v>
      </c>
      <c r="AI17" s="160">
        <f>1/AH17</f>
        <v>9.0787939363651537E-2</v>
      </c>
      <c r="AJ17" s="70">
        <f t="shared" ref="AJ17:AJ47" si="14">AA17*E17</f>
        <v>101.58800000000001</v>
      </c>
      <c r="AK17" s="45">
        <v>0.8</v>
      </c>
      <c r="AL17" s="45">
        <v>1</v>
      </c>
      <c r="AM17" s="48"/>
      <c r="AN17" s="52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6"/>
      <c r="AZ17" s="45"/>
      <c r="BA17" s="45"/>
      <c r="BB17" s="45"/>
      <c r="BC17" s="45"/>
      <c r="BD17" s="45"/>
      <c r="BE17" s="45"/>
      <c r="BF17" s="45"/>
      <c r="BG17" s="46"/>
      <c r="BH17" s="45"/>
    </row>
    <row r="18" spans="1:60" x14ac:dyDescent="0.3">
      <c r="A18" s="55"/>
      <c r="B18" s="47" t="s">
        <v>133</v>
      </c>
      <c r="C18" s="99" t="s">
        <v>134</v>
      </c>
      <c r="D18" s="46" t="s">
        <v>135</v>
      </c>
      <c r="E18" s="96">
        <v>0.48199999999999998</v>
      </c>
      <c r="F18" s="46" t="s">
        <v>131</v>
      </c>
      <c r="G18" s="45" t="b">
        <f>FALSE()</f>
        <v>0</v>
      </c>
      <c r="H18" s="45"/>
      <c r="I18" s="99"/>
      <c r="J18" s="65">
        <f>IF(F18="level", 1, VLOOKUP(F18,ActivityStats!$C$4:$D$12,2,FALSE()))</f>
        <v>1</v>
      </c>
      <c r="K18" s="66">
        <f t="shared" si="0"/>
        <v>525600</v>
      </c>
      <c r="L18" s="66">
        <f t="shared" si="1"/>
        <v>525600</v>
      </c>
      <c r="M18" s="67">
        <f t="shared" si="2"/>
        <v>1</v>
      </c>
      <c r="N18" s="45" t="b">
        <f>FALSE()</f>
        <v>0</v>
      </c>
      <c r="O18" s="103" t="b">
        <f t="shared" si="3"/>
        <v>0</v>
      </c>
      <c r="P18" s="67">
        <f>IF(O18 = FALSE(),1,ActivityStats!$D$12)</f>
        <v>1</v>
      </c>
      <c r="Q18" s="87">
        <f t="shared" si="4"/>
        <v>525600</v>
      </c>
      <c r="R18" s="67">
        <f t="shared" si="5"/>
        <v>1</v>
      </c>
      <c r="S18" s="159">
        <v>220</v>
      </c>
      <c r="T18" s="107">
        <v>0</v>
      </c>
      <c r="U18" s="107" t="b">
        <f t="shared" si="6"/>
        <v>0</v>
      </c>
      <c r="V18" s="45">
        <f t="shared" si="7"/>
        <v>8.0666666666666664E-2</v>
      </c>
      <c r="W18" s="110">
        <v>22</v>
      </c>
      <c r="X18" s="110">
        <f>W18</f>
        <v>22</v>
      </c>
      <c r="Y18" s="99">
        <v>0</v>
      </c>
      <c r="Z18" s="116">
        <f t="shared" si="9"/>
        <v>0</v>
      </c>
      <c r="AA18" s="115">
        <v>203</v>
      </c>
      <c r="AB18" s="69">
        <f t="shared" si="8"/>
        <v>203</v>
      </c>
      <c r="AC18" s="158">
        <f>AB18/((S18-Y18)*W18)*60*1000</f>
        <v>2516.5289256198353</v>
      </c>
      <c r="AD18" s="88">
        <f t="shared" si="10"/>
        <v>55363.636363636375</v>
      </c>
      <c r="AE18" s="88">
        <f t="shared" si="11"/>
        <v>55363.636363636375</v>
      </c>
      <c r="AF18" s="70">
        <f t="shared" si="12"/>
        <v>414872.72727272729</v>
      </c>
      <c r="AG18" s="70">
        <f t="shared" si="13"/>
        <v>414872.72727272729</v>
      </c>
      <c r="AH18" s="70">
        <f>AG18/AC18</f>
        <v>164.8591133004926</v>
      </c>
      <c r="AI18" s="160">
        <f>1/AH18</f>
        <v>6.0657853847441018E-3</v>
      </c>
      <c r="AJ18" s="70">
        <f t="shared" si="14"/>
        <v>97.846000000000004</v>
      </c>
      <c r="AK18" s="45">
        <v>0.8</v>
      </c>
      <c r="AL18" s="45">
        <v>1</v>
      </c>
      <c r="AM18" s="48"/>
      <c r="AN18" s="52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6"/>
      <c r="AZ18" s="45"/>
      <c r="BA18" s="45"/>
      <c r="BB18" s="45"/>
      <c r="BC18" s="45"/>
      <c r="BD18" s="45"/>
      <c r="BE18" s="45"/>
      <c r="BF18" s="45"/>
      <c r="BG18" s="46"/>
      <c r="BH18" s="45"/>
    </row>
    <row r="19" spans="1:60" x14ac:dyDescent="0.3">
      <c r="A19" s="55"/>
      <c r="B19" s="47" t="s">
        <v>133</v>
      </c>
      <c r="C19" s="99" t="s">
        <v>136</v>
      </c>
      <c r="D19" s="46" t="s">
        <v>135</v>
      </c>
      <c r="E19" s="96">
        <v>5.7000000000000002E-2</v>
      </c>
      <c r="F19" s="46" t="s">
        <v>131</v>
      </c>
      <c r="G19" s="45" t="b">
        <f>FALSE()</f>
        <v>0</v>
      </c>
      <c r="H19" s="45"/>
      <c r="I19" s="99"/>
      <c r="J19" s="65">
        <f>IF(F19="level", 1, VLOOKUP(F19,ActivityStats!$C$4:$D$12,2,FALSE()))</f>
        <v>1</v>
      </c>
      <c r="K19" s="66">
        <f t="shared" si="0"/>
        <v>525600</v>
      </c>
      <c r="L19" s="66">
        <f t="shared" si="1"/>
        <v>525600</v>
      </c>
      <c r="M19" s="67">
        <f t="shared" si="2"/>
        <v>1</v>
      </c>
      <c r="N19" s="45" t="b">
        <f>FALSE()</f>
        <v>0</v>
      </c>
      <c r="O19" s="103" t="b">
        <f t="shared" si="3"/>
        <v>0</v>
      </c>
      <c r="P19" s="67">
        <f>IF(O19 = FALSE(),1,ActivityStats!$D$12)</f>
        <v>1</v>
      </c>
      <c r="Q19" s="87">
        <f t="shared" si="4"/>
        <v>525600</v>
      </c>
      <c r="R19" s="67">
        <f t="shared" si="5"/>
        <v>1</v>
      </c>
      <c r="S19" s="159">
        <v>220</v>
      </c>
      <c r="T19" s="107">
        <v>0</v>
      </c>
      <c r="U19" s="107" t="b">
        <f t="shared" si="6"/>
        <v>0</v>
      </c>
      <c r="V19" s="45">
        <f>S19*W19/(60*1000)</f>
        <v>8.0666666666666664E-2</v>
      </c>
      <c r="W19" s="110">
        <v>22</v>
      </c>
      <c r="X19" s="110">
        <f>W19</f>
        <v>22</v>
      </c>
      <c r="Y19" s="99">
        <v>0</v>
      </c>
      <c r="Z19" s="116">
        <f t="shared" si="9"/>
        <v>0</v>
      </c>
      <c r="AA19" s="115">
        <v>203</v>
      </c>
      <c r="AB19" s="69">
        <f t="shared" si="8"/>
        <v>203</v>
      </c>
      <c r="AC19" s="158">
        <f>AB19/((S19-Y19)*W19)*60*1000</f>
        <v>2516.5289256198353</v>
      </c>
      <c r="AD19" s="88">
        <f t="shared" si="10"/>
        <v>55363.636363636375</v>
      </c>
      <c r="AE19" s="88">
        <f t="shared" si="11"/>
        <v>55363.636363636375</v>
      </c>
      <c r="AF19" s="70">
        <f t="shared" si="12"/>
        <v>414872.72727272729</v>
      </c>
      <c r="AG19" s="70">
        <f t="shared" si="13"/>
        <v>414872.72727272729</v>
      </c>
      <c r="AH19" s="70">
        <f>AG19/AC19</f>
        <v>164.8591133004926</v>
      </c>
      <c r="AI19" s="160">
        <f>1/AH19</f>
        <v>6.0657853847441018E-3</v>
      </c>
      <c r="AJ19" s="70">
        <f t="shared" si="14"/>
        <v>11.571</v>
      </c>
      <c r="AK19" s="45">
        <v>0.8</v>
      </c>
      <c r="AL19" s="45">
        <v>1</v>
      </c>
      <c r="AM19" s="48"/>
      <c r="AN19" s="52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6"/>
      <c r="AZ19" s="45"/>
      <c r="BA19" s="45"/>
      <c r="BB19" s="45"/>
      <c r="BC19" s="45"/>
      <c r="BD19" s="45"/>
      <c r="BE19" s="45"/>
      <c r="BF19" s="45"/>
      <c r="BG19" s="46"/>
      <c r="BH19" s="45"/>
    </row>
    <row r="20" spans="1:60" x14ac:dyDescent="0.3">
      <c r="A20" s="55" t="s">
        <v>137</v>
      </c>
      <c r="B20" s="47" t="s">
        <v>138</v>
      </c>
      <c r="C20" s="99" t="s">
        <v>139</v>
      </c>
      <c r="D20" s="46" t="s">
        <v>140</v>
      </c>
      <c r="E20" s="96">
        <v>0.84899999999999998</v>
      </c>
      <c r="F20" s="46" t="s">
        <v>141</v>
      </c>
      <c r="G20" s="45" t="b">
        <f>TRUE()</f>
        <v>1</v>
      </c>
      <c r="H20" s="45" t="s">
        <v>476</v>
      </c>
      <c r="I20" s="99">
        <v>612</v>
      </c>
      <c r="J20" s="65">
        <f>IF(F20="level", 1, VLOOKUP(F20,ActivityStats!$C$4:$D$12,2,FALSE()))</f>
        <v>0.47775902852124003</v>
      </c>
      <c r="K20" s="66">
        <f t="shared" si="0"/>
        <v>525600</v>
      </c>
      <c r="L20" s="66">
        <f t="shared" si="1"/>
        <v>251110.14539076376</v>
      </c>
      <c r="M20" s="67">
        <f t="shared" si="2"/>
        <v>0.47775902852124003</v>
      </c>
      <c r="N20" s="46" t="b">
        <f>TRUE()</f>
        <v>1</v>
      </c>
      <c r="O20" s="103" t="b">
        <f t="shared" si="3"/>
        <v>1</v>
      </c>
      <c r="P20" s="67">
        <f>IF(O20 = FALSE(),1,ActivityStats!$D$12)</f>
        <v>0.47775902852124003</v>
      </c>
      <c r="Q20" s="87">
        <f t="shared" si="4"/>
        <v>251110.14539076376</v>
      </c>
      <c r="R20" s="67">
        <f t="shared" si="5"/>
        <v>1</v>
      </c>
      <c r="S20" s="112">
        <v>60</v>
      </c>
      <c r="T20" s="107">
        <v>0</v>
      </c>
      <c r="U20" s="107" t="b">
        <f t="shared" si="6"/>
        <v>0</v>
      </c>
      <c r="V20" s="45">
        <f>S20*W20/(60*1000)</f>
        <v>1.0999999999999999E-2</v>
      </c>
      <c r="W20" s="110">
        <v>11</v>
      </c>
      <c r="X20" s="110">
        <v>0</v>
      </c>
      <c r="Y20" s="99">
        <v>0</v>
      </c>
      <c r="Z20" s="116">
        <f>Y20*K20/(60*1000)</f>
        <v>0</v>
      </c>
      <c r="AA20" s="118">
        <v>28</v>
      </c>
      <c r="AB20" s="69">
        <f>AA20-Z20</f>
        <v>28</v>
      </c>
      <c r="AC20" s="158">
        <f>AB20/((S20-Y20)*W20)*60*1000</f>
        <v>2545.4545454545455</v>
      </c>
      <c r="AD20" s="88">
        <f t="shared" si="10"/>
        <v>28000</v>
      </c>
      <c r="AE20" s="88">
        <f t="shared" si="11"/>
        <v>0</v>
      </c>
      <c r="AF20" s="70">
        <f>Q20-AD20-AE20</f>
        <v>223110.14539076376</v>
      </c>
      <c r="AG20" s="70">
        <f>AF20*R20</f>
        <v>223110.14539076376</v>
      </c>
      <c r="AH20" s="70">
        <f>AG20/AC20</f>
        <v>87.650414260657186</v>
      </c>
      <c r="AI20" s="160">
        <f>1/AH20</f>
        <v>1.1408959198141069E-2</v>
      </c>
      <c r="AJ20" s="70">
        <f>AA20*E20</f>
        <v>23.771999999999998</v>
      </c>
      <c r="AK20" s="45">
        <v>1</v>
      </c>
      <c r="AL20" s="45">
        <v>1</v>
      </c>
      <c r="AM20" s="48"/>
      <c r="AN20" s="52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6"/>
      <c r="AZ20" s="45"/>
      <c r="BA20" s="45"/>
      <c r="BB20" s="45"/>
      <c r="BC20" s="45"/>
      <c r="BD20" s="45"/>
      <c r="BE20" s="45"/>
      <c r="BF20" s="45"/>
      <c r="BG20" s="46"/>
      <c r="BH20" s="45"/>
    </row>
    <row r="21" spans="1:60" x14ac:dyDescent="0.3">
      <c r="A21" s="55"/>
      <c r="B21" s="45" t="s">
        <v>142</v>
      </c>
      <c r="C21" s="99" t="s">
        <v>143</v>
      </c>
      <c r="D21" s="46" t="s">
        <v>144</v>
      </c>
      <c r="E21" s="97">
        <v>0.9</v>
      </c>
      <c r="F21" s="46" t="s">
        <v>145</v>
      </c>
      <c r="G21" s="45" t="b">
        <f>FALSE()</f>
        <v>0</v>
      </c>
      <c r="H21" s="45"/>
      <c r="I21" s="99">
        <v>432</v>
      </c>
      <c r="J21" s="65">
        <f>IF(F21="LEVEL", 1, VLOOKUP(F21,ActivityStats!$C$4:$D$12,2,FALSE()))</f>
        <v>8.0929579327932693E-3</v>
      </c>
      <c r="K21" s="66">
        <f t="shared" si="0"/>
        <v>525600</v>
      </c>
      <c r="L21" s="66">
        <f t="shared" si="1"/>
        <v>4253.6586894761422</v>
      </c>
      <c r="M21" s="67">
        <f t="shared" si="2"/>
        <v>8.0929579327932693E-3</v>
      </c>
      <c r="N21" s="46" t="b">
        <f>TRUE()</f>
        <v>1</v>
      </c>
      <c r="O21" s="103" t="b">
        <f t="shared" si="3"/>
        <v>1</v>
      </c>
      <c r="P21" s="67">
        <f>IF(O21 = FALSE(),1,ActivityStats!$D$12)</f>
        <v>0.47775902852124003</v>
      </c>
      <c r="Q21" s="87">
        <f>P21*K21</f>
        <v>251110.14539076376</v>
      </c>
      <c r="R21" s="67">
        <f t="shared" si="5"/>
        <v>1.6939413908812141E-2</v>
      </c>
      <c r="S21" s="112">
        <v>1000</v>
      </c>
      <c r="T21" s="107">
        <v>0</v>
      </c>
      <c r="U21" s="107" t="b">
        <f t="shared" si="6"/>
        <v>0</v>
      </c>
      <c r="V21" s="45">
        <f t="shared" si="7"/>
        <v>0.5</v>
      </c>
      <c r="W21" s="110">
        <v>30</v>
      </c>
      <c r="X21" s="110">
        <v>0</v>
      </c>
      <c r="Y21" s="99">
        <v>0</v>
      </c>
      <c r="Z21" s="117">
        <f t="shared" si="9"/>
        <v>0</v>
      </c>
      <c r="AA21" s="117">
        <v>53</v>
      </c>
      <c r="AB21" s="89">
        <f t="shared" si="8"/>
        <v>53</v>
      </c>
      <c r="AC21" s="158">
        <f t="shared" ref="AC21:AC35" si="15">AB21/((S21-Y21)*W21)*60*1000</f>
        <v>106</v>
      </c>
      <c r="AD21" s="88">
        <f t="shared" si="10"/>
        <v>3180</v>
      </c>
      <c r="AE21" s="88">
        <f t="shared" si="11"/>
        <v>0</v>
      </c>
      <c r="AF21" s="70">
        <f>Q21-AD21-AE21</f>
        <v>247930.14539076376</v>
      </c>
      <c r="AG21" s="70">
        <f>AF21*R21</f>
        <v>4199.7913532461198</v>
      </c>
      <c r="AH21" s="70">
        <f>AG21/AC21</f>
        <v>39.620673143831318</v>
      </c>
      <c r="AI21" s="160">
        <f>1/AH21</f>
        <v>2.5239349073393862E-2</v>
      </c>
      <c r="AJ21" s="70">
        <f t="shared" si="14"/>
        <v>47.7</v>
      </c>
      <c r="AK21" s="45">
        <v>1</v>
      </c>
      <c r="AL21" s="45">
        <v>1</v>
      </c>
      <c r="AM21" s="48"/>
      <c r="AN21" s="52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6"/>
      <c r="AZ21" s="45"/>
      <c r="BA21" s="45"/>
      <c r="BB21" s="45"/>
      <c r="BC21" s="45"/>
      <c r="BD21" s="45"/>
      <c r="BE21" s="45"/>
      <c r="BF21" s="45"/>
      <c r="BG21" s="46"/>
      <c r="BH21" s="45"/>
    </row>
    <row r="22" spans="1:60" x14ac:dyDescent="0.3">
      <c r="A22" s="55"/>
      <c r="B22" s="45" t="s">
        <v>146</v>
      </c>
      <c r="C22" s="99" t="s">
        <v>147</v>
      </c>
      <c r="D22" s="46" t="s">
        <v>148</v>
      </c>
      <c r="E22" s="97">
        <v>0.93700000000000006</v>
      </c>
      <c r="F22" s="46" t="s">
        <v>149</v>
      </c>
      <c r="G22" s="45" t="b">
        <f>TRUE()</f>
        <v>1</v>
      </c>
      <c r="H22" s="45" t="s">
        <v>476</v>
      </c>
      <c r="I22" s="99">
        <v>421</v>
      </c>
      <c r="J22" s="65">
        <f>IF(F22="LEVEL", 1, VLOOKUP(F22,ActivityStats!$C$4:$D$12,2,FALSE()))</f>
        <v>5.2950486618739599E-2</v>
      </c>
      <c r="K22" s="66">
        <f t="shared" si="0"/>
        <v>525600</v>
      </c>
      <c r="L22" s="66">
        <f t="shared" si="1"/>
        <v>27830.775766809533</v>
      </c>
      <c r="M22" s="67">
        <f t="shared" si="2"/>
        <v>5.2950486618739599E-2</v>
      </c>
      <c r="N22" s="46" t="b">
        <f>TRUE()</f>
        <v>1</v>
      </c>
      <c r="O22" s="103" t="b">
        <f t="shared" si="3"/>
        <v>1</v>
      </c>
      <c r="P22" s="67">
        <f>IF(O22 = FALSE(),1,ActivityStats!$D$12)</f>
        <v>0.47775902852124003</v>
      </c>
      <c r="Q22" s="87">
        <f>P22*K22</f>
        <v>251110.14539076376</v>
      </c>
      <c r="R22" s="67">
        <f>M22/P22</f>
        <v>0.11083094919761531</v>
      </c>
      <c r="S22" s="112">
        <v>2000</v>
      </c>
      <c r="T22" s="107">
        <v>0</v>
      </c>
      <c r="U22" s="107" t="b">
        <f t="shared" si="6"/>
        <v>0</v>
      </c>
      <c r="V22" s="45">
        <f t="shared" si="7"/>
        <v>0.66666666666666663</v>
      </c>
      <c r="W22" s="110">
        <v>20</v>
      </c>
      <c r="X22" s="110">
        <v>0</v>
      </c>
      <c r="Y22" s="99">
        <v>0</v>
      </c>
      <c r="Z22" s="117">
        <f>Y22*K22/(60*1000)</f>
        <v>0</v>
      </c>
      <c r="AA22" s="117">
        <v>84</v>
      </c>
      <c r="AB22" s="89">
        <f t="shared" si="8"/>
        <v>84</v>
      </c>
      <c r="AC22" s="158">
        <f>AB22/((S22-Y22)*W22)*60*1000</f>
        <v>126</v>
      </c>
      <c r="AD22" s="88">
        <f t="shared" si="10"/>
        <v>2520</v>
      </c>
      <c r="AE22" s="88">
        <f t="shared" si="11"/>
        <v>0</v>
      </c>
      <c r="AF22" s="70">
        <f>Q22-AD22-AE22</f>
        <v>248590.14539076376</v>
      </c>
      <c r="AG22" s="70">
        <f>AF22*R22</f>
        <v>27551.481774831544</v>
      </c>
      <c r="AH22" s="70">
        <f>AG22/AC22</f>
        <v>218.66255376850432</v>
      </c>
      <c r="AI22" s="160">
        <f>1/AH22</f>
        <v>4.5732567500272091E-3</v>
      </c>
      <c r="AJ22" s="70">
        <f t="shared" si="14"/>
        <v>78.707999999999998</v>
      </c>
      <c r="AK22" s="45">
        <v>1</v>
      </c>
      <c r="AL22" s="45">
        <v>0.7</v>
      </c>
      <c r="AM22" s="48"/>
      <c r="AN22" s="52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6"/>
      <c r="AZ22" s="45"/>
      <c r="BA22" s="45"/>
      <c r="BB22" s="45"/>
      <c r="BC22" s="45"/>
      <c r="BD22" s="45"/>
      <c r="BE22" s="45"/>
      <c r="BF22" s="45"/>
      <c r="BG22" s="46"/>
      <c r="BH22" s="45"/>
    </row>
    <row r="23" spans="1:60" x14ac:dyDescent="0.3">
      <c r="A23" s="55"/>
      <c r="B23" s="47" t="s">
        <v>150</v>
      </c>
      <c r="C23" s="99" t="s">
        <v>151</v>
      </c>
      <c r="D23" s="46" t="s">
        <v>152</v>
      </c>
      <c r="E23" s="96">
        <v>0.442</v>
      </c>
      <c r="F23" s="46" t="s">
        <v>153</v>
      </c>
      <c r="G23" s="45" t="b">
        <f>TRUE()</f>
        <v>1</v>
      </c>
      <c r="H23" s="45" t="s">
        <v>476</v>
      </c>
      <c r="I23" s="99">
        <v>84</v>
      </c>
      <c r="J23" s="65">
        <f>IF(F23="LEVEL", 1, VLOOKUP(F23,ActivityStats!$C$4:$D$12,2,FALSE()))</f>
        <v>4.5650719455293802E-2</v>
      </c>
      <c r="K23" s="66">
        <f t="shared" si="0"/>
        <v>525600</v>
      </c>
      <c r="L23" s="66">
        <f t="shared" si="1"/>
        <v>23994.018145702423</v>
      </c>
      <c r="M23" s="67">
        <f>L23/K23</f>
        <v>4.5650719455293802E-2</v>
      </c>
      <c r="N23" s="46" t="b">
        <f>TRUE()</f>
        <v>1</v>
      </c>
      <c r="O23" s="103" t="b">
        <f t="shared" si="3"/>
        <v>1</v>
      </c>
      <c r="P23" s="67">
        <f>IF(O23 = FALSE(),1,ActivityStats!$D$12)</f>
        <v>0.47775902852124003</v>
      </c>
      <c r="Q23" s="87">
        <f t="shared" si="4"/>
        <v>251110.14539076376</v>
      </c>
      <c r="R23" s="67">
        <f t="shared" si="5"/>
        <v>9.5551767167209645E-2</v>
      </c>
      <c r="S23" s="112">
        <v>200</v>
      </c>
      <c r="T23" s="107">
        <v>0</v>
      </c>
      <c r="U23" s="107" t="b">
        <f t="shared" si="6"/>
        <v>0</v>
      </c>
      <c r="V23" s="45">
        <f t="shared" si="7"/>
        <v>0.6</v>
      </c>
      <c r="W23" s="111">
        <v>180</v>
      </c>
      <c r="X23" s="110">
        <v>0</v>
      </c>
      <c r="Y23" s="99">
        <v>4.2</v>
      </c>
      <c r="Z23" s="116">
        <f>Y23*K23/(60*1000)</f>
        <v>36.792000000000002</v>
      </c>
      <c r="AA23" s="212">
        <v>194</v>
      </c>
      <c r="AB23" s="69">
        <f t="shared" si="8"/>
        <v>157.208</v>
      </c>
      <c r="AC23" s="158">
        <f>AB23/((S23-Y23)*W23)*60*1000</f>
        <v>267.6336397684712</v>
      </c>
      <c r="AD23" s="88">
        <f t="shared" si="10"/>
        <v>48174.055158324816</v>
      </c>
      <c r="AE23" s="88">
        <f t="shared" si="11"/>
        <v>0</v>
      </c>
      <c r="AF23" s="70">
        <f>Q23-AD23-AE23</f>
        <v>202936.09023243893</v>
      </c>
      <c r="AG23" s="70">
        <f t="shared" si="13"/>
        <v>19390.902043713853</v>
      </c>
      <c r="AH23" s="70">
        <f>AG23/AC23</f>
        <v>72.453156712619702</v>
      </c>
      <c r="AI23" s="160">
        <f>1/AH23</f>
        <v>1.3802021131617895E-2</v>
      </c>
      <c r="AJ23" s="70">
        <f t="shared" si="14"/>
        <v>85.748000000000005</v>
      </c>
      <c r="AK23" s="45">
        <v>0.9</v>
      </c>
      <c r="AL23" s="45">
        <v>1</v>
      </c>
      <c r="AM23" s="48"/>
      <c r="AN23" s="90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46"/>
      <c r="AZ23" s="45"/>
      <c r="BA23" s="69"/>
      <c r="BB23" s="69"/>
      <c r="BC23" s="69"/>
      <c r="BD23" s="69"/>
      <c r="BE23" s="69"/>
      <c r="BF23" s="69"/>
      <c r="BG23" s="46"/>
      <c r="BH23" s="45"/>
    </row>
    <row r="24" spans="1:60" x14ac:dyDescent="0.3">
      <c r="A24" s="55"/>
      <c r="B24" s="47" t="s">
        <v>150</v>
      </c>
      <c r="C24" s="99" t="s">
        <v>154</v>
      </c>
      <c r="D24" s="46" t="s">
        <v>471</v>
      </c>
      <c r="E24" s="96">
        <v>0.10199999999999999</v>
      </c>
      <c r="F24" s="46" t="s">
        <v>153</v>
      </c>
      <c r="G24" s="45" t="b">
        <f>TRUE()</f>
        <v>1</v>
      </c>
      <c r="H24" s="45" t="s">
        <v>476</v>
      </c>
      <c r="I24" s="99">
        <v>84</v>
      </c>
      <c r="J24" s="65">
        <f>IF(F24="LEVEL", 1, VLOOKUP(F24,ActivityStats!$C$4:$D$12,2,FALSE()))</f>
        <v>4.5650719455293802E-2</v>
      </c>
      <c r="K24" s="66">
        <f t="shared" si="0"/>
        <v>525600</v>
      </c>
      <c r="L24" s="66">
        <f t="shared" si="1"/>
        <v>23994.018145702423</v>
      </c>
      <c r="M24" s="67">
        <f t="shared" si="2"/>
        <v>4.5650719455293802E-2</v>
      </c>
      <c r="N24" s="46" t="b">
        <f>TRUE()</f>
        <v>1</v>
      </c>
      <c r="O24" s="103" t="b">
        <f t="shared" si="3"/>
        <v>1</v>
      </c>
      <c r="P24" s="67">
        <f>IF(O24 = FALSE(),1,ActivityStats!$D$12)</f>
        <v>0.47775902852124003</v>
      </c>
      <c r="Q24" s="87">
        <f t="shared" si="4"/>
        <v>251110.14539076376</v>
      </c>
      <c r="R24" s="67">
        <f t="shared" si="5"/>
        <v>9.5551767167209645E-2</v>
      </c>
      <c r="S24" s="112">
        <v>200</v>
      </c>
      <c r="T24" s="107">
        <v>0</v>
      </c>
      <c r="U24" s="107" t="b">
        <f t="shared" si="6"/>
        <v>0</v>
      </c>
      <c r="V24" s="45">
        <f t="shared" si="7"/>
        <v>0.6</v>
      </c>
      <c r="W24" s="111">
        <v>180</v>
      </c>
      <c r="X24" s="110">
        <v>0</v>
      </c>
      <c r="Y24" s="99">
        <v>4.2</v>
      </c>
      <c r="Z24" s="116">
        <f t="shared" si="9"/>
        <v>36.792000000000002</v>
      </c>
      <c r="AA24" s="212">
        <v>194</v>
      </c>
      <c r="AB24" s="69">
        <f t="shared" si="8"/>
        <v>157.208</v>
      </c>
      <c r="AC24" s="158">
        <f t="shared" si="15"/>
        <v>267.6336397684712</v>
      </c>
      <c r="AD24" s="88">
        <f t="shared" si="10"/>
        <v>48174.055158324816</v>
      </c>
      <c r="AE24" s="88">
        <f t="shared" si="11"/>
        <v>0</v>
      </c>
      <c r="AF24" s="70">
        <f t="shared" si="12"/>
        <v>202936.09023243893</v>
      </c>
      <c r="AG24" s="70">
        <f>AF24*R24</f>
        <v>19390.902043713853</v>
      </c>
      <c r="AH24" s="70">
        <f>AG24/AC24</f>
        <v>72.453156712619702</v>
      </c>
      <c r="AI24" s="160">
        <f>1/AH24</f>
        <v>1.3802021131617895E-2</v>
      </c>
      <c r="AJ24" s="70">
        <f>AA24*E24</f>
        <v>19.788</v>
      </c>
      <c r="AK24" s="45">
        <v>0.9</v>
      </c>
      <c r="AL24" s="45">
        <v>1</v>
      </c>
      <c r="AM24" s="48"/>
      <c r="AN24" s="90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46"/>
      <c r="AZ24" s="45"/>
      <c r="BA24" s="69"/>
      <c r="BB24" s="69"/>
      <c r="BC24" s="69"/>
      <c r="BD24" s="69"/>
      <c r="BE24" s="69"/>
      <c r="BF24" s="69"/>
      <c r="BG24" s="46"/>
      <c r="BH24" s="45"/>
    </row>
    <row r="25" spans="1:60" x14ac:dyDescent="0.3">
      <c r="A25" s="55"/>
      <c r="B25" s="47" t="s">
        <v>155</v>
      </c>
      <c r="C25" s="99" t="s">
        <v>156</v>
      </c>
      <c r="D25" s="46" t="s">
        <v>157</v>
      </c>
      <c r="E25" s="96">
        <v>0.73899999999999999</v>
      </c>
      <c r="F25" s="46" t="s">
        <v>153</v>
      </c>
      <c r="G25" s="45" t="b">
        <f>TRUE()</f>
        <v>1</v>
      </c>
      <c r="H25" s="45" t="s">
        <v>476</v>
      </c>
      <c r="I25" s="99">
        <v>84</v>
      </c>
      <c r="J25" s="65">
        <f>IF(F25="LEVEL", 1, VLOOKUP(F25,ActivityStats!$C$4:$D$12,2,FALSE()))</f>
        <v>4.5650719455293802E-2</v>
      </c>
      <c r="K25" s="66">
        <f t="shared" si="0"/>
        <v>525600</v>
      </c>
      <c r="L25" s="66">
        <f>J25*K25</f>
        <v>23994.018145702423</v>
      </c>
      <c r="M25" s="67">
        <f>L25/K25</f>
        <v>4.5650719455293802E-2</v>
      </c>
      <c r="N25" s="46" t="b">
        <f>TRUE()</f>
        <v>1</v>
      </c>
      <c r="O25" s="103" t="b">
        <f t="shared" si="3"/>
        <v>1</v>
      </c>
      <c r="P25" s="67">
        <f>IF(O25 = FALSE(),1,ActivityStats!$D$12)</f>
        <v>0.47775902852124003</v>
      </c>
      <c r="Q25" s="87">
        <f t="shared" si="4"/>
        <v>251110.14539076376</v>
      </c>
      <c r="R25" s="67">
        <f t="shared" si="5"/>
        <v>9.5551767167209645E-2</v>
      </c>
      <c r="S25" s="112">
        <v>60</v>
      </c>
      <c r="T25" s="107">
        <v>0</v>
      </c>
      <c r="U25" s="107" t="b">
        <f t="shared" si="6"/>
        <v>0</v>
      </c>
      <c r="V25" s="45">
        <f t="shared" si="7"/>
        <v>0.13</v>
      </c>
      <c r="W25" s="113">
        <v>130</v>
      </c>
      <c r="X25" s="113">
        <v>0</v>
      </c>
      <c r="Y25" s="99">
        <v>0</v>
      </c>
      <c r="Z25" s="116">
        <f t="shared" si="9"/>
        <v>0</v>
      </c>
      <c r="AA25" s="213">
        <v>75</v>
      </c>
      <c r="AB25" s="69">
        <f t="shared" si="8"/>
        <v>75</v>
      </c>
      <c r="AC25" s="158">
        <f t="shared" si="15"/>
        <v>576.92307692307702</v>
      </c>
      <c r="AD25" s="88">
        <f t="shared" si="10"/>
        <v>75000.000000000015</v>
      </c>
      <c r="AE25" s="88">
        <f t="shared" si="11"/>
        <v>0</v>
      </c>
      <c r="AF25" s="70">
        <f>Q25-AD25-AE25</f>
        <v>176110.14539076376</v>
      </c>
      <c r="AG25" s="70">
        <f t="shared" si="13"/>
        <v>16827.635608161698</v>
      </c>
      <c r="AH25" s="70">
        <f>AG25/AC25</f>
        <v>29.167901720813603</v>
      </c>
      <c r="AI25" s="160">
        <f>1/AH25</f>
        <v>3.4284262528436214E-2</v>
      </c>
      <c r="AJ25" s="70">
        <f t="shared" si="14"/>
        <v>55.424999999999997</v>
      </c>
      <c r="AK25" s="45">
        <v>0.9</v>
      </c>
      <c r="AL25" s="45">
        <v>1</v>
      </c>
      <c r="AM25" s="48"/>
      <c r="AN25" s="90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46"/>
      <c r="AZ25" s="45"/>
      <c r="BA25" s="69"/>
      <c r="BB25" s="69"/>
      <c r="BC25" s="69"/>
      <c r="BD25" s="69"/>
      <c r="BE25" s="69"/>
      <c r="BF25" s="69"/>
      <c r="BG25" s="46"/>
      <c r="BH25" s="45"/>
    </row>
    <row r="26" spans="1:60" x14ac:dyDescent="0.3">
      <c r="A26" s="55"/>
      <c r="B26" s="47" t="s">
        <v>155</v>
      </c>
      <c r="C26" s="99" t="s">
        <v>158</v>
      </c>
      <c r="D26" s="46" t="s">
        <v>472</v>
      </c>
      <c r="E26" s="96">
        <v>0.33200000000000002</v>
      </c>
      <c r="F26" s="46" t="s">
        <v>153</v>
      </c>
      <c r="G26" s="45" t="b">
        <f>TRUE()</f>
        <v>1</v>
      </c>
      <c r="H26" s="45" t="s">
        <v>476</v>
      </c>
      <c r="I26" s="99">
        <v>84</v>
      </c>
      <c r="J26" s="65">
        <f>IF(F26="LEVEL", 1, VLOOKUP(F26,ActivityStats!$C$4:$D$12,2,FALSE()))</f>
        <v>4.5650719455293802E-2</v>
      </c>
      <c r="K26" s="66">
        <f t="shared" si="0"/>
        <v>525600</v>
      </c>
      <c r="L26" s="66">
        <f t="shared" si="1"/>
        <v>23994.018145702423</v>
      </c>
      <c r="M26" s="67">
        <f t="shared" si="2"/>
        <v>4.5650719455293802E-2</v>
      </c>
      <c r="N26" s="46" t="b">
        <f>TRUE()</f>
        <v>1</v>
      </c>
      <c r="O26" s="103" t="b">
        <f t="shared" si="3"/>
        <v>1</v>
      </c>
      <c r="P26" s="67">
        <f>IF(O26 = FALSE(),1,ActivityStats!$D$12)</f>
        <v>0.47775902852124003</v>
      </c>
      <c r="Q26" s="87">
        <f>P26*K26</f>
        <v>251110.14539076376</v>
      </c>
      <c r="R26" s="67">
        <f>M26/P26</f>
        <v>9.5551767167209645E-2</v>
      </c>
      <c r="S26" s="112">
        <v>60</v>
      </c>
      <c r="T26" s="107">
        <v>0</v>
      </c>
      <c r="U26" s="107" t="b">
        <f t="shared" si="6"/>
        <v>0</v>
      </c>
      <c r="V26" s="45">
        <f>S26*W26/(60*1000)</f>
        <v>0.13</v>
      </c>
      <c r="W26" s="113">
        <v>130</v>
      </c>
      <c r="X26" s="113">
        <v>0</v>
      </c>
      <c r="Y26" s="99">
        <v>0</v>
      </c>
      <c r="Z26" s="116">
        <f t="shared" si="9"/>
        <v>0</v>
      </c>
      <c r="AA26" s="213">
        <v>75</v>
      </c>
      <c r="AB26" s="69">
        <f t="shared" si="8"/>
        <v>75</v>
      </c>
      <c r="AC26" s="158">
        <f t="shared" si="15"/>
        <v>576.92307692307702</v>
      </c>
      <c r="AD26" s="88">
        <f t="shared" si="10"/>
        <v>75000.000000000015</v>
      </c>
      <c r="AE26" s="88">
        <f t="shared" si="11"/>
        <v>0</v>
      </c>
      <c r="AF26" s="70">
        <f t="shared" si="12"/>
        <v>176110.14539076376</v>
      </c>
      <c r="AG26" s="70">
        <f t="shared" si="13"/>
        <v>16827.635608161698</v>
      </c>
      <c r="AH26" s="70">
        <f>AG26/AC26</f>
        <v>29.167901720813603</v>
      </c>
      <c r="AI26" s="160">
        <f t="shared" ref="AI21:AI35" si="16">1/AH26</f>
        <v>3.4284262528436214E-2</v>
      </c>
      <c r="AJ26" s="70">
        <f t="shared" si="14"/>
        <v>24.900000000000002</v>
      </c>
      <c r="AK26" s="45">
        <v>0.9</v>
      </c>
      <c r="AL26" s="45">
        <v>1</v>
      </c>
      <c r="AM26" s="48"/>
      <c r="AN26" s="90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46"/>
      <c r="AZ26" s="45"/>
      <c r="BA26" s="69"/>
      <c r="BB26" s="69"/>
      <c r="BC26" s="69"/>
      <c r="BD26" s="69"/>
      <c r="BE26" s="69"/>
      <c r="BF26" s="69"/>
      <c r="BG26" s="46"/>
      <c r="BH26" s="45"/>
    </row>
    <row r="27" spans="1:60" x14ac:dyDescent="0.3">
      <c r="A27" s="55"/>
      <c r="B27" s="47" t="s">
        <v>159</v>
      </c>
      <c r="C27" s="99" t="s">
        <v>160</v>
      </c>
      <c r="D27" s="46" t="s">
        <v>161</v>
      </c>
      <c r="E27" s="96">
        <v>0.47499999999999998</v>
      </c>
      <c r="F27" s="46" t="s">
        <v>153</v>
      </c>
      <c r="G27" s="45" t="b">
        <f>TRUE()</f>
        <v>1</v>
      </c>
      <c r="H27" s="45" t="s">
        <v>476</v>
      </c>
      <c r="I27" s="99">
        <v>84</v>
      </c>
      <c r="J27" s="65">
        <f>IF(F27="LEVEL", 1, VLOOKUP(F27,ActivityStats!$C$4:$D$12,2,FALSE()))</f>
        <v>4.5650719455293802E-2</v>
      </c>
      <c r="K27" s="66">
        <f t="shared" si="0"/>
        <v>525600</v>
      </c>
      <c r="L27" s="66">
        <f t="shared" si="1"/>
        <v>23994.018145702423</v>
      </c>
      <c r="M27" s="67">
        <f t="shared" si="2"/>
        <v>4.5650719455293802E-2</v>
      </c>
      <c r="N27" s="46" t="b">
        <f>TRUE()</f>
        <v>1</v>
      </c>
      <c r="O27" s="103" t="b">
        <f t="shared" si="3"/>
        <v>1</v>
      </c>
      <c r="P27" s="67">
        <f>IF(O27 = FALSE(),1,ActivityStats!$D$12)</f>
        <v>0.47775902852124003</v>
      </c>
      <c r="Q27" s="87">
        <f>P27*K27</f>
        <v>251110.14539076376</v>
      </c>
      <c r="R27" s="67">
        <f t="shared" si="5"/>
        <v>9.5551767167209645E-2</v>
      </c>
      <c r="S27" s="112">
        <v>12</v>
      </c>
      <c r="T27" s="107">
        <v>0</v>
      </c>
      <c r="U27" s="107" t="b">
        <f t="shared" si="6"/>
        <v>0</v>
      </c>
      <c r="V27" s="45">
        <f t="shared" si="7"/>
        <v>2.4E-2</v>
      </c>
      <c r="W27" s="113">
        <v>120</v>
      </c>
      <c r="X27" s="113">
        <v>0</v>
      </c>
      <c r="Y27" s="99">
        <v>0</v>
      </c>
      <c r="Z27" s="116">
        <f t="shared" si="9"/>
        <v>0</v>
      </c>
      <c r="AA27" s="116">
        <v>12</v>
      </c>
      <c r="AB27" s="69">
        <f t="shared" si="8"/>
        <v>12</v>
      </c>
      <c r="AC27" s="158">
        <f t="shared" si="15"/>
        <v>500</v>
      </c>
      <c r="AD27" s="88">
        <f t="shared" si="10"/>
        <v>60000</v>
      </c>
      <c r="AE27" s="88">
        <f t="shared" si="11"/>
        <v>0</v>
      </c>
      <c r="AF27" s="70">
        <f t="shared" si="12"/>
        <v>191110.14539076376</v>
      </c>
      <c r="AG27" s="70">
        <f t="shared" si="13"/>
        <v>18260.912115669842</v>
      </c>
      <c r="AH27" s="70">
        <f>AG27/AC27</f>
        <v>36.521824231339686</v>
      </c>
      <c r="AI27" s="160">
        <f t="shared" si="16"/>
        <v>2.7380888579543943E-2</v>
      </c>
      <c r="AJ27" s="70">
        <f t="shared" si="14"/>
        <v>5.6999999999999993</v>
      </c>
      <c r="AK27" s="45">
        <v>0.9</v>
      </c>
      <c r="AL27" s="45">
        <v>1</v>
      </c>
      <c r="AM27" s="48"/>
      <c r="AN27" s="90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46"/>
      <c r="AZ27" s="45"/>
      <c r="BA27" s="69"/>
      <c r="BB27" s="69"/>
      <c r="BC27" s="69"/>
      <c r="BD27" s="69"/>
      <c r="BE27" s="69"/>
      <c r="BF27" s="69"/>
      <c r="BG27" s="46"/>
      <c r="BH27" s="45"/>
    </row>
    <row r="28" spans="1:60" x14ac:dyDescent="0.3">
      <c r="A28" s="55"/>
      <c r="B28" s="47" t="s">
        <v>162</v>
      </c>
      <c r="C28" s="99" t="s">
        <v>163</v>
      </c>
      <c r="D28" s="46" t="s">
        <v>164</v>
      </c>
      <c r="E28" s="96">
        <v>0.752</v>
      </c>
      <c r="F28" s="46" t="s">
        <v>153</v>
      </c>
      <c r="G28" s="45" t="b">
        <f>TRUE()</f>
        <v>1</v>
      </c>
      <c r="H28" s="45" t="s">
        <v>476</v>
      </c>
      <c r="I28" s="99">
        <v>849</v>
      </c>
      <c r="J28" s="65">
        <f>IF(F28="LEVEL", 1, VLOOKUP(F28,ActivityStats!$C$4:$D$12,2,FALSE()))</f>
        <v>4.5650719455293802E-2</v>
      </c>
      <c r="K28" s="66">
        <f t="shared" si="0"/>
        <v>525600</v>
      </c>
      <c r="L28" s="66">
        <f t="shared" si="1"/>
        <v>23994.018145702423</v>
      </c>
      <c r="M28" s="67">
        <f t="shared" si="2"/>
        <v>4.5650719455293802E-2</v>
      </c>
      <c r="N28" s="46" t="b">
        <f>TRUE()</f>
        <v>1</v>
      </c>
      <c r="O28" s="103" t="b">
        <f t="shared" si="3"/>
        <v>1</v>
      </c>
      <c r="P28" s="67">
        <f>IF(O28 = FALSE(),1,ActivityStats!$D$12)</f>
        <v>0.47775902852124003</v>
      </c>
      <c r="Q28" s="87">
        <f t="shared" si="4"/>
        <v>251110.14539076376</v>
      </c>
      <c r="R28" s="67">
        <f>M28/P28</f>
        <v>9.5551767167209645E-2</v>
      </c>
      <c r="S28" s="112">
        <v>335.2</v>
      </c>
      <c r="T28" s="107">
        <v>0</v>
      </c>
      <c r="U28" s="107" t="b">
        <f t="shared" si="6"/>
        <v>0</v>
      </c>
      <c r="V28" s="45">
        <f t="shared" si="7"/>
        <v>2.2346666666666667E-2</v>
      </c>
      <c r="W28" s="110">
        <v>4</v>
      </c>
      <c r="X28" s="110">
        <v>0</v>
      </c>
      <c r="Y28" s="110">
        <v>0.5</v>
      </c>
      <c r="Z28" s="116">
        <f t="shared" si="9"/>
        <v>4.38</v>
      </c>
      <c r="AA28" s="116">
        <v>16</v>
      </c>
      <c r="AB28" s="69">
        <f>AA28-Z28</f>
        <v>11.620000000000001</v>
      </c>
      <c r="AC28" s="158">
        <f>AB28/((S28-Y28)*W28)*60*1000</f>
        <v>520.76486405736489</v>
      </c>
      <c r="AD28" s="88">
        <f t="shared" si="10"/>
        <v>2083.0594562294596</v>
      </c>
      <c r="AE28" s="88">
        <f t="shared" si="11"/>
        <v>0</v>
      </c>
      <c r="AF28" s="70">
        <f t="shared" si="12"/>
        <v>249027.08593453429</v>
      </c>
      <c r="AG28" s="70">
        <f t="shared" si="13"/>
        <v>23794.97813354533</v>
      </c>
      <c r="AH28" s="70">
        <f t="shared" ref="AH21:AH35" si="17">AG28/AC28</f>
        <v>45.692364780823986</v>
      </c>
      <c r="AI28" s="160">
        <f t="shared" si="16"/>
        <v>2.1885494541522974E-2</v>
      </c>
      <c r="AJ28" s="70">
        <f t="shared" si="14"/>
        <v>12.032</v>
      </c>
      <c r="AK28" s="45">
        <v>0.9</v>
      </c>
      <c r="AL28" s="45">
        <v>1</v>
      </c>
      <c r="AM28" s="48"/>
      <c r="AN28" s="52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6"/>
      <c r="AZ28" s="45"/>
      <c r="BA28" s="45"/>
      <c r="BB28" s="45"/>
      <c r="BC28" s="45"/>
      <c r="BD28" s="45"/>
      <c r="BE28" s="45"/>
      <c r="BF28" s="45"/>
      <c r="BG28" s="46"/>
      <c r="BH28" s="45"/>
    </row>
    <row r="29" spans="1:60" x14ac:dyDescent="0.3">
      <c r="A29" s="55"/>
      <c r="B29" s="47" t="s">
        <v>165</v>
      </c>
      <c r="C29" s="99" t="s">
        <v>166</v>
      </c>
      <c r="D29" s="46" t="s">
        <v>167</v>
      </c>
      <c r="E29" s="96">
        <v>0.94299999999999995</v>
      </c>
      <c r="F29" s="46" t="s">
        <v>168</v>
      </c>
      <c r="G29" s="45" t="b">
        <f>FALSE()</f>
        <v>0</v>
      </c>
      <c r="H29" s="45"/>
      <c r="I29" s="99">
        <v>820</v>
      </c>
      <c r="J29" s="65">
        <f>IF(F29="LEVEL", 1, VLOOKUP(F29,ActivityStats!$C$4:$D$12,2,FALSE()))</f>
        <v>0.22854942117493601</v>
      </c>
      <c r="K29" s="66">
        <f t="shared" si="0"/>
        <v>525600</v>
      </c>
      <c r="L29" s="66">
        <f t="shared" si="1"/>
        <v>120125.57576954637</v>
      </c>
      <c r="M29" s="67">
        <f t="shared" si="2"/>
        <v>0.22854942117493601</v>
      </c>
      <c r="N29" s="46" t="b">
        <f>TRUE()</f>
        <v>1</v>
      </c>
      <c r="O29" s="103" t="b">
        <f t="shared" si="3"/>
        <v>1</v>
      </c>
      <c r="P29" s="67">
        <f>IF(O29 = FALSE(),1,ActivityStats!$D$12)</f>
        <v>0.47775902852124003</v>
      </c>
      <c r="Q29" s="87">
        <f>P29*K29</f>
        <v>251110.14539076376</v>
      </c>
      <c r="R29" s="67">
        <f>M29/P29</f>
        <v>0.47837802643383276</v>
      </c>
      <c r="S29" s="112">
        <v>124</v>
      </c>
      <c r="T29" s="107">
        <v>0</v>
      </c>
      <c r="U29" s="107" t="b">
        <f t="shared" si="6"/>
        <v>0</v>
      </c>
      <c r="V29" s="45">
        <f t="shared" si="7"/>
        <v>0.15086666666666668</v>
      </c>
      <c r="W29" s="110">
        <v>73</v>
      </c>
      <c r="X29" s="110">
        <v>0</v>
      </c>
      <c r="Y29" s="99">
        <v>4.3</v>
      </c>
      <c r="Z29" s="116">
        <f>Y29*K29/(60*1000)</f>
        <v>37.667999999999999</v>
      </c>
      <c r="AA29" s="213">
        <v>127</v>
      </c>
      <c r="AB29" s="69">
        <f t="shared" si="8"/>
        <v>89.331999999999994</v>
      </c>
      <c r="AC29" s="158">
        <f t="shared" si="15"/>
        <v>613.39650496103263</v>
      </c>
      <c r="AD29" s="88">
        <f t="shared" si="10"/>
        <v>44777.944862155382</v>
      </c>
      <c r="AE29" s="88">
        <f t="shared" si="11"/>
        <v>0</v>
      </c>
      <c r="AF29" s="70">
        <f>Q29-AD29-AE29</f>
        <v>206332.20052860837</v>
      </c>
      <c r="AG29" s="70">
        <f>AF29*R29</f>
        <v>98704.790878625499</v>
      </c>
      <c r="AH29" s="70">
        <f t="shared" si="17"/>
        <v>160.91515044562561</v>
      </c>
      <c r="AI29" s="160">
        <f t="shared" si="16"/>
        <v>6.2144552407320227E-3</v>
      </c>
      <c r="AJ29" s="70">
        <f t="shared" si="14"/>
        <v>119.761</v>
      </c>
      <c r="AK29" s="45">
        <v>1</v>
      </c>
      <c r="AL29" s="45">
        <v>1</v>
      </c>
      <c r="AM29" s="48"/>
      <c r="AN29" s="90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46"/>
      <c r="AZ29" s="45"/>
      <c r="BA29" s="69"/>
      <c r="BB29" s="69"/>
      <c r="BC29" s="69"/>
      <c r="BD29" s="69"/>
      <c r="BE29" s="69"/>
      <c r="BF29" s="69"/>
      <c r="BG29" s="46"/>
      <c r="BH29" s="45"/>
    </row>
    <row r="30" spans="1:60" x14ac:dyDescent="0.3">
      <c r="A30" s="55"/>
      <c r="B30" s="47" t="s">
        <v>165</v>
      </c>
      <c r="C30" s="99" t="s">
        <v>169</v>
      </c>
      <c r="D30" s="46" t="s">
        <v>167</v>
      </c>
      <c r="E30" s="96">
        <v>0.61799999999999999</v>
      </c>
      <c r="F30" s="46" t="s">
        <v>168</v>
      </c>
      <c r="G30" s="45" t="b">
        <v>1</v>
      </c>
      <c r="H30" s="45" t="s">
        <v>476</v>
      </c>
      <c r="I30" s="99">
        <v>820</v>
      </c>
      <c r="J30" s="65">
        <f>IF(F30="LEVEL", 1, VLOOKUP(F30,ActivityStats!$C$4:$D$12,2,FALSE()))</f>
        <v>0.22854942117493601</v>
      </c>
      <c r="K30" s="66">
        <f t="shared" si="0"/>
        <v>525600</v>
      </c>
      <c r="L30" s="66">
        <f t="shared" si="1"/>
        <v>120125.57576954637</v>
      </c>
      <c r="M30" s="67">
        <f t="shared" si="2"/>
        <v>0.22854942117493601</v>
      </c>
      <c r="N30" s="46" t="b">
        <f>TRUE()</f>
        <v>1</v>
      </c>
      <c r="O30" s="103" t="b">
        <f t="shared" si="3"/>
        <v>1</v>
      </c>
      <c r="P30" s="67">
        <f>IF(O30 = FALSE(),1,ActivityStats!$D$12)</f>
        <v>0.47775902852124003</v>
      </c>
      <c r="Q30" s="87">
        <f>P30*K30</f>
        <v>251110.14539076376</v>
      </c>
      <c r="R30" s="67">
        <f t="shared" si="5"/>
        <v>0.47837802643383276</v>
      </c>
      <c r="S30" s="112">
        <v>124</v>
      </c>
      <c r="T30" s="107">
        <v>0</v>
      </c>
      <c r="U30" s="107" t="b">
        <f t="shared" si="6"/>
        <v>0</v>
      </c>
      <c r="V30" s="45">
        <f t="shared" si="7"/>
        <v>0.15086666666666668</v>
      </c>
      <c r="W30" s="110">
        <v>73</v>
      </c>
      <c r="X30" s="110">
        <v>0</v>
      </c>
      <c r="Y30" s="99">
        <v>4.3</v>
      </c>
      <c r="Z30" s="116">
        <f t="shared" si="9"/>
        <v>37.667999999999999</v>
      </c>
      <c r="AA30" s="213">
        <v>40</v>
      </c>
      <c r="AB30" s="69">
        <f t="shared" si="8"/>
        <v>2.3320000000000007</v>
      </c>
      <c r="AC30" s="158">
        <f t="shared" si="15"/>
        <v>16.012634325539882</v>
      </c>
      <c r="AD30" s="88">
        <f t="shared" si="10"/>
        <v>1168.9223057644112</v>
      </c>
      <c r="AE30" s="88">
        <f t="shared" si="11"/>
        <v>0</v>
      </c>
      <c r="AF30" s="70">
        <f t="shared" si="12"/>
        <v>249941.22308499936</v>
      </c>
      <c r="AG30" s="70">
        <f t="shared" si="13"/>
        <v>119566.38902386032</v>
      </c>
      <c r="AH30" s="70">
        <f t="shared" si="17"/>
        <v>7467.0030297984104</v>
      </c>
      <c r="AI30" s="160">
        <f t="shared" si="16"/>
        <v>1.3392253840119271E-4</v>
      </c>
      <c r="AJ30" s="70">
        <f t="shared" si="14"/>
        <v>24.72</v>
      </c>
      <c r="AK30" s="45">
        <v>1</v>
      </c>
      <c r="AL30" s="45">
        <v>1</v>
      </c>
      <c r="AM30" s="48"/>
      <c r="AN30" s="90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46"/>
      <c r="AZ30" s="45"/>
      <c r="BA30" s="69"/>
      <c r="BB30" s="69"/>
      <c r="BC30" s="69"/>
      <c r="BD30" s="69"/>
      <c r="BE30" s="69"/>
      <c r="BF30" s="69"/>
      <c r="BG30" s="46"/>
      <c r="BH30" s="45"/>
    </row>
    <row r="31" spans="1:60" x14ac:dyDescent="0.3">
      <c r="A31" s="55"/>
      <c r="B31" s="47" t="s">
        <v>170</v>
      </c>
      <c r="C31" s="99" t="s">
        <v>171</v>
      </c>
      <c r="D31" s="46" t="s">
        <v>172</v>
      </c>
      <c r="E31" s="96">
        <v>0.60699999999999998</v>
      </c>
      <c r="F31" s="46" t="s">
        <v>168</v>
      </c>
      <c r="G31" s="45" t="b">
        <f>TRUE()</f>
        <v>1</v>
      </c>
      <c r="H31" s="45" t="s">
        <v>476</v>
      </c>
      <c r="I31" s="99">
        <v>820</v>
      </c>
      <c r="J31" s="65">
        <f>IF(F31="LEVEL", 1, VLOOKUP(F31,ActivityStats!$C$4:$D$12,2,FALSE()))</f>
        <v>0.22854942117493601</v>
      </c>
      <c r="K31" s="66">
        <f t="shared" si="0"/>
        <v>525600</v>
      </c>
      <c r="L31" s="66">
        <f t="shared" si="1"/>
        <v>120125.57576954637</v>
      </c>
      <c r="M31" s="67">
        <f t="shared" si="2"/>
        <v>0.22854942117493601</v>
      </c>
      <c r="N31" s="46" t="b">
        <f>TRUE()</f>
        <v>1</v>
      </c>
      <c r="O31" s="103" t="b">
        <f t="shared" si="3"/>
        <v>1</v>
      </c>
      <c r="P31" s="67">
        <f>IF(O31 = FALSE(),1,ActivityStats!$D$12)</f>
        <v>0.47775902852124003</v>
      </c>
      <c r="Q31" s="87">
        <f t="shared" si="4"/>
        <v>251110.14539076376</v>
      </c>
      <c r="R31" s="67">
        <f t="shared" si="5"/>
        <v>0.47837802643383276</v>
      </c>
      <c r="S31" s="112">
        <v>33.552197352914298</v>
      </c>
      <c r="T31" s="107">
        <v>0</v>
      </c>
      <c r="U31" s="107" t="b">
        <f t="shared" si="6"/>
        <v>0</v>
      </c>
      <c r="V31" s="45">
        <f t="shared" si="7"/>
        <v>4.0821840112712393E-2</v>
      </c>
      <c r="W31" s="110">
        <v>73</v>
      </c>
      <c r="X31" s="110">
        <v>0</v>
      </c>
      <c r="Y31" s="99">
        <v>2</v>
      </c>
      <c r="Z31" s="116">
        <f>Y31*K31/(60*1000)</f>
        <v>17.52</v>
      </c>
      <c r="AA31" s="116">
        <v>18</v>
      </c>
      <c r="AB31" s="69">
        <f t="shared" si="8"/>
        <v>0.48000000000000043</v>
      </c>
      <c r="AC31" s="158">
        <f t="shared" si="15"/>
        <v>12.503742402865207</v>
      </c>
      <c r="AD31" s="88">
        <f t="shared" si="10"/>
        <v>912.77319540916005</v>
      </c>
      <c r="AE31" s="88">
        <f t="shared" si="11"/>
        <v>0</v>
      </c>
      <c r="AF31" s="70">
        <f>Q31-AD31-AE31</f>
        <v>250197.3721953546</v>
      </c>
      <c r="AG31" s="70">
        <f t="shared" si="13"/>
        <v>119688.92512974484</v>
      </c>
      <c r="AH31" s="70">
        <f t="shared" si="17"/>
        <v>9572.2481536662472</v>
      </c>
      <c r="AI31" s="160">
        <f t="shared" si="16"/>
        <v>1.0446866649784795E-4</v>
      </c>
      <c r="AJ31" s="70">
        <f t="shared" si="14"/>
        <v>10.926</v>
      </c>
      <c r="AK31" s="45">
        <v>1</v>
      </c>
      <c r="AL31" s="45">
        <v>1</v>
      </c>
      <c r="AM31" s="48"/>
      <c r="AN31" s="90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46"/>
      <c r="AZ31" s="45"/>
      <c r="BA31" s="69"/>
      <c r="BB31" s="69"/>
      <c r="BC31" s="69"/>
      <c r="BD31" s="69"/>
      <c r="BE31" s="69"/>
      <c r="BF31" s="69"/>
      <c r="BG31" s="46"/>
      <c r="BH31" s="45"/>
    </row>
    <row r="32" spans="1:60" x14ac:dyDescent="0.3">
      <c r="A32" s="55"/>
      <c r="B32" s="45" t="s">
        <v>173</v>
      </c>
      <c r="C32" s="99" t="s">
        <v>174</v>
      </c>
      <c r="D32" s="46" t="s">
        <v>175</v>
      </c>
      <c r="E32" s="96">
        <v>0.92700000000000005</v>
      </c>
      <c r="F32" s="46" t="s">
        <v>168</v>
      </c>
      <c r="G32" s="45" t="b">
        <f>FALSE()</f>
        <v>0</v>
      </c>
      <c r="H32" s="45"/>
      <c r="I32" s="99">
        <v>820</v>
      </c>
      <c r="J32" s="65">
        <f>IF(F32="LEVEL", 1, VLOOKUP(F32,ActivityStats!$C$4:$D$12,2,FALSE()))</f>
        <v>0.22854942117493601</v>
      </c>
      <c r="K32" s="66">
        <f t="shared" si="0"/>
        <v>525600</v>
      </c>
      <c r="L32" s="66">
        <f>J32*K32</f>
        <v>120125.57576954637</v>
      </c>
      <c r="M32" s="67">
        <f t="shared" si="2"/>
        <v>0.22854942117493601</v>
      </c>
      <c r="N32" s="46" t="b">
        <f>TRUE()</f>
        <v>1</v>
      </c>
      <c r="O32" s="103" t="b">
        <f t="shared" si="3"/>
        <v>1</v>
      </c>
      <c r="P32" s="67">
        <f>IF(O32 = FALSE(),1,ActivityStats!$D$12)</f>
        <v>0.47775902852124003</v>
      </c>
      <c r="Q32" s="87">
        <f t="shared" si="4"/>
        <v>251110.14539076376</v>
      </c>
      <c r="R32" s="67">
        <f t="shared" si="5"/>
        <v>0.47837802643383276</v>
      </c>
      <c r="S32" s="112">
        <v>26.8237423726735</v>
      </c>
      <c r="T32" s="107">
        <v>0</v>
      </c>
      <c r="U32" s="107" t="b">
        <f t="shared" si="6"/>
        <v>0</v>
      </c>
      <c r="V32" s="45">
        <f t="shared" si="7"/>
        <v>3.2635553220086093E-2</v>
      </c>
      <c r="W32" s="110">
        <v>73</v>
      </c>
      <c r="X32" s="110">
        <v>0</v>
      </c>
      <c r="Y32" s="99">
        <v>7.2</v>
      </c>
      <c r="Z32" s="116">
        <f>Y32*K32/(60*1000)</f>
        <v>63.072000000000003</v>
      </c>
      <c r="AA32" s="116">
        <v>104</v>
      </c>
      <c r="AB32" s="69">
        <f t="shared" si="8"/>
        <v>40.927999999999997</v>
      </c>
      <c r="AC32" s="158">
        <f t="shared" si="15"/>
        <v>1714.2220589706785</v>
      </c>
      <c r="AD32" s="88">
        <f t="shared" si="10"/>
        <v>125138.21030485953</v>
      </c>
      <c r="AE32" s="88">
        <f t="shared" si="11"/>
        <v>0</v>
      </c>
      <c r="AF32" s="70">
        <f>Q32-AD32-AE32</f>
        <v>125971.93508590423</v>
      </c>
      <c r="AG32" s="70">
        <f t="shared" si="13"/>
        <v>60262.205692445757</v>
      </c>
      <c r="AH32" s="70">
        <f t="shared" si="17"/>
        <v>35.154258677916438</v>
      </c>
      <c r="AI32" s="160">
        <f t="shared" si="16"/>
        <v>2.8446055687363712E-2</v>
      </c>
      <c r="AJ32" s="70">
        <f t="shared" si="14"/>
        <v>96.408000000000001</v>
      </c>
      <c r="AK32" s="45">
        <v>1</v>
      </c>
      <c r="AL32" s="45">
        <v>1</v>
      </c>
      <c r="AM32" s="48"/>
      <c r="AN32" s="52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6"/>
      <c r="AZ32" s="45"/>
      <c r="BA32" s="45"/>
      <c r="BB32" s="45"/>
      <c r="BC32" s="45"/>
      <c r="BD32" s="45"/>
      <c r="BE32" s="45"/>
      <c r="BF32" s="45"/>
      <c r="BG32" s="46"/>
      <c r="BH32" s="45"/>
    </row>
    <row r="33" spans="1:60" x14ac:dyDescent="0.3">
      <c r="A33" s="55"/>
      <c r="B33" s="47" t="s">
        <v>176</v>
      </c>
      <c r="C33" s="99" t="s">
        <v>177</v>
      </c>
      <c r="D33" s="46" t="s">
        <v>178</v>
      </c>
      <c r="E33" s="96">
        <v>0.29699999999999999</v>
      </c>
      <c r="F33" s="46" t="s">
        <v>153</v>
      </c>
      <c r="G33" s="45" t="b">
        <f>TRUE()</f>
        <v>1</v>
      </c>
      <c r="H33" s="45" t="s">
        <v>476</v>
      </c>
      <c r="I33" s="99">
        <v>763</v>
      </c>
      <c r="J33" s="65">
        <f>IF(F33="LEVEL", 1, VLOOKUP(F33,ActivityStats!$C$4:$D$12,2,FALSE()))</f>
        <v>4.5650719455293802E-2</v>
      </c>
      <c r="K33" s="66">
        <f t="shared" si="0"/>
        <v>525600</v>
      </c>
      <c r="L33" s="66">
        <f t="shared" si="1"/>
        <v>23994.018145702423</v>
      </c>
      <c r="M33" s="67">
        <f>L33/K33</f>
        <v>4.5650719455293802E-2</v>
      </c>
      <c r="N33" s="46" t="b">
        <f>TRUE()</f>
        <v>1</v>
      </c>
      <c r="O33" s="103" t="b">
        <f t="shared" si="3"/>
        <v>1</v>
      </c>
      <c r="P33" s="67">
        <f>IF(O33 = FALSE(),1,ActivityStats!$D$12)</f>
        <v>0.47775902852124003</v>
      </c>
      <c r="Q33" s="87">
        <f t="shared" si="4"/>
        <v>251110.14539076376</v>
      </c>
      <c r="R33" s="67">
        <f t="shared" si="5"/>
        <v>9.5551767167209645E-2</v>
      </c>
      <c r="S33" s="112">
        <v>84</v>
      </c>
      <c r="T33" s="107">
        <v>0</v>
      </c>
      <c r="U33" s="107" t="b">
        <f t="shared" si="6"/>
        <v>0</v>
      </c>
      <c r="V33" s="45">
        <f t="shared" si="7"/>
        <v>0.1134</v>
      </c>
      <c r="W33" s="114">
        <v>81</v>
      </c>
      <c r="X33" s="110">
        <v>0</v>
      </c>
      <c r="Y33" s="110">
        <v>1</v>
      </c>
      <c r="Z33" s="116">
        <f>Y33*K33/(60*1000)</f>
        <v>8.76</v>
      </c>
      <c r="AA33" s="116">
        <v>87</v>
      </c>
      <c r="AB33" s="69">
        <f t="shared" si="8"/>
        <v>78.239999999999995</v>
      </c>
      <c r="AC33" s="158">
        <f t="shared" si="15"/>
        <v>698.25970548862119</v>
      </c>
      <c r="AD33" s="88">
        <f t="shared" si="10"/>
        <v>56559.03614457832</v>
      </c>
      <c r="AE33" s="88">
        <f t="shared" si="11"/>
        <v>0</v>
      </c>
      <c r="AF33" s="70">
        <f t="shared" si="12"/>
        <v>194551.10924618546</v>
      </c>
      <c r="AG33" s="70">
        <f t="shared" si="13"/>
        <v>18589.702292813879</v>
      </c>
      <c r="AH33" s="70">
        <f t="shared" si="17"/>
        <v>26.622905699256073</v>
      </c>
      <c r="AI33" s="160">
        <f t="shared" si="16"/>
        <v>3.7561640013920164E-2</v>
      </c>
      <c r="AJ33" s="70">
        <f t="shared" si="14"/>
        <v>25.838999999999999</v>
      </c>
      <c r="AK33" s="45">
        <v>1</v>
      </c>
      <c r="AL33" s="45">
        <v>1</v>
      </c>
      <c r="AM33" s="48"/>
      <c r="AN33" s="52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6"/>
      <c r="AZ33" s="45"/>
      <c r="BA33" s="45"/>
      <c r="BB33" s="45"/>
      <c r="BC33" s="45"/>
      <c r="BD33" s="45"/>
      <c r="BE33" s="45"/>
      <c r="BF33" s="45"/>
      <c r="BG33" s="46"/>
      <c r="BH33" s="45"/>
    </row>
    <row r="34" spans="1:60" x14ac:dyDescent="0.3">
      <c r="A34" s="55"/>
      <c r="B34" s="47" t="s">
        <v>422</v>
      </c>
      <c r="C34" s="99" t="s">
        <v>423</v>
      </c>
      <c r="D34" s="46" t="s">
        <v>424</v>
      </c>
      <c r="E34" s="96">
        <v>1</v>
      </c>
      <c r="F34" s="46" t="s">
        <v>131</v>
      </c>
      <c r="G34" s="45" t="b">
        <f>FALSE()</f>
        <v>0</v>
      </c>
      <c r="H34" s="45"/>
      <c r="I34" s="99"/>
      <c r="J34" s="65">
        <v>1</v>
      </c>
      <c r="K34" s="66">
        <f t="shared" si="0"/>
        <v>525600</v>
      </c>
      <c r="L34" s="66">
        <f t="shared" si="1"/>
        <v>525600</v>
      </c>
      <c r="M34" s="67">
        <f>L34/K34</f>
        <v>1</v>
      </c>
      <c r="N34" s="46" t="b">
        <f>FALSE()</f>
        <v>0</v>
      </c>
      <c r="O34" s="104" t="b">
        <f>FALSE()</f>
        <v>0</v>
      </c>
      <c r="P34" s="67">
        <f>IF(O34 = FALSE(),1,ActivityStats!$D$12)</f>
        <v>1</v>
      </c>
      <c r="Q34" s="87">
        <f t="shared" si="4"/>
        <v>525600</v>
      </c>
      <c r="R34" s="67">
        <f t="shared" si="5"/>
        <v>1</v>
      </c>
      <c r="S34" s="112">
        <f>AB34/365/24*1000</f>
        <v>9.589041095890412</v>
      </c>
      <c r="T34" s="107">
        <v>0</v>
      </c>
      <c r="U34" s="107" t="b">
        <f t="shared" si="6"/>
        <v>0</v>
      </c>
      <c r="V34" s="45">
        <f>S34*W34/(60*1000)</f>
        <v>84.000000000000014</v>
      </c>
      <c r="W34" s="114">
        <f>24*60 * 365</f>
        <v>525600</v>
      </c>
      <c r="X34" s="110">
        <v>0</v>
      </c>
      <c r="Y34" s="132">
        <v>0</v>
      </c>
      <c r="Z34" s="116">
        <f t="shared" si="9"/>
        <v>0</v>
      </c>
      <c r="AA34" s="116">
        <v>84</v>
      </c>
      <c r="AB34" s="69">
        <f>AA34-Z34</f>
        <v>84</v>
      </c>
      <c r="AC34" s="158">
        <f>AB34/((S34-Y34)*W34)*60*1000</f>
        <v>0.99999999999999978</v>
      </c>
      <c r="AD34" s="88">
        <f t="shared" si="10"/>
        <v>525599.99999999988</v>
      </c>
      <c r="AE34" s="88">
        <f>AC34*X34</f>
        <v>0</v>
      </c>
      <c r="AF34" s="70">
        <f>Q34-AD34-AE34</f>
        <v>1.1641532182693481E-10</v>
      </c>
      <c r="AG34" s="70">
        <f t="shared" si="13"/>
        <v>1.1641532182693481E-10</v>
      </c>
      <c r="AH34" s="70">
        <f>AG34/AC34+1</f>
        <v>1.0000000001164153</v>
      </c>
      <c r="AI34" s="160">
        <f>1/AH34</f>
        <v>0.99999999988358468</v>
      </c>
      <c r="AJ34" s="70">
        <f t="shared" si="14"/>
        <v>84</v>
      </c>
      <c r="AK34" s="45">
        <v>1</v>
      </c>
      <c r="AL34" s="45">
        <v>1</v>
      </c>
      <c r="AM34" s="48"/>
      <c r="AN34" s="52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6"/>
      <c r="AZ34" s="45"/>
      <c r="BA34" s="45"/>
      <c r="BB34" s="45"/>
      <c r="BC34" s="45"/>
      <c r="BD34" s="45"/>
      <c r="BE34" s="45"/>
      <c r="BF34" s="45"/>
      <c r="BG34" s="46"/>
      <c r="BH34" s="45"/>
    </row>
    <row r="35" spans="1:60" x14ac:dyDescent="0.3">
      <c r="A35" s="55" t="s">
        <v>179</v>
      </c>
      <c r="B35" s="47" t="s">
        <v>180</v>
      </c>
      <c r="C35" s="99" t="s">
        <v>181</v>
      </c>
      <c r="D35" s="46" t="s">
        <v>182</v>
      </c>
      <c r="E35" s="96">
        <v>0.94</v>
      </c>
      <c r="F35" s="46" t="s">
        <v>183</v>
      </c>
      <c r="G35" s="46" t="b">
        <f>TRUE()</f>
        <v>1</v>
      </c>
      <c r="H35" s="45" t="s">
        <v>476</v>
      </c>
      <c r="I35" s="99">
        <v>412</v>
      </c>
      <c r="J35" s="65">
        <f>IF(F35="LEVEL", 1, VLOOKUP(F35,ActivityStats!$C$4:$D$12,2,FALSE()))</f>
        <v>6.06130677183567E-2</v>
      </c>
      <c r="K35" s="66">
        <f t="shared" si="0"/>
        <v>525600</v>
      </c>
      <c r="L35" s="66">
        <f t="shared" si="1"/>
        <v>31858.22839276828</v>
      </c>
      <c r="M35" s="67">
        <f t="shared" si="2"/>
        <v>6.06130677183567E-2</v>
      </c>
      <c r="N35" s="46" t="b">
        <f>TRUE()</f>
        <v>1</v>
      </c>
      <c r="O35" s="103" t="b">
        <f t="shared" si="3"/>
        <v>1</v>
      </c>
      <c r="P35" s="67">
        <f>IF(O35 = FALSE(),1,ActivityStats!$D$12)</f>
        <v>0.47775902852124003</v>
      </c>
      <c r="Q35" s="87">
        <f t="shared" si="4"/>
        <v>251110.14539076376</v>
      </c>
      <c r="R35" s="67">
        <f t="shared" si="5"/>
        <v>0.12686953903512049</v>
      </c>
      <c r="S35" s="112">
        <v>2400</v>
      </c>
      <c r="T35" s="107">
        <v>0</v>
      </c>
      <c r="U35" s="107" t="b">
        <f t="shared" si="6"/>
        <v>0</v>
      </c>
      <c r="V35" s="45">
        <f t="shared" si="7"/>
        <v>0.64</v>
      </c>
      <c r="W35" s="110">
        <v>16</v>
      </c>
      <c r="X35" s="110">
        <v>0</v>
      </c>
      <c r="Y35" s="99">
        <v>0.5</v>
      </c>
      <c r="Z35" s="116">
        <f>Y35*K35/(60*1000)</f>
        <v>4.38</v>
      </c>
      <c r="AA35" s="116">
        <v>177</v>
      </c>
      <c r="AB35" s="69">
        <f>AA35-Z35</f>
        <v>172.62</v>
      </c>
      <c r="AC35" s="158">
        <f t="shared" si="15"/>
        <v>269.77495311523234</v>
      </c>
      <c r="AD35" s="88">
        <f t="shared" si="10"/>
        <v>4316.3992498437174</v>
      </c>
      <c r="AE35" s="88">
        <f t="shared" si="11"/>
        <v>0</v>
      </c>
      <c r="AF35" s="70">
        <f t="shared" si="12"/>
        <v>246793.74614092003</v>
      </c>
      <c r="AG35" s="70">
        <f t="shared" si="13"/>
        <v>31310.608809649071</v>
      </c>
      <c r="AH35" s="70">
        <f t="shared" si="17"/>
        <v>116.06195626424585</v>
      </c>
      <c r="AI35" s="160">
        <f t="shared" si="16"/>
        <v>8.6160877533654062E-3</v>
      </c>
      <c r="AJ35" s="70">
        <f t="shared" si="14"/>
        <v>166.38</v>
      </c>
      <c r="AK35" s="45">
        <v>1</v>
      </c>
      <c r="AL35" s="45">
        <v>0.3</v>
      </c>
      <c r="AM35" s="48"/>
      <c r="AN35" s="52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6"/>
      <c r="AZ35" s="45"/>
      <c r="BA35" s="45"/>
      <c r="BB35" s="45"/>
      <c r="BC35" s="45"/>
      <c r="BD35" s="45"/>
      <c r="BE35" s="45"/>
      <c r="BF35" s="45"/>
      <c r="BG35" s="46"/>
      <c r="BH35" s="45"/>
    </row>
    <row r="36" spans="1:60" x14ac:dyDescent="0.3">
      <c r="A36" s="55"/>
      <c r="B36" s="47" t="s">
        <v>184</v>
      </c>
      <c r="C36" s="99" t="s">
        <v>185</v>
      </c>
      <c r="D36" s="46" t="s">
        <v>186</v>
      </c>
      <c r="E36" s="96">
        <v>6.0999999999999999E-2</v>
      </c>
      <c r="F36" s="46" t="s">
        <v>183</v>
      </c>
      <c r="G36" s="46" t="b">
        <f>TRUE()</f>
        <v>1</v>
      </c>
      <c r="H36" s="45" t="s">
        <v>476</v>
      </c>
      <c r="I36" s="99">
        <v>412</v>
      </c>
      <c r="J36" s="65">
        <f>IF(F36="LEVEL", 1, VLOOKUP(F36,ActivityStats!$C$4:$D$12,2,FALSE()))</f>
        <v>6.06130677183567E-2</v>
      </c>
      <c r="K36" s="66">
        <f t="shared" si="0"/>
        <v>525600</v>
      </c>
      <c r="L36" s="66">
        <f t="shared" si="1"/>
        <v>31858.22839276828</v>
      </c>
      <c r="M36" s="67">
        <f t="shared" si="2"/>
        <v>6.06130677183567E-2</v>
      </c>
      <c r="N36" s="46" t="b">
        <f>TRUE()</f>
        <v>1</v>
      </c>
      <c r="O36" s="103" t="b">
        <f t="shared" si="3"/>
        <v>1</v>
      </c>
      <c r="P36" s="67">
        <f>IF(O36 = FALSE(),1,ActivityStats!$D$12)</f>
        <v>0.47775902852124003</v>
      </c>
      <c r="Q36" s="87">
        <f t="shared" si="4"/>
        <v>251110.14539076376</v>
      </c>
      <c r="R36" s="67">
        <f t="shared" si="5"/>
        <v>0.12686953903512049</v>
      </c>
      <c r="S36" s="159">
        <v>0</v>
      </c>
      <c r="T36" s="107">
        <v>0</v>
      </c>
      <c r="U36" s="107" t="b">
        <f t="shared" si="6"/>
        <v>0</v>
      </c>
      <c r="V36" s="45">
        <f t="shared" si="7"/>
        <v>0</v>
      </c>
      <c r="W36" s="110">
        <v>16</v>
      </c>
      <c r="X36" s="110">
        <v>0</v>
      </c>
      <c r="Y36" s="99">
        <v>0</v>
      </c>
      <c r="Z36" s="116">
        <f t="shared" si="9"/>
        <v>0</v>
      </c>
      <c r="AA36" s="116">
        <v>0</v>
      </c>
      <c r="AB36" s="69">
        <f t="shared" si="8"/>
        <v>0</v>
      </c>
      <c r="AC36" s="158">
        <v>0</v>
      </c>
      <c r="AD36" s="88">
        <f t="shared" si="10"/>
        <v>0</v>
      </c>
      <c r="AE36" s="88">
        <f t="shared" si="11"/>
        <v>0</v>
      </c>
      <c r="AF36" s="70">
        <f t="shared" si="12"/>
        <v>251110.14539076376</v>
      </c>
      <c r="AG36" s="70">
        <f t="shared" si="13"/>
        <v>31858.228392768284</v>
      </c>
      <c r="AH36" s="70">
        <v>0</v>
      </c>
      <c r="AI36" s="160">
        <v>0</v>
      </c>
      <c r="AJ36" s="70">
        <f t="shared" si="14"/>
        <v>0</v>
      </c>
      <c r="AK36" s="45">
        <v>1</v>
      </c>
      <c r="AL36" s="45">
        <v>0.3</v>
      </c>
      <c r="AM36" s="48"/>
      <c r="AN36" s="52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6"/>
      <c r="AZ36" s="45"/>
      <c r="BA36" s="45"/>
      <c r="BB36" s="45"/>
      <c r="BC36" s="45"/>
      <c r="BD36" s="45"/>
      <c r="BE36" s="45"/>
      <c r="BF36" s="45"/>
      <c r="BG36" s="46"/>
      <c r="BH36" s="45"/>
    </row>
    <row r="37" spans="1:60" x14ac:dyDescent="0.3">
      <c r="A37" s="55"/>
      <c r="B37" s="45" t="s">
        <v>187</v>
      </c>
      <c r="C37" s="99" t="s">
        <v>188</v>
      </c>
      <c r="D37" s="46" t="s">
        <v>189</v>
      </c>
      <c r="E37" s="98">
        <v>0.61599999999999999</v>
      </c>
      <c r="F37" s="46" t="s">
        <v>183</v>
      </c>
      <c r="G37" s="46" t="b">
        <f>TRUE()</f>
        <v>1</v>
      </c>
      <c r="H37" s="45" t="s">
        <v>476</v>
      </c>
      <c r="I37" s="99">
        <v>412</v>
      </c>
      <c r="J37" s="65">
        <f>IF(F37="LEVEL", 1, VLOOKUP(F37,ActivityStats!$C$4:$D$12,2,FALSE()))</f>
        <v>6.06130677183567E-2</v>
      </c>
      <c r="K37" s="66">
        <f t="shared" si="0"/>
        <v>525600</v>
      </c>
      <c r="L37" s="66">
        <f t="shared" si="1"/>
        <v>31858.22839276828</v>
      </c>
      <c r="M37" s="67">
        <f t="shared" si="2"/>
        <v>6.06130677183567E-2</v>
      </c>
      <c r="N37" s="46" t="b">
        <f>TRUE()</f>
        <v>1</v>
      </c>
      <c r="O37" s="103" t="b">
        <f t="shared" si="3"/>
        <v>1</v>
      </c>
      <c r="P37" s="67">
        <f>IF(O37 = FALSE(),1,ActivityStats!$D$12)</f>
        <v>0.47775902852124003</v>
      </c>
      <c r="Q37" s="87">
        <f t="shared" si="4"/>
        <v>251110.14539076376</v>
      </c>
      <c r="R37" s="67">
        <f t="shared" si="5"/>
        <v>0.12686953903512049</v>
      </c>
      <c r="S37" s="112">
        <v>2125</v>
      </c>
      <c r="T37" s="107">
        <v>0</v>
      </c>
      <c r="U37" s="107" t="b">
        <f t="shared" si="6"/>
        <v>0</v>
      </c>
      <c r="V37" s="45">
        <f t="shared" si="7"/>
        <v>0.95625000000000004</v>
      </c>
      <c r="W37" s="110">
        <v>27</v>
      </c>
      <c r="X37" s="110">
        <v>0</v>
      </c>
      <c r="Y37" s="99">
        <v>4.2</v>
      </c>
      <c r="Z37" s="116">
        <f t="shared" si="9"/>
        <v>36.792000000000002</v>
      </c>
      <c r="AA37" s="115">
        <v>49</v>
      </c>
      <c r="AB37" s="69">
        <f t="shared" si="8"/>
        <v>12.207999999999998</v>
      </c>
      <c r="AC37" s="158">
        <f t="shared" ref="AC37:AC43" si="18">AB37/((S37-Y37)*W37)*60*1000</f>
        <v>12.791818600947229</v>
      </c>
      <c r="AD37" s="88">
        <f t="shared" si="10"/>
        <v>345.3791022255752</v>
      </c>
      <c r="AE37" s="88">
        <f t="shared" si="11"/>
        <v>0</v>
      </c>
      <c r="AF37" s="70">
        <f t="shared" si="12"/>
        <v>250764.7662885382</v>
      </c>
      <c r="AG37" s="70">
        <f t="shared" si="13"/>
        <v>31814.410305276564</v>
      </c>
      <c r="AH37" s="70">
        <f t="shared" ref="AH37:AH47" si="19">AG37/AC37</f>
        <v>2487.0904832031247</v>
      </c>
      <c r="AI37" s="160">
        <f>1/AH37</f>
        <v>4.0207624401027007E-4</v>
      </c>
      <c r="AJ37" s="70">
        <f t="shared" si="14"/>
        <v>30.184000000000001</v>
      </c>
      <c r="AK37" s="45">
        <v>1</v>
      </c>
      <c r="AL37" s="45">
        <v>0.6</v>
      </c>
      <c r="AM37" s="48"/>
      <c r="AN37" s="90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46"/>
      <c r="AZ37" s="45"/>
      <c r="BA37" s="69"/>
      <c r="BB37" s="69"/>
      <c r="BC37" s="69"/>
      <c r="BD37" s="69"/>
      <c r="BE37" s="69"/>
      <c r="BF37" s="69"/>
      <c r="BG37" s="46"/>
      <c r="BH37" s="45"/>
    </row>
    <row r="38" spans="1:60" x14ac:dyDescent="0.3">
      <c r="A38" s="55"/>
      <c r="B38" s="47" t="s">
        <v>190</v>
      </c>
      <c r="C38" s="99" t="s">
        <v>191</v>
      </c>
      <c r="D38" s="46" t="s">
        <v>192</v>
      </c>
      <c r="E38" s="96">
        <v>0.71299999999999997</v>
      </c>
      <c r="F38" s="46" t="s">
        <v>183</v>
      </c>
      <c r="G38" s="46" t="b">
        <f>TRUE()</f>
        <v>1</v>
      </c>
      <c r="H38" s="45" t="s">
        <v>476</v>
      </c>
      <c r="I38" s="99">
        <v>412</v>
      </c>
      <c r="J38" s="65">
        <f>IF(F38="LEVEL", 1, VLOOKUP(F38,ActivityStats!$C$4:$D$12,2,FALSE()))</f>
        <v>6.06130677183567E-2</v>
      </c>
      <c r="K38" s="66">
        <f t="shared" si="0"/>
        <v>525600</v>
      </c>
      <c r="L38" s="66">
        <f t="shared" si="1"/>
        <v>31858.22839276828</v>
      </c>
      <c r="M38" s="67">
        <f t="shared" si="2"/>
        <v>6.06130677183567E-2</v>
      </c>
      <c r="N38" s="46" t="b">
        <f>TRUE()</f>
        <v>1</v>
      </c>
      <c r="O38" s="103" t="b">
        <f t="shared" si="3"/>
        <v>1</v>
      </c>
      <c r="P38" s="67">
        <f>IF(O38 = FALSE(),1,ActivityStats!$D$12)</f>
        <v>0.47775902852124003</v>
      </c>
      <c r="Q38" s="87">
        <f t="shared" si="4"/>
        <v>251110.14539076376</v>
      </c>
      <c r="R38" s="67">
        <f t="shared" si="5"/>
        <v>0.12686953903512049</v>
      </c>
      <c r="S38" s="112">
        <v>1250</v>
      </c>
      <c r="T38" s="107">
        <v>0</v>
      </c>
      <c r="U38" s="107" t="b">
        <f t="shared" si="6"/>
        <v>0</v>
      </c>
      <c r="V38" s="45">
        <f t="shared" si="7"/>
        <v>0.625</v>
      </c>
      <c r="W38" s="110">
        <v>30</v>
      </c>
      <c r="X38" s="110">
        <v>0</v>
      </c>
      <c r="Y38" s="99">
        <v>3.2</v>
      </c>
      <c r="Z38" s="116">
        <f t="shared" si="9"/>
        <v>28.032</v>
      </c>
      <c r="AA38" s="116">
        <v>55</v>
      </c>
      <c r="AB38" s="69">
        <f t="shared" si="8"/>
        <v>26.968</v>
      </c>
      <c r="AC38" s="158">
        <f t="shared" si="18"/>
        <v>43.259544433750399</v>
      </c>
      <c r="AD38" s="88">
        <f t="shared" si="10"/>
        <v>1297.7863330125119</v>
      </c>
      <c r="AE38" s="88">
        <f t="shared" si="11"/>
        <v>0</v>
      </c>
      <c r="AF38" s="70">
        <f t="shared" si="12"/>
        <v>249812.35905775125</v>
      </c>
      <c r="AG38" s="70">
        <f t="shared" si="13"/>
        <v>31693.57883893291</v>
      </c>
      <c r="AH38" s="70">
        <f>AG38/AC38</f>
        <v>732.6378318077268</v>
      </c>
      <c r="AI38" s="160">
        <f t="shared" ref="AI37:AI47" si="20">1/AH38</f>
        <v>1.3649308793303478E-3</v>
      </c>
      <c r="AJ38" s="70">
        <f t="shared" si="14"/>
        <v>39.214999999999996</v>
      </c>
      <c r="AK38" s="45">
        <v>1</v>
      </c>
      <c r="AL38" s="45">
        <v>1</v>
      </c>
      <c r="AM38" s="48"/>
      <c r="AN38" s="90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46"/>
      <c r="AZ38" s="45"/>
      <c r="BA38" s="69"/>
      <c r="BB38" s="69"/>
      <c r="BC38" s="69"/>
      <c r="BD38" s="69"/>
      <c r="BE38" s="69"/>
      <c r="BF38" s="69"/>
      <c r="BG38" s="46"/>
      <c r="BH38" s="45"/>
    </row>
    <row r="39" spans="1:60" x14ac:dyDescent="0.3">
      <c r="A39" s="55"/>
      <c r="B39" s="45" t="s">
        <v>193</v>
      </c>
      <c r="C39" s="99" t="s">
        <v>194</v>
      </c>
      <c r="D39" s="46" t="s">
        <v>195</v>
      </c>
      <c r="E39" s="98">
        <v>0.97499999999999998</v>
      </c>
      <c r="F39" s="46" t="s">
        <v>141</v>
      </c>
      <c r="G39" s="46" t="b">
        <f>TRUE()</f>
        <v>1</v>
      </c>
      <c r="H39" s="45" t="s">
        <v>476</v>
      </c>
      <c r="I39" s="99">
        <v>419</v>
      </c>
      <c r="J39" s="65">
        <f>IF(F39="LEVEL", 1, VLOOKUP(F39,ActivityStats!$C$4:$D$12,2,FALSE()))</f>
        <v>0.47775902852124003</v>
      </c>
      <c r="K39" s="66">
        <f t="shared" si="0"/>
        <v>525600</v>
      </c>
      <c r="L39" s="66">
        <f t="shared" si="1"/>
        <v>251110.14539076376</v>
      </c>
      <c r="M39" s="67">
        <f t="shared" si="2"/>
        <v>0.47775902852124003</v>
      </c>
      <c r="N39" s="46" t="b">
        <f>TRUE()</f>
        <v>1</v>
      </c>
      <c r="O39" s="103" t="b">
        <f t="shared" si="3"/>
        <v>1</v>
      </c>
      <c r="P39" s="67">
        <f>IF(O39 = FALSE(),1,ActivityStats!$D$12)</f>
        <v>0.47775902852124003</v>
      </c>
      <c r="Q39" s="87">
        <f t="shared" si="4"/>
        <v>251110.14539076376</v>
      </c>
      <c r="R39" s="67">
        <f t="shared" si="5"/>
        <v>1</v>
      </c>
      <c r="S39" s="112">
        <v>2000</v>
      </c>
      <c r="T39" s="107">
        <v>0</v>
      </c>
      <c r="U39" s="107" t="b">
        <f t="shared" si="6"/>
        <v>0</v>
      </c>
      <c r="V39" s="45">
        <f t="shared" si="7"/>
        <v>0.1</v>
      </c>
      <c r="W39" s="110">
        <v>3</v>
      </c>
      <c r="X39" s="110">
        <v>0</v>
      </c>
      <c r="Y39" s="99">
        <v>0</v>
      </c>
      <c r="Z39" s="116">
        <f t="shared" si="9"/>
        <v>0</v>
      </c>
      <c r="AA39" s="116">
        <v>108</v>
      </c>
      <c r="AB39" s="69">
        <f t="shared" si="8"/>
        <v>108</v>
      </c>
      <c r="AC39" s="158">
        <f t="shared" si="18"/>
        <v>1079.9999999999998</v>
      </c>
      <c r="AD39" s="88">
        <f t="shared" si="10"/>
        <v>3239.9999999999991</v>
      </c>
      <c r="AE39" s="88">
        <f t="shared" si="11"/>
        <v>0</v>
      </c>
      <c r="AF39" s="70">
        <f t="shared" si="12"/>
        <v>247870.14539076376</v>
      </c>
      <c r="AG39" s="70">
        <f t="shared" si="13"/>
        <v>247870.14539076376</v>
      </c>
      <c r="AH39" s="70">
        <f t="shared" si="19"/>
        <v>229.50939388033686</v>
      </c>
      <c r="AI39" s="160">
        <f>1/AH39</f>
        <v>4.3571201295637893E-3</v>
      </c>
      <c r="AJ39" s="70">
        <f t="shared" si="14"/>
        <v>105.3</v>
      </c>
      <c r="AK39" s="45">
        <v>1</v>
      </c>
      <c r="AL39" s="45">
        <v>1</v>
      </c>
      <c r="AM39" s="48"/>
      <c r="AN39" s="52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6"/>
      <c r="AZ39" s="45"/>
      <c r="BA39" s="45"/>
      <c r="BB39" s="45"/>
      <c r="BC39" s="45"/>
      <c r="BD39" s="45"/>
      <c r="BE39" s="45"/>
      <c r="BF39" s="45"/>
      <c r="BG39" s="46"/>
      <c r="BH39" s="45"/>
    </row>
    <row r="40" spans="1:60" x14ac:dyDescent="0.3">
      <c r="A40" s="55"/>
      <c r="B40" s="45" t="s">
        <v>420</v>
      </c>
      <c r="C40" s="99" t="s">
        <v>421</v>
      </c>
      <c r="D40" s="46" t="s">
        <v>196</v>
      </c>
      <c r="E40" s="98">
        <v>1</v>
      </c>
      <c r="F40" s="46" t="s">
        <v>183</v>
      </c>
      <c r="G40" s="46" t="b">
        <f>TRUE()</f>
        <v>1</v>
      </c>
      <c r="H40" s="45" t="s">
        <v>476</v>
      </c>
      <c r="I40" s="99">
        <v>412</v>
      </c>
      <c r="J40" s="65">
        <f>IF(F40="LEVEL", 1, VLOOKUP(F40,ActivityStats!$C$4:$D$12,2,FALSE()))</f>
        <v>6.06130677183567E-2</v>
      </c>
      <c r="K40" s="66">
        <f t="shared" si="0"/>
        <v>525600</v>
      </c>
      <c r="L40" s="66">
        <f t="shared" si="1"/>
        <v>31858.22839276828</v>
      </c>
      <c r="M40" s="67">
        <f t="shared" si="2"/>
        <v>6.06130677183567E-2</v>
      </c>
      <c r="N40" s="46" t="b">
        <f>TRUE()</f>
        <v>1</v>
      </c>
      <c r="O40" s="103" t="b">
        <f t="shared" si="3"/>
        <v>1</v>
      </c>
      <c r="P40" s="67">
        <f>IF(O40 = FALSE(),1,ActivityStats!$D$12)</f>
        <v>0.47775902852124003</v>
      </c>
      <c r="Q40" s="87">
        <f t="shared" si="4"/>
        <v>251110.14539076376</v>
      </c>
      <c r="R40" s="67">
        <f t="shared" si="5"/>
        <v>0.12686953903512049</v>
      </c>
      <c r="S40" s="112">
        <v>1000</v>
      </c>
      <c r="T40" s="107">
        <v>0</v>
      </c>
      <c r="U40" s="107" t="b">
        <f t="shared" si="6"/>
        <v>0</v>
      </c>
      <c r="V40" s="45">
        <f t="shared" si="7"/>
        <v>0.05</v>
      </c>
      <c r="W40" s="110">
        <v>3</v>
      </c>
      <c r="X40" s="110">
        <v>0</v>
      </c>
      <c r="Y40" s="132">
        <v>0.5</v>
      </c>
      <c r="Z40" s="116">
        <f t="shared" si="9"/>
        <v>4.38</v>
      </c>
      <c r="AA40" s="116">
        <v>16</v>
      </c>
      <c r="AB40" s="69">
        <f t="shared" si="8"/>
        <v>11.620000000000001</v>
      </c>
      <c r="AC40" s="158">
        <f t="shared" si="18"/>
        <v>232.51625812906457</v>
      </c>
      <c r="AD40" s="88">
        <f t="shared" si="10"/>
        <v>697.5487743871937</v>
      </c>
      <c r="AE40" s="88">
        <f t="shared" si="11"/>
        <v>0</v>
      </c>
      <c r="AF40" s="70">
        <f t="shared" si="12"/>
        <v>250412.59661637657</v>
      </c>
      <c r="AG40" s="70">
        <f t="shared" si="13"/>
        <v>31769.730701307268</v>
      </c>
      <c r="AH40" s="70">
        <f t="shared" si="19"/>
        <v>136.63444851960676</v>
      </c>
      <c r="AI40" s="160">
        <f t="shared" si="20"/>
        <v>7.3187985228813073E-3</v>
      </c>
      <c r="AJ40" s="70">
        <f t="shared" si="14"/>
        <v>16</v>
      </c>
      <c r="AK40" s="45">
        <v>1</v>
      </c>
      <c r="AL40" s="45">
        <v>0.6</v>
      </c>
      <c r="AM40" s="48"/>
      <c r="AN40" s="90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46"/>
      <c r="AZ40" s="45"/>
      <c r="BA40" s="69"/>
      <c r="BB40" s="69"/>
      <c r="BC40" s="69"/>
      <c r="BD40" s="69"/>
      <c r="BE40" s="69"/>
      <c r="BF40" s="69"/>
      <c r="BG40" s="46"/>
      <c r="BH40" s="45"/>
    </row>
    <row r="41" spans="1:60" x14ac:dyDescent="0.3">
      <c r="A41" s="55" t="s">
        <v>197</v>
      </c>
      <c r="B41" s="47" t="s">
        <v>198</v>
      </c>
      <c r="C41" s="99" t="s">
        <v>199</v>
      </c>
      <c r="D41" s="46" t="s">
        <v>200</v>
      </c>
      <c r="E41" s="96">
        <v>0.71899999999999997</v>
      </c>
      <c r="F41" s="46" t="s">
        <v>201</v>
      </c>
      <c r="G41" s="46" t="b">
        <f>TRUE()</f>
        <v>1</v>
      </c>
      <c r="H41" s="46" t="s">
        <v>477</v>
      </c>
      <c r="I41" s="99">
        <v>413</v>
      </c>
      <c r="J41" s="65">
        <f>IF(F41="LEVEL", 1, VLOOKUP(F41,ActivityStats!$C$4:$D$12,2,FALSE()))</f>
        <v>2.1676122395387899E-2</v>
      </c>
      <c r="K41" s="66">
        <f t="shared" si="0"/>
        <v>525600</v>
      </c>
      <c r="L41" s="66">
        <f t="shared" si="1"/>
        <v>11392.969931015879</v>
      </c>
      <c r="M41" s="67">
        <f t="shared" si="2"/>
        <v>2.1676122395387899E-2</v>
      </c>
      <c r="N41" s="86" t="b">
        <f>FALSE()</f>
        <v>0</v>
      </c>
      <c r="O41" s="103" t="b">
        <f t="shared" si="3"/>
        <v>1</v>
      </c>
      <c r="P41" s="67">
        <f>IF(O41 = FALSE(),1,ActivityStats!$D$12)</f>
        <v>0.47775902852124003</v>
      </c>
      <c r="Q41" s="87">
        <f t="shared" si="4"/>
        <v>251110.14539076376</v>
      </c>
      <c r="R41" s="67">
        <f t="shared" si="5"/>
        <v>4.5370408723577331E-2</v>
      </c>
      <c r="S41" s="112">
        <v>1130.61224489796</v>
      </c>
      <c r="T41" s="107">
        <v>0</v>
      </c>
      <c r="U41" s="107" t="b">
        <f t="shared" si="6"/>
        <v>0</v>
      </c>
      <c r="V41" s="45">
        <f>S41*W41/(60*1000)</f>
        <v>1.1306122448979601</v>
      </c>
      <c r="W41" s="110">
        <v>60</v>
      </c>
      <c r="X41" s="110">
        <v>0</v>
      </c>
      <c r="Y41" s="99">
        <v>3</v>
      </c>
      <c r="Z41" s="116">
        <f t="shared" si="9"/>
        <v>26.28</v>
      </c>
      <c r="AA41" s="116">
        <v>278</v>
      </c>
      <c r="AB41" s="69">
        <f t="shared" si="8"/>
        <v>251.72</v>
      </c>
      <c r="AC41" s="158">
        <f t="shared" si="18"/>
        <v>223.23276564168444</v>
      </c>
      <c r="AD41" s="88">
        <f t="shared" si="10"/>
        <v>13393.965938501065</v>
      </c>
      <c r="AE41" s="88">
        <f t="shared" si="11"/>
        <v>0</v>
      </c>
      <c r="AF41" s="70">
        <f t="shared" si="12"/>
        <v>237716.1794522627</v>
      </c>
      <c r="AG41" s="70">
        <f t="shared" si="13"/>
        <v>10785.280221956415</v>
      </c>
      <c r="AH41" s="70">
        <f t="shared" si="19"/>
        <v>48.314055470101074</v>
      </c>
      <c r="AI41" s="160">
        <f t="shared" si="20"/>
        <v>2.0697910582539388E-2</v>
      </c>
      <c r="AJ41" s="70">
        <f t="shared" si="14"/>
        <v>199.88200000000001</v>
      </c>
      <c r="AK41" s="45">
        <v>0.8</v>
      </c>
      <c r="AL41" s="45">
        <v>0.2</v>
      </c>
      <c r="AM41" s="48"/>
      <c r="AN41" s="52" t="s">
        <v>201</v>
      </c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46"/>
      <c r="AZ41" s="45"/>
      <c r="BA41" s="45"/>
      <c r="BB41" s="45"/>
      <c r="BC41" s="45"/>
      <c r="BD41" s="45"/>
      <c r="BE41" s="45"/>
      <c r="BF41" s="45"/>
      <c r="BG41" s="46"/>
      <c r="BH41" s="45"/>
    </row>
    <row r="42" spans="1:60" x14ac:dyDescent="0.3">
      <c r="A42" s="55"/>
      <c r="B42" s="47" t="s">
        <v>202</v>
      </c>
      <c r="C42" s="99" t="s">
        <v>203</v>
      </c>
      <c r="D42" s="46" t="s">
        <v>204</v>
      </c>
      <c r="E42" s="96">
        <v>0.42299999999999999</v>
      </c>
      <c r="F42" s="46" t="s">
        <v>205</v>
      </c>
      <c r="G42" s="46" t="b">
        <f>TRUE()</f>
        <v>1</v>
      </c>
      <c r="H42" s="46" t="s">
        <v>477</v>
      </c>
      <c r="I42" s="99">
        <v>431</v>
      </c>
      <c r="J42" s="65">
        <f>IF(F42="LEVEL", 1, VLOOKUP(F42,ActivityStats!$C$4:$D$12,2,FALSE()))</f>
        <v>1.40074682496996E-2</v>
      </c>
      <c r="K42" s="66">
        <f t="shared" si="0"/>
        <v>525600</v>
      </c>
      <c r="L42" s="66">
        <f t="shared" si="1"/>
        <v>7362.3253120421095</v>
      </c>
      <c r="M42" s="67">
        <f t="shared" si="2"/>
        <v>1.40074682496996E-2</v>
      </c>
      <c r="N42" s="86" t="b">
        <f>FALSE()</f>
        <v>0</v>
      </c>
      <c r="O42" s="103" t="b">
        <f t="shared" si="3"/>
        <v>1</v>
      </c>
      <c r="P42" s="67">
        <f>IF(O42 = FALSE(),1,ActivityStats!$D$12)</f>
        <v>0.47775902852124003</v>
      </c>
      <c r="Q42" s="87">
        <f t="shared" si="4"/>
        <v>251110.14539076376</v>
      </c>
      <c r="R42" s="67">
        <f t="shared" si="5"/>
        <v>2.9319107360577825E-2</v>
      </c>
      <c r="S42" s="112">
        <v>2500</v>
      </c>
      <c r="T42" s="107">
        <v>0</v>
      </c>
      <c r="U42" s="107" t="b">
        <f t="shared" si="6"/>
        <v>0</v>
      </c>
      <c r="V42" s="45">
        <f t="shared" si="7"/>
        <v>2.5</v>
      </c>
      <c r="W42" s="110">
        <v>60</v>
      </c>
      <c r="X42" s="110">
        <v>0</v>
      </c>
      <c r="Y42" s="99">
        <v>3</v>
      </c>
      <c r="Z42" s="116">
        <f t="shared" si="9"/>
        <v>26.28</v>
      </c>
      <c r="AA42" s="116">
        <v>45</v>
      </c>
      <c r="AB42" s="69">
        <f t="shared" si="8"/>
        <v>18.72</v>
      </c>
      <c r="AC42" s="158">
        <f t="shared" si="18"/>
        <v>7.4969963956748087</v>
      </c>
      <c r="AD42" s="88">
        <f t="shared" si="10"/>
        <v>449.8197837404885</v>
      </c>
      <c r="AE42" s="88">
        <f t="shared" si="11"/>
        <v>0</v>
      </c>
      <c r="AF42" s="70">
        <f t="shared" si="12"/>
        <v>250660.32560702326</v>
      </c>
      <c r="AG42" s="70">
        <f t="shared" si="13"/>
        <v>7349.1369975097095</v>
      </c>
      <c r="AH42" s="70">
        <f t="shared" si="19"/>
        <v>980.27751510586256</v>
      </c>
      <c r="AI42" s="160">
        <f>1/AH42</f>
        <v>1.0201192872326644E-3</v>
      </c>
      <c r="AJ42" s="70">
        <f t="shared" si="14"/>
        <v>19.035</v>
      </c>
      <c r="AK42" s="45">
        <v>0.8</v>
      </c>
      <c r="AL42" s="45">
        <v>0.2</v>
      </c>
      <c r="AM42" s="48" t="s">
        <v>206</v>
      </c>
      <c r="AN42" s="73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46"/>
      <c r="AZ42" s="45"/>
      <c r="BA42" s="45"/>
      <c r="BB42" s="45"/>
      <c r="BC42" s="45"/>
      <c r="BD42" s="45"/>
      <c r="BE42" s="45"/>
      <c r="BF42" s="45"/>
      <c r="BG42" s="46"/>
      <c r="BH42" s="45"/>
    </row>
    <row r="43" spans="1:60" ht="10.5" thickBot="1" x14ac:dyDescent="0.35">
      <c r="A43" s="55"/>
      <c r="B43" s="47" t="s">
        <v>207</v>
      </c>
      <c r="C43" s="99" t="s">
        <v>208</v>
      </c>
      <c r="D43" s="46" t="s">
        <v>206</v>
      </c>
      <c r="E43" s="96">
        <v>0.95</v>
      </c>
      <c r="F43" s="46" t="s">
        <v>205</v>
      </c>
      <c r="G43" s="46" t="b">
        <f>TRUE()</f>
        <v>1</v>
      </c>
      <c r="H43" s="46" t="s">
        <v>477</v>
      </c>
      <c r="I43" s="99">
        <v>431</v>
      </c>
      <c r="J43" s="65">
        <f>IF(F43="LEVEL", 1, VLOOKUP(F43,ActivityStats!$C$4:$D$12,2,FALSE()))</f>
        <v>1.40074682496996E-2</v>
      </c>
      <c r="K43" s="66">
        <f t="shared" si="0"/>
        <v>525600</v>
      </c>
      <c r="L43" s="66">
        <f t="shared" si="1"/>
        <v>7362.3253120421095</v>
      </c>
      <c r="M43" s="67">
        <f t="shared" si="2"/>
        <v>1.40074682496996E-2</v>
      </c>
      <c r="N43" s="86" t="b">
        <f>FALSE()</f>
        <v>0</v>
      </c>
      <c r="O43" s="103" t="b">
        <f t="shared" si="3"/>
        <v>1</v>
      </c>
      <c r="P43" s="67">
        <f>IF(O43 = FALSE(),1,ActivityStats!$D$12)</f>
        <v>0.47775902852124003</v>
      </c>
      <c r="Q43" s="87">
        <f t="shared" si="4"/>
        <v>251110.14539076376</v>
      </c>
      <c r="R43" s="67">
        <f t="shared" si="5"/>
        <v>2.9319107360577825E-2</v>
      </c>
      <c r="S43" s="112">
        <v>405.54347826087002</v>
      </c>
      <c r="T43" s="107">
        <v>0</v>
      </c>
      <c r="U43" s="107" t="b">
        <f t="shared" si="6"/>
        <v>0</v>
      </c>
      <c r="V43" s="45">
        <f>S43*W43/(60*1000)</f>
        <v>0.93275000000000108</v>
      </c>
      <c r="W43" s="110">
        <v>138</v>
      </c>
      <c r="X43" s="110">
        <v>0</v>
      </c>
      <c r="Y43" s="99">
        <v>3</v>
      </c>
      <c r="Z43" s="116">
        <f>Y43*K43/(60*1000)</f>
        <v>26.28</v>
      </c>
      <c r="AA43" s="116">
        <v>503</v>
      </c>
      <c r="AB43" s="69">
        <f>AA43-Z43</f>
        <v>476.72</v>
      </c>
      <c r="AC43" s="158">
        <f t="shared" si="18"/>
        <v>514.89982178538583</v>
      </c>
      <c r="AD43" s="88">
        <f t="shared" si="10"/>
        <v>71056.175406383249</v>
      </c>
      <c r="AE43" s="88">
        <f t="shared" si="11"/>
        <v>0</v>
      </c>
      <c r="AF43" s="70">
        <f>Q43-AD43-AE43</f>
        <v>180053.96998438053</v>
      </c>
      <c r="AG43" s="70">
        <f>AF43*R43</f>
        <v>5279.0216766703097</v>
      </c>
      <c r="AH43" s="70">
        <f>AG43/AC43</f>
        <v>10.252521856320715</v>
      </c>
      <c r="AI43" s="160">
        <f>1/AH43</f>
        <v>9.753697812246033E-2</v>
      </c>
      <c r="AJ43" s="70">
        <f t="shared" si="14"/>
        <v>477.84999999999997</v>
      </c>
      <c r="AK43" s="45">
        <v>0.8</v>
      </c>
      <c r="AL43" s="45">
        <v>0.2</v>
      </c>
      <c r="AM43" s="48"/>
      <c r="AN43" s="90" t="s">
        <v>475</v>
      </c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46"/>
      <c r="AZ43" s="45"/>
      <c r="BA43" s="69"/>
      <c r="BB43" s="69"/>
      <c r="BC43" s="69"/>
      <c r="BD43" s="69"/>
      <c r="BE43" s="69"/>
      <c r="BF43" s="69"/>
      <c r="BG43" s="46"/>
      <c r="BH43" s="45"/>
    </row>
    <row r="44" spans="1:60" x14ac:dyDescent="0.3">
      <c r="A44" s="38"/>
      <c r="B44" s="39" t="s">
        <v>209</v>
      </c>
      <c r="C44" s="41" t="s">
        <v>210</v>
      </c>
      <c r="D44" s="41" t="s">
        <v>211</v>
      </c>
      <c r="E44" s="91">
        <v>0.99399999999999999</v>
      </c>
      <c r="F44" s="41" t="s">
        <v>212</v>
      </c>
      <c r="G44" s="41" t="b">
        <f>TRUE()</f>
        <v>1</v>
      </c>
      <c r="H44" s="41"/>
      <c r="I44" s="119"/>
      <c r="J44" s="120">
        <f>IF(F44="LEVEL", 1, VLOOKUP(F44,ActivityStats!$C$4:$D$12,2,FALSE()))</f>
        <v>0.13357766860620099</v>
      </c>
      <c r="K44" s="121">
        <f>24*60</f>
        <v>1440</v>
      </c>
      <c r="L44" s="121">
        <f t="shared" si="1"/>
        <v>192.35184279292943</v>
      </c>
      <c r="M44" s="122">
        <f t="shared" si="2"/>
        <v>0.13357766860620099</v>
      </c>
      <c r="N44" s="119" t="b">
        <f>TRUE()</f>
        <v>1</v>
      </c>
      <c r="O44" s="123" t="b">
        <f t="shared" si="3"/>
        <v>1</v>
      </c>
      <c r="P44" s="122">
        <f>IF(O44 = FALSE(),1,ActivityStats!$D$12)</f>
        <v>0.47775902852124003</v>
      </c>
      <c r="Q44" s="124">
        <f t="shared" si="4"/>
        <v>687.97300107058561</v>
      </c>
      <c r="R44" s="122">
        <f t="shared" si="5"/>
        <v>0.27959213878103079</v>
      </c>
      <c r="S44" s="125">
        <v>0</v>
      </c>
      <c r="T44" s="125">
        <v>3.54</v>
      </c>
      <c r="U44" s="126" t="b">
        <f t="shared" si="6"/>
        <v>1</v>
      </c>
      <c r="V44" s="119">
        <f>[1]WaterUsage!D5</f>
        <v>0</v>
      </c>
      <c r="W44" s="125">
        <f>V44/T44</f>
        <v>0</v>
      </c>
      <c r="X44" s="119">
        <v>0</v>
      </c>
      <c r="Y44" s="125">
        <v>0</v>
      </c>
      <c r="Z44" s="119">
        <f>Y44*K44</f>
        <v>0</v>
      </c>
      <c r="AA44" s="126">
        <v>22</v>
      </c>
      <c r="AB44" s="126">
        <f t="shared" si="8"/>
        <v>22</v>
      </c>
      <c r="AC44" s="127" t="e">
        <f>AB44/((T44-Y44)*W44)</f>
        <v>#DIV/0!</v>
      </c>
      <c r="AD44" s="127" t="e">
        <f t="shared" si="10"/>
        <v>#DIV/0!</v>
      </c>
      <c r="AE44" s="127" t="e">
        <f t="shared" si="11"/>
        <v>#DIV/0!</v>
      </c>
      <c r="AF44" s="126" t="e">
        <f t="shared" si="12"/>
        <v>#DIV/0!</v>
      </c>
      <c r="AG44" s="126" t="e">
        <f t="shared" si="13"/>
        <v>#DIV/0!</v>
      </c>
      <c r="AH44" s="126" t="e">
        <f t="shared" si="19"/>
        <v>#DIV/0!</v>
      </c>
      <c r="AI44" s="128" t="e">
        <f t="shared" si="20"/>
        <v>#DIV/0!</v>
      </c>
      <c r="AJ44" s="126">
        <f t="shared" si="14"/>
        <v>21.867999999999999</v>
      </c>
      <c r="AK44" s="119"/>
      <c r="AL44" s="129">
        <v>0</v>
      </c>
      <c r="AM44" s="130"/>
      <c r="AN44" s="131"/>
      <c r="AO44" s="70"/>
      <c r="AP44" s="70"/>
      <c r="AQ44" s="45"/>
      <c r="AR44" s="45"/>
      <c r="AS44" s="45"/>
      <c r="AT44" s="45"/>
      <c r="AU44" s="45"/>
      <c r="AV44" s="45"/>
      <c r="AW44" s="45"/>
      <c r="AX44" s="45"/>
      <c r="AY44" s="46"/>
      <c r="AZ44" s="46"/>
      <c r="BA44" s="46"/>
      <c r="BB44" s="46"/>
      <c r="BC44" s="46"/>
      <c r="BD44" s="46"/>
      <c r="BE44" s="46"/>
      <c r="BF44" s="46"/>
      <c r="BG44" s="46"/>
      <c r="BH44" s="46"/>
    </row>
    <row r="45" spans="1:60" x14ac:dyDescent="0.3">
      <c r="A45" s="55"/>
      <c r="B45" s="49" t="s">
        <v>213</v>
      </c>
      <c r="C45" s="45" t="s">
        <v>214</v>
      </c>
      <c r="D45" s="45" t="s">
        <v>215</v>
      </c>
      <c r="E45" s="90">
        <v>1</v>
      </c>
      <c r="F45" s="45" t="s">
        <v>201</v>
      </c>
      <c r="G45" s="86" t="b">
        <f>FALSE()</f>
        <v>0</v>
      </c>
      <c r="H45" s="45"/>
      <c r="I45" s="132"/>
      <c r="J45" s="133">
        <f>IF(F45="LEVEL", 1, VLOOKUP(F45,ActivityStats!$C$4:$D$12,2,FALSE()))</f>
        <v>2.1676122395387899E-2</v>
      </c>
      <c r="K45" s="134">
        <f>24*60</f>
        <v>1440</v>
      </c>
      <c r="L45" s="134">
        <f t="shared" si="1"/>
        <v>31.213616249358573</v>
      </c>
      <c r="M45" s="135">
        <f t="shared" si="2"/>
        <v>2.1676122395387899E-2</v>
      </c>
      <c r="N45" s="132" t="b">
        <f>TRUE()</f>
        <v>1</v>
      </c>
      <c r="O45" s="136" t="b">
        <f t="shared" si="3"/>
        <v>1</v>
      </c>
      <c r="P45" s="135">
        <f>IF(O45 = FALSE(),1,ActivityStats!$D$12)</f>
        <v>0.47775902852124003</v>
      </c>
      <c r="Q45" s="137">
        <f t="shared" si="4"/>
        <v>687.97300107058561</v>
      </c>
      <c r="R45" s="135">
        <f t="shared" si="5"/>
        <v>4.5370408723577331E-2</v>
      </c>
      <c r="S45" s="138">
        <v>0</v>
      </c>
      <c r="T45" s="138">
        <v>3.54</v>
      </c>
      <c r="U45" s="139" t="b">
        <f t="shared" si="6"/>
        <v>1</v>
      </c>
      <c r="V45" s="132">
        <f>[1]WaterUsage!D5</f>
        <v>0</v>
      </c>
      <c r="W45" s="138">
        <f>V45/T45</f>
        <v>0</v>
      </c>
      <c r="X45" s="132">
        <v>0</v>
      </c>
      <c r="Y45" s="138">
        <v>0</v>
      </c>
      <c r="Z45" s="132">
        <f>Y45*K45</f>
        <v>0</v>
      </c>
      <c r="AA45" s="139">
        <f>AVERAGE(22,40)</f>
        <v>31</v>
      </c>
      <c r="AB45" s="139">
        <f t="shared" si="8"/>
        <v>31</v>
      </c>
      <c r="AC45" s="140" t="e">
        <f>AB45/((T45-Y45)*W45)</f>
        <v>#DIV/0!</v>
      </c>
      <c r="AD45" s="140" t="e">
        <f t="shared" si="10"/>
        <v>#DIV/0!</v>
      </c>
      <c r="AE45" s="140" t="e">
        <f t="shared" si="11"/>
        <v>#DIV/0!</v>
      </c>
      <c r="AF45" s="139" t="e">
        <f t="shared" si="12"/>
        <v>#DIV/0!</v>
      </c>
      <c r="AG45" s="139" t="e">
        <f t="shared" si="13"/>
        <v>#DIV/0!</v>
      </c>
      <c r="AH45" s="139" t="e">
        <f t="shared" si="19"/>
        <v>#DIV/0!</v>
      </c>
      <c r="AI45" s="141" t="e">
        <f t="shared" si="20"/>
        <v>#DIV/0!</v>
      </c>
      <c r="AJ45" s="139">
        <f t="shared" si="14"/>
        <v>31</v>
      </c>
      <c r="AK45" s="132"/>
      <c r="AL45" s="142">
        <v>0</v>
      </c>
      <c r="AM45" s="143"/>
      <c r="AN45" s="144"/>
      <c r="AO45" s="70"/>
      <c r="AP45" s="70"/>
      <c r="AQ45" s="45"/>
      <c r="AR45" s="45"/>
      <c r="AS45" s="45"/>
      <c r="AT45" s="45"/>
      <c r="AU45" s="45"/>
      <c r="AV45" s="45"/>
      <c r="AW45" s="45"/>
      <c r="AX45" s="45"/>
      <c r="AY45" s="46"/>
      <c r="AZ45" s="46"/>
      <c r="BA45" s="46"/>
      <c r="BB45" s="46"/>
      <c r="BC45" s="46"/>
      <c r="BD45" s="46"/>
      <c r="BE45" s="46"/>
      <c r="BF45" s="46"/>
      <c r="BG45" s="46"/>
      <c r="BH45" s="46"/>
    </row>
    <row r="46" spans="1:60" x14ac:dyDescent="0.3">
      <c r="A46" s="55"/>
      <c r="B46" s="49" t="s">
        <v>216</v>
      </c>
      <c r="C46" s="45" t="s">
        <v>217</v>
      </c>
      <c r="D46" s="45" t="s">
        <v>218</v>
      </c>
      <c r="E46" s="90">
        <v>0.997</v>
      </c>
      <c r="F46" s="45" t="s">
        <v>212</v>
      </c>
      <c r="G46" s="45" t="b">
        <f>TRUE()</f>
        <v>1</v>
      </c>
      <c r="H46" s="45"/>
      <c r="I46" s="132"/>
      <c r="J46" s="133">
        <f>IF(F46="LEVEL", 1, VLOOKUP(F46,ActivityStats!$C$4:$D$12,2,FALSE()))</f>
        <v>0.13357766860620099</v>
      </c>
      <c r="K46" s="134">
        <f>24*60</f>
        <v>1440</v>
      </c>
      <c r="L46" s="134">
        <f t="shared" si="1"/>
        <v>192.35184279292943</v>
      </c>
      <c r="M46" s="135">
        <f t="shared" si="2"/>
        <v>0.13357766860620099</v>
      </c>
      <c r="N46" s="132" t="b">
        <f>TRUE()</f>
        <v>1</v>
      </c>
      <c r="O46" s="136" t="b">
        <f t="shared" si="3"/>
        <v>1</v>
      </c>
      <c r="P46" s="135">
        <f>IF(O46 = FALSE(),1,ActivityStats!$D$12)</f>
        <v>0.47775902852124003</v>
      </c>
      <c r="Q46" s="137">
        <f t="shared" si="4"/>
        <v>687.97300107058561</v>
      </c>
      <c r="R46" s="135">
        <f t="shared" si="5"/>
        <v>0.27959213878103079</v>
      </c>
      <c r="S46" s="138">
        <v>0</v>
      </c>
      <c r="T46" s="138">
        <v>9.26</v>
      </c>
      <c r="U46" s="139" t="b">
        <f t="shared" si="6"/>
        <v>1</v>
      </c>
      <c r="V46" s="132">
        <f>[1]WaterUsage!E5</f>
        <v>0</v>
      </c>
      <c r="W46" s="138">
        <f>V46/T46</f>
        <v>0</v>
      </c>
      <c r="X46" s="132">
        <v>0</v>
      </c>
      <c r="Y46" s="138">
        <v>0</v>
      </c>
      <c r="Z46" s="132">
        <f>Y46*K46</f>
        <v>0</v>
      </c>
      <c r="AA46" s="139">
        <f>0.6*[1]ActivityStats!C19*[1]WaterUsage!E5</f>
        <v>0</v>
      </c>
      <c r="AB46" s="139">
        <f t="shared" si="8"/>
        <v>0</v>
      </c>
      <c r="AC46" s="140" t="e">
        <f>AB46/((T46-Y46)*W46)</f>
        <v>#DIV/0!</v>
      </c>
      <c r="AD46" s="140" t="e">
        <f t="shared" si="10"/>
        <v>#DIV/0!</v>
      </c>
      <c r="AE46" s="140" t="e">
        <f t="shared" si="11"/>
        <v>#DIV/0!</v>
      </c>
      <c r="AF46" s="139" t="e">
        <f t="shared" si="12"/>
        <v>#DIV/0!</v>
      </c>
      <c r="AG46" s="139" t="e">
        <f t="shared" si="13"/>
        <v>#DIV/0!</v>
      </c>
      <c r="AH46" s="139" t="e">
        <f t="shared" si="19"/>
        <v>#DIV/0!</v>
      </c>
      <c r="AI46" s="141" t="e">
        <f t="shared" si="20"/>
        <v>#DIV/0!</v>
      </c>
      <c r="AJ46" s="139">
        <f t="shared" si="14"/>
        <v>0</v>
      </c>
      <c r="AK46" s="132"/>
      <c r="AL46" s="142">
        <v>0</v>
      </c>
      <c r="AM46" s="143"/>
      <c r="AN46" s="144"/>
      <c r="AO46" s="70"/>
      <c r="AP46" s="70"/>
      <c r="AQ46" s="45"/>
      <c r="AR46" s="45"/>
      <c r="AS46" s="45"/>
      <c r="AT46" s="45"/>
      <c r="AU46" s="45"/>
      <c r="AV46" s="45"/>
      <c r="AW46" s="45"/>
      <c r="AX46" s="45"/>
      <c r="AY46" s="46"/>
      <c r="AZ46" s="46"/>
      <c r="BA46" s="46"/>
      <c r="BB46" s="46"/>
      <c r="BC46" s="46"/>
      <c r="BD46" s="46"/>
      <c r="BE46" s="46"/>
      <c r="BF46" s="46"/>
      <c r="BG46" s="46"/>
      <c r="BH46" s="46"/>
    </row>
    <row r="47" spans="1:60" ht="10.5" thickBot="1" x14ac:dyDescent="0.35">
      <c r="A47" s="92"/>
      <c r="B47" s="93" t="s">
        <v>219</v>
      </c>
      <c r="C47" s="76" t="s">
        <v>220</v>
      </c>
      <c r="D47" s="76" t="s">
        <v>221</v>
      </c>
      <c r="E47" s="94">
        <v>0.91600000000000004</v>
      </c>
      <c r="F47" s="76" t="s">
        <v>212</v>
      </c>
      <c r="G47" s="76" t="b">
        <f>TRUE()</f>
        <v>1</v>
      </c>
      <c r="H47" s="76"/>
      <c r="I47" s="145"/>
      <c r="J47" s="146">
        <f>IF(F47="LEVEL", 1, VLOOKUP(F47,ActivityStats!$C$4:$D$12,2,FALSE()))</f>
        <v>0.13357766860620099</v>
      </c>
      <c r="K47" s="147">
        <f>24*60</f>
        <v>1440</v>
      </c>
      <c r="L47" s="147">
        <f t="shared" si="1"/>
        <v>192.35184279292943</v>
      </c>
      <c r="M47" s="148">
        <f t="shared" si="2"/>
        <v>0.13357766860620099</v>
      </c>
      <c r="N47" s="145" t="b">
        <f>TRUE()</f>
        <v>1</v>
      </c>
      <c r="O47" s="149" t="b">
        <f t="shared" si="3"/>
        <v>1</v>
      </c>
      <c r="P47" s="148">
        <f>IF(O47 = FALSE(),1,ActivityStats!$D$12)</f>
        <v>0.47775902852124003</v>
      </c>
      <c r="Q47" s="150">
        <f t="shared" si="4"/>
        <v>687.97300107058561</v>
      </c>
      <c r="R47" s="148">
        <f t="shared" si="5"/>
        <v>0.27959213878103079</v>
      </c>
      <c r="S47" s="151">
        <v>0</v>
      </c>
      <c r="T47" s="151">
        <v>9.26</v>
      </c>
      <c r="U47" s="152" t="b">
        <f t="shared" si="6"/>
        <v>1</v>
      </c>
      <c r="V47" s="145">
        <f>[1]WaterUsage!F5</f>
        <v>0</v>
      </c>
      <c r="W47" s="151">
        <f>V47/T47</f>
        <v>0</v>
      </c>
      <c r="X47" s="145">
        <v>20</v>
      </c>
      <c r="Y47" s="151">
        <v>0</v>
      </c>
      <c r="Z47" s="145">
        <f>Y47*K47</f>
        <v>0</v>
      </c>
      <c r="AA47" s="152">
        <v>38</v>
      </c>
      <c r="AB47" s="152">
        <f t="shared" si="8"/>
        <v>38</v>
      </c>
      <c r="AC47" s="153" t="e">
        <f>AB47/((T47-Y47)*W47)</f>
        <v>#DIV/0!</v>
      </c>
      <c r="AD47" s="153" t="e">
        <f t="shared" si="10"/>
        <v>#DIV/0!</v>
      </c>
      <c r="AE47" s="153" t="e">
        <f t="shared" si="11"/>
        <v>#DIV/0!</v>
      </c>
      <c r="AF47" s="152" t="e">
        <f t="shared" si="12"/>
        <v>#DIV/0!</v>
      </c>
      <c r="AG47" s="152" t="e">
        <f t="shared" si="13"/>
        <v>#DIV/0!</v>
      </c>
      <c r="AH47" s="152" t="e">
        <f t="shared" si="19"/>
        <v>#DIV/0!</v>
      </c>
      <c r="AI47" s="154" t="e">
        <f t="shared" si="20"/>
        <v>#DIV/0!</v>
      </c>
      <c r="AJ47" s="152">
        <f t="shared" si="14"/>
        <v>34.808</v>
      </c>
      <c r="AK47" s="145"/>
      <c r="AL47" s="155">
        <v>0</v>
      </c>
      <c r="AM47" s="156"/>
      <c r="AN47" s="157"/>
      <c r="AO47" s="70"/>
      <c r="AP47" s="70"/>
      <c r="AQ47" s="45"/>
      <c r="AR47" s="45"/>
      <c r="AS47" s="45"/>
      <c r="AT47" s="45"/>
      <c r="AU47" s="45"/>
      <c r="AV47" s="45"/>
      <c r="AW47" s="45"/>
      <c r="AX47" s="45"/>
      <c r="AY47" s="46"/>
      <c r="AZ47" s="46"/>
      <c r="BA47" s="46"/>
      <c r="BB47" s="46"/>
      <c r="BC47" s="46"/>
      <c r="BD47" s="46"/>
      <c r="BE47" s="46"/>
      <c r="BF47" s="46"/>
      <c r="BG47" s="46"/>
      <c r="BH47" s="46"/>
    </row>
  </sheetData>
  <mergeCells count="2">
    <mergeCell ref="AM5:AM8"/>
    <mergeCell ref="AN5:AN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20" zoomScaleNormal="120" workbookViewId="0">
      <selection activeCell="D3" sqref="D3"/>
    </sheetView>
  </sheetViews>
  <sheetFormatPr defaultColWidth="11.59765625" defaultRowHeight="12.75" x14ac:dyDescent="0.35"/>
  <cols>
    <col min="1" max="1" width="2.1328125" customWidth="1"/>
    <col min="3" max="3" width="18.1328125" customWidth="1"/>
    <col min="4" max="4" width="17.3984375" customWidth="1"/>
  </cols>
  <sheetData>
    <row r="1" spans="1:4" ht="15" x14ac:dyDescent="0.4">
      <c r="A1" s="2"/>
      <c r="B1" s="1" t="s">
        <v>222</v>
      </c>
      <c r="C1" s="2"/>
      <c r="D1" s="2"/>
    </row>
    <row r="2" spans="1:4" ht="15.4" thickBot="1" x14ac:dyDescent="0.45">
      <c r="A2" s="2"/>
      <c r="B2" s="1"/>
      <c r="C2" s="2"/>
      <c r="D2" s="2"/>
    </row>
    <row r="3" spans="1:4" ht="61.15" x14ac:dyDescent="0.35">
      <c r="A3" s="11"/>
      <c r="B3" s="12" t="s">
        <v>223</v>
      </c>
      <c r="C3" s="13" t="s">
        <v>224</v>
      </c>
      <c r="D3" s="14" t="s">
        <v>225</v>
      </c>
    </row>
    <row r="4" spans="1:4" ht="20.65" x14ac:dyDescent="0.35">
      <c r="A4" s="11"/>
      <c r="B4" s="15" t="s">
        <v>226</v>
      </c>
      <c r="C4" s="8" t="s">
        <v>168</v>
      </c>
      <c r="D4" s="161">
        <v>0.22854942117493601</v>
      </c>
    </row>
    <row r="5" spans="1:4" ht="20.65" x14ac:dyDescent="0.35">
      <c r="A5" s="11"/>
      <c r="B5" s="15" t="s">
        <v>227</v>
      </c>
      <c r="C5" s="8" t="s">
        <v>183</v>
      </c>
      <c r="D5" s="161">
        <v>6.06130677183567E-2</v>
      </c>
    </row>
    <row r="6" spans="1:4" x14ac:dyDescent="0.35">
      <c r="A6" s="11"/>
      <c r="B6" s="15" t="s">
        <v>228</v>
      </c>
      <c r="C6" s="8" t="s">
        <v>205</v>
      </c>
      <c r="D6" s="161">
        <v>1.40074682496996E-2</v>
      </c>
    </row>
    <row r="7" spans="1:4" ht="20.65" x14ac:dyDescent="0.35">
      <c r="A7" s="11"/>
      <c r="B7" s="15" t="s">
        <v>229</v>
      </c>
      <c r="C7" s="8" t="s">
        <v>212</v>
      </c>
      <c r="D7" s="161">
        <v>0.13357766860620099</v>
      </c>
    </row>
    <row r="8" spans="1:4" x14ac:dyDescent="0.35">
      <c r="A8" s="11"/>
      <c r="B8" s="15" t="s">
        <v>230</v>
      </c>
      <c r="C8" s="8" t="s">
        <v>145</v>
      </c>
      <c r="D8" s="161">
        <v>8.0929579327932693E-3</v>
      </c>
    </row>
    <row r="9" spans="1:4" ht="20.65" x14ac:dyDescent="0.35">
      <c r="A9" s="11"/>
      <c r="B9" s="15" t="s">
        <v>231</v>
      </c>
      <c r="C9" s="8" t="s">
        <v>149</v>
      </c>
      <c r="D9" s="161">
        <v>5.2950486618739599E-2</v>
      </c>
    </row>
    <row r="10" spans="1:4" x14ac:dyDescent="0.35">
      <c r="A10" s="11"/>
      <c r="B10" s="15" t="s">
        <v>232</v>
      </c>
      <c r="C10" s="8" t="s">
        <v>153</v>
      </c>
      <c r="D10" s="161">
        <v>4.5650719455293802E-2</v>
      </c>
    </row>
    <row r="11" spans="1:4" ht="20.65" x14ac:dyDescent="0.35">
      <c r="A11" s="11"/>
      <c r="B11" s="15" t="s">
        <v>233</v>
      </c>
      <c r="C11" s="8" t="s">
        <v>201</v>
      </c>
      <c r="D11" s="161">
        <v>2.1676122395387899E-2</v>
      </c>
    </row>
    <row r="12" spans="1:4" ht="13.15" thickBot="1" x14ac:dyDescent="0.4">
      <c r="A12" s="11"/>
      <c r="B12" s="16" t="s">
        <v>20</v>
      </c>
      <c r="C12" s="9" t="s">
        <v>141</v>
      </c>
      <c r="D12" s="162">
        <v>0.47775902852124003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29FCF"/>
  </sheetPr>
  <dimension ref="A1:S79"/>
  <sheetViews>
    <sheetView zoomScale="120" zoomScaleNormal="120" workbookViewId="0">
      <selection activeCell="C25" sqref="C25"/>
    </sheetView>
  </sheetViews>
  <sheetFormatPr defaultColWidth="11.59765625" defaultRowHeight="11.65" x14ac:dyDescent="0.35"/>
  <cols>
    <col min="1" max="2" width="11.59765625" style="33"/>
    <col min="3" max="3" width="26.59765625" style="33" customWidth="1"/>
    <col min="4" max="4" width="22.3984375" style="33" customWidth="1"/>
    <col min="5" max="16384" width="11.59765625" style="33"/>
  </cols>
  <sheetData>
    <row r="1" spans="1:19" x14ac:dyDescent="0.35">
      <c r="A1" s="17"/>
      <c r="B1" s="18" t="s">
        <v>234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35">
      <c r="A2" s="17"/>
      <c r="B2" s="1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x14ac:dyDescent="0.35">
      <c r="A3" s="17"/>
      <c r="B3" s="18" t="s">
        <v>235</v>
      </c>
      <c r="C3" s="17"/>
      <c r="D3" s="17"/>
      <c r="E3" s="17"/>
      <c r="F3" s="17" t="s">
        <v>236</v>
      </c>
      <c r="G3" s="17" t="s">
        <v>237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x14ac:dyDescent="0.35">
      <c r="A4" s="17"/>
      <c r="B4" s="18"/>
      <c r="C4" s="17"/>
      <c r="D4" s="19" t="s">
        <v>238</v>
      </c>
      <c r="E4" s="20"/>
      <c r="F4" s="21">
        <v>60</v>
      </c>
      <c r="G4" s="21">
        <v>10</v>
      </c>
      <c r="H4" s="17" t="s">
        <v>239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35">
      <c r="A5" s="17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 t="s">
        <v>240</v>
      </c>
      <c r="S7" s="18" t="s">
        <v>241</v>
      </c>
    </row>
    <row r="8" spans="1:19" x14ac:dyDescent="0.35">
      <c r="A8" s="17"/>
      <c r="B8" s="18" t="s">
        <v>242</v>
      </c>
      <c r="C8" s="17"/>
      <c r="D8" s="17" t="s">
        <v>243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S8" s="18" t="s">
        <v>244</v>
      </c>
    </row>
    <row r="9" spans="1:19" x14ac:dyDescent="0.35">
      <c r="A9" s="17"/>
      <c r="B9" s="1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8"/>
    </row>
    <row r="10" spans="1:19" x14ac:dyDescent="0.35">
      <c r="A10" s="17"/>
      <c r="B10" s="1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>
        <v>0.01</v>
      </c>
      <c r="S10" s="17">
        <v>4.60517018598809</v>
      </c>
    </row>
    <row r="11" spans="1:19" x14ac:dyDescent="0.35">
      <c r="A11" s="17"/>
      <c r="B11" s="1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0.05</v>
      </c>
      <c r="S11" s="17">
        <v>2.99573227355399</v>
      </c>
    </row>
    <row r="12" spans="1:19" x14ac:dyDescent="0.35">
      <c r="A12" s="17"/>
      <c r="B12" s="1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>
        <v>0.1</v>
      </c>
      <c r="S12" s="17">
        <v>2.3025850929940499</v>
      </c>
    </row>
    <row r="13" spans="1:19" x14ac:dyDescent="0.35">
      <c r="A13" s="17"/>
      <c r="B13" s="18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0.15</v>
      </c>
      <c r="S13" s="17">
        <v>1.89711998488588</v>
      </c>
    </row>
    <row r="14" spans="1:19" x14ac:dyDescent="0.3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>
        <v>0.2</v>
      </c>
      <c r="S14" s="17">
        <v>1.6094379124341001</v>
      </c>
    </row>
    <row r="15" spans="1:19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>
        <v>0.25</v>
      </c>
      <c r="S15" s="17">
        <v>1.3862943611198899</v>
      </c>
    </row>
    <row r="16" spans="1:19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0.3</v>
      </c>
      <c r="S16" s="17">
        <v>1.2039728043259399</v>
      </c>
    </row>
    <row r="17" spans="1:19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0.35</v>
      </c>
      <c r="S17" s="17">
        <v>1.0498221244986801</v>
      </c>
    </row>
    <row r="18" spans="1:19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>
        <v>0.4</v>
      </c>
      <c r="S18" s="17">
        <v>0.916290731874155</v>
      </c>
    </row>
    <row r="19" spans="1:19" x14ac:dyDescent="0.35">
      <c r="A19" s="17"/>
      <c r="B19" s="17"/>
      <c r="C19" s="17"/>
      <c r="D19" s="17" t="s">
        <v>245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>
        <v>0.45</v>
      </c>
      <c r="S19" s="17">
        <v>0.79850769621777196</v>
      </c>
    </row>
    <row r="20" spans="1:19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>
        <v>0.5</v>
      </c>
      <c r="S20" s="17">
        <v>0.69314718055994495</v>
      </c>
    </row>
    <row r="21" spans="1:19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>
        <v>0.55000000000000004</v>
      </c>
      <c r="S21" s="17">
        <v>0.59783700075561996</v>
      </c>
    </row>
    <row r="22" spans="1:19" x14ac:dyDescent="0.35">
      <c r="A22" s="17"/>
      <c r="B22" s="18" t="s">
        <v>246</v>
      </c>
      <c r="C22" s="17"/>
      <c r="D22" s="17" t="s">
        <v>247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v>0.6</v>
      </c>
      <c r="S22" s="17">
        <v>0.51082562376599105</v>
      </c>
    </row>
    <row r="23" spans="1:19" x14ac:dyDescent="0.35">
      <c r="A23" s="17"/>
      <c r="B23" s="17"/>
      <c r="C23" s="17"/>
      <c r="D23" s="17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>
        <v>0.65</v>
      </c>
      <c r="S23" s="17">
        <v>0.430782916092454</v>
      </c>
    </row>
    <row r="24" spans="1:19" x14ac:dyDescent="0.35">
      <c r="A24" s="17"/>
      <c r="B24" s="17"/>
      <c r="C24" s="17"/>
      <c r="D24" s="18" t="s">
        <v>248</v>
      </c>
      <c r="E24" s="22" t="s">
        <v>249</v>
      </c>
      <c r="F24" s="21">
        <v>8.1536863966770508E-3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>
        <v>0.7</v>
      </c>
      <c r="S24" s="17">
        <v>0.356674943938732</v>
      </c>
    </row>
    <row r="25" spans="1:19" x14ac:dyDescent="0.3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>
        <v>0.75</v>
      </c>
      <c r="S25" s="17">
        <v>0.28768207245178101</v>
      </c>
    </row>
    <row r="26" spans="1:19" x14ac:dyDescent="0.3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>
        <v>0.8</v>
      </c>
      <c r="S26" s="17">
        <v>0.22314355131420999</v>
      </c>
    </row>
    <row r="27" spans="1:19" x14ac:dyDescent="0.3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>
        <v>0.85</v>
      </c>
      <c r="S27" s="17">
        <v>0.16251892949777499</v>
      </c>
    </row>
    <row r="28" spans="1:19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>
        <v>0.9</v>
      </c>
      <c r="S28" s="17">
        <v>0.105360515657826</v>
      </c>
    </row>
    <row r="29" spans="1:19" x14ac:dyDescent="0.35">
      <c r="A29" s="17"/>
      <c r="B29" s="18" t="s">
        <v>250</v>
      </c>
      <c r="C29" s="17"/>
      <c r="D29" s="17" t="s">
        <v>251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0.95</v>
      </c>
      <c r="S29" s="17">
        <v>5.1293294387550599E-2</v>
      </c>
    </row>
    <row r="30" spans="1:19" x14ac:dyDescent="0.35">
      <c r="A30" s="17"/>
      <c r="B30" s="1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1</v>
      </c>
      <c r="S30" s="17">
        <v>0</v>
      </c>
    </row>
    <row r="31" spans="1:19" x14ac:dyDescent="0.35">
      <c r="A31" s="17"/>
      <c r="B31" s="18"/>
      <c r="C31" s="17"/>
      <c r="D31" s="17" t="s">
        <v>252</v>
      </c>
      <c r="E31" s="17" t="s">
        <v>253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x14ac:dyDescent="0.35">
      <c r="A32" s="17"/>
      <c r="B32" s="18"/>
      <c r="C32" s="17"/>
      <c r="D32" s="17"/>
      <c r="E32" s="17" t="s">
        <v>254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x14ac:dyDescent="0.35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x14ac:dyDescent="0.3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x14ac:dyDescent="0.35">
      <c r="A35" s="17"/>
      <c r="B35" s="17"/>
      <c r="C35" s="17"/>
      <c r="D35" s="23" t="s">
        <v>255</v>
      </c>
      <c r="E35" s="23" t="s">
        <v>256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x14ac:dyDescent="0.35">
      <c r="A36" s="17"/>
      <c r="B36" s="17"/>
      <c r="C36" s="17"/>
      <c r="D36" s="24" t="s">
        <v>257</v>
      </c>
      <c r="E36" s="24" t="s">
        <v>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x14ac:dyDescent="0.35">
      <c r="A37" s="17"/>
      <c r="B37" s="17"/>
      <c r="C37" s="17"/>
      <c r="D37" s="25">
        <v>0</v>
      </c>
      <c r="E37" s="26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x14ac:dyDescent="0.35">
      <c r="A38" s="17"/>
      <c r="B38" s="17"/>
      <c r="C38" s="17"/>
      <c r="D38" s="22">
        <v>1</v>
      </c>
      <c r="E38" s="26">
        <v>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x14ac:dyDescent="0.35">
      <c r="A39" s="17"/>
      <c r="B39" s="17"/>
      <c r="C39" s="17"/>
      <c r="D39" s="22">
        <v>2</v>
      </c>
      <c r="E39" s="26">
        <v>1.5281456953642401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x14ac:dyDescent="0.35">
      <c r="A40" s="17"/>
      <c r="B40" s="17"/>
      <c r="C40" s="17"/>
      <c r="D40" s="22">
        <v>3</v>
      </c>
      <c r="E40" s="26">
        <v>1.6937086092715199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x14ac:dyDescent="0.35">
      <c r="A41" s="17"/>
      <c r="B41" s="17"/>
      <c r="C41" s="17"/>
      <c r="D41" s="22">
        <v>4</v>
      </c>
      <c r="E41" s="26">
        <v>1.98344370860927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x14ac:dyDescent="0.35">
      <c r="A42" s="17"/>
      <c r="B42" s="17"/>
      <c r="C42" s="17"/>
      <c r="D42" s="22">
        <v>5</v>
      </c>
      <c r="E42" s="26">
        <v>2.0943708609271501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x14ac:dyDescent="0.35">
      <c r="A43" s="17"/>
      <c r="B43" s="17"/>
      <c r="C43" s="17"/>
      <c r="D43" s="2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x14ac:dyDescent="0.35">
      <c r="A47" s="17"/>
      <c r="B47" s="18" t="s">
        <v>258</v>
      </c>
      <c r="C47" s="17"/>
      <c r="D47" s="17" t="s">
        <v>259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x14ac:dyDescent="0.35">
      <c r="A48" s="1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x14ac:dyDescent="0.35">
      <c r="A49" s="17"/>
      <c r="B49" s="18"/>
      <c r="C49" s="17"/>
      <c r="D49" s="17" t="s">
        <v>260</v>
      </c>
      <c r="E49" s="17" t="s">
        <v>261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x14ac:dyDescent="0.35">
      <c r="A50" s="17"/>
      <c r="B50" s="18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x14ac:dyDescent="0.35">
      <c r="A51" s="17"/>
      <c r="B51" s="18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x14ac:dyDescent="0.35">
      <c r="A53" s="17"/>
      <c r="B53" s="23" t="s">
        <v>262</v>
      </c>
      <c r="C53" s="23" t="s">
        <v>263</v>
      </c>
      <c r="D53" s="23" t="s">
        <v>264</v>
      </c>
      <c r="E53" s="23" t="s">
        <v>265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x14ac:dyDescent="0.35">
      <c r="A54" s="17"/>
      <c r="B54" s="24" t="s">
        <v>266</v>
      </c>
      <c r="C54" s="24" t="s">
        <v>267</v>
      </c>
      <c r="D54" s="24" t="s">
        <v>267</v>
      </c>
      <c r="E54" s="24" t="s">
        <v>67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x14ac:dyDescent="0.35">
      <c r="A55" s="17"/>
      <c r="B55" s="22">
        <v>1</v>
      </c>
      <c r="C55" s="21">
        <v>1</v>
      </c>
      <c r="D55" s="21">
        <v>1</v>
      </c>
      <c r="E55" s="22">
        <v>0.11111111111111099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x14ac:dyDescent="0.35">
      <c r="A56" s="17"/>
      <c r="B56" s="22">
        <v>2</v>
      </c>
      <c r="C56" s="21">
        <v>2</v>
      </c>
      <c r="D56" s="21">
        <v>2</v>
      </c>
      <c r="E56" s="22">
        <v>0.22222222222222199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x14ac:dyDescent="0.35">
      <c r="A57" s="17"/>
      <c r="B57" s="22">
        <v>3</v>
      </c>
      <c r="C57" s="21">
        <v>3</v>
      </c>
      <c r="D57" s="21">
        <v>4</v>
      </c>
      <c r="E57" s="22">
        <v>0.33333333333333298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x14ac:dyDescent="0.35">
      <c r="A58" s="17"/>
      <c r="B58" s="22">
        <v>4</v>
      </c>
      <c r="C58" s="21">
        <v>5</v>
      </c>
      <c r="D58" s="21">
        <v>8</v>
      </c>
      <c r="E58" s="22">
        <v>0.44444444444444398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x14ac:dyDescent="0.35">
      <c r="A59" s="17"/>
      <c r="B59" s="22">
        <v>5</v>
      </c>
      <c r="C59" s="21">
        <v>9</v>
      </c>
      <c r="D59" s="21">
        <v>16</v>
      </c>
      <c r="E59" s="22">
        <v>0.55555555555555602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x14ac:dyDescent="0.35">
      <c r="A60" s="17"/>
      <c r="B60" s="22">
        <v>6</v>
      </c>
      <c r="C60" s="21">
        <v>17</v>
      </c>
      <c r="D60" s="21">
        <v>27</v>
      </c>
      <c r="E60" s="22">
        <v>0.66666666666666696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x14ac:dyDescent="0.35">
      <c r="A61" s="17"/>
      <c r="B61" s="22">
        <v>7</v>
      </c>
      <c r="C61" s="21">
        <v>28</v>
      </c>
      <c r="D61" s="21">
        <v>49</v>
      </c>
      <c r="E61" s="22">
        <v>0.77777777777777801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x14ac:dyDescent="0.35">
      <c r="A62" s="17"/>
      <c r="B62" s="22">
        <v>8</v>
      </c>
      <c r="C62" s="21">
        <v>50</v>
      </c>
      <c r="D62" s="21">
        <v>91</v>
      </c>
      <c r="E62" s="22">
        <v>0.88888888888888895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x14ac:dyDescent="0.35">
      <c r="A63" s="17"/>
      <c r="B63" s="22">
        <v>9</v>
      </c>
      <c r="C63" s="21">
        <v>92</v>
      </c>
      <c r="D63" s="21">
        <v>259</v>
      </c>
      <c r="E63" s="22">
        <v>1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x14ac:dyDescent="0.3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x14ac:dyDescent="0.3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7" spans="1:19" x14ac:dyDescent="0.35">
      <c r="B67" s="18" t="s">
        <v>268</v>
      </c>
      <c r="D67" s="33" t="s">
        <v>269</v>
      </c>
    </row>
    <row r="68" spans="1:19" x14ac:dyDescent="0.35">
      <c r="G68" s="33" t="s">
        <v>270</v>
      </c>
    </row>
    <row r="70" spans="1:19" x14ac:dyDescent="0.35">
      <c r="C70" s="33" t="s">
        <v>271</v>
      </c>
      <c r="D70" s="33">
        <v>25.11</v>
      </c>
    </row>
    <row r="71" spans="1:19" x14ac:dyDescent="0.35">
      <c r="C71" s="33" t="s">
        <v>272</v>
      </c>
      <c r="D71" s="17">
        <v>15.92</v>
      </c>
    </row>
    <row r="74" spans="1:19" x14ac:dyDescent="0.35">
      <c r="B74" s="18" t="s">
        <v>273</v>
      </c>
      <c r="D74" s="33" t="s">
        <v>274</v>
      </c>
    </row>
    <row r="76" spans="1:19" x14ac:dyDescent="0.35">
      <c r="D76" s="33" t="s">
        <v>275</v>
      </c>
      <c r="E76" s="33" t="s">
        <v>276</v>
      </c>
    </row>
    <row r="77" spans="1:19" x14ac:dyDescent="0.35">
      <c r="C77" s="33" t="s">
        <v>277</v>
      </c>
      <c r="D77" s="33">
        <v>0.65</v>
      </c>
      <c r="E77" s="33">
        <v>7</v>
      </c>
    </row>
    <row r="78" spans="1:19" x14ac:dyDescent="0.35">
      <c r="C78" s="33" t="s">
        <v>278</v>
      </c>
      <c r="D78" s="17">
        <v>0.25</v>
      </c>
      <c r="E78" s="33">
        <v>14</v>
      </c>
    </row>
    <row r="79" spans="1:19" x14ac:dyDescent="0.35">
      <c r="C79" s="33" t="s">
        <v>279</v>
      </c>
      <c r="D79" s="33">
        <v>0.1</v>
      </c>
      <c r="E79" s="33">
        <v>60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E480A"/>
  </sheetPr>
  <dimension ref="A1:AMJ13"/>
  <sheetViews>
    <sheetView zoomScale="120" zoomScaleNormal="120" workbookViewId="0">
      <selection activeCell="H17" sqref="H17"/>
    </sheetView>
  </sheetViews>
  <sheetFormatPr defaultColWidth="11.59765625" defaultRowHeight="12.75" x14ac:dyDescent="0.35"/>
  <cols>
    <col min="3" max="3" width="19.73046875" customWidth="1"/>
    <col min="16" max="16" width="13" customWidth="1"/>
  </cols>
  <sheetData>
    <row r="1" spans="1:1024" ht="15.4" thickBot="1" x14ac:dyDescent="0.45">
      <c r="A1" s="28" t="s">
        <v>280</v>
      </c>
      <c r="B1" s="28"/>
      <c r="E1" s="29"/>
      <c r="F1" s="35" t="s">
        <v>447</v>
      </c>
      <c r="M1" s="30"/>
      <c r="N1" s="30"/>
    </row>
    <row r="2" spans="1:1024" ht="40.9" x14ac:dyDescent="0.35">
      <c r="A2" s="173" t="s">
        <v>282</v>
      </c>
      <c r="B2" s="174" t="s">
        <v>283</v>
      </c>
      <c r="C2" s="174" t="s">
        <v>284</v>
      </c>
      <c r="D2" s="174" t="s">
        <v>285</v>
      </c>
      <c r="E2" s="174" t="s">
        <v>286</v>
      </c>
      <c r="F2" s="174" t="s">
        <v>287</v>
      </c>
      <c r="G2" s="174" t="s">
        <v>288</v>
      </c>
      <c r="H2" s="174" t="s">
        <v>289</v>
      </c>
      <c r="I2" s="174" t="s">
        <v>290</v>
      </c>
      <c r="J2" s="174" t="s">
        <v>291</v>
      </c>
      <c r="K2" s="174" t="s">
        <v>292</v>
      </c>
      <c r="L2" s="174" t="s">
        <v>293</v>
      </c>
      <c r="M2" s="175" t="s">
        <v>294</v>
      </c>
      <c r="N2" s="175" t="s">
        <v>295</v>
      </c>
      <c r="O2" s="174" t="s">
        <v>296</v>
      </c>
      <c r="P2" s="176" t="s">
        <v>297</v>
      </c>
    </row>
    <row r="3" spans="1:1024" ht="13.15" x14ac:dyDescent="0.4">
      <c r="A3" s="177"/>
      <c r="B3" s="164"/>
      <c r="C3" s="164"/>
      <c r="D3" s="164" t="s">
        <v>298</v>
      </c>
      <c r="E3" s="164"/>
      <c r="F3" s="165" t="s">
        <v>434</v>
      </c>
      <c r="G3" s="165"/>
      <c r="H3" s="165"/>
      <c r="I3" s="165" t="s">
        <v>435</v>
      </c>
      <c r="J3" s="165" t="s">
        <v>436</v>
      </c>
      <c r="K3" s="165" t="s">
        <v>437</v>
      </c>
      <c r="L3" s="165" t="s">
        <v>438</v>
      </c>
      <c r="M3" s="165" t="s">
        <v>439</v>
      </c>
      <c r="N3" s="165" t="s">
        <v>440</v>
      </c>
      <c r="O3" s="165" t="s">
        <v>435</v>
      </c>
      <c r="P3" s="178" t="s">
        <v>436</v>
      </c>
    </row>
    <row r="4" spans="1:1024" ht="13.15" thickBot="1" x14ac:dyDescent="0.4">
      <c r="A4" s="179"/>
      <c r="B4" s="166"/>
      <c r="C4" s="166"/>
      <c r="D4" s="166"/>
      <c r="E4" s="166"/>
      <c r="F4" s="166" t="s">
        <v>441</v>
      </c>
      <c r="G4" s="166" t="s">
        <v>442</v>
      </c>
      <c r="H4" s="166" t="s">
        <v>299</v>
      </c>
      <c r="I4" s="166" t="s">
        <v>300</v>
      </c>
      <c r="J4" s="166" t="s">
        <v>299</v>
      </c>
      <c r="K4" s="166" t="s">
        <v>299</v>
      </c>
      <c r="L4" s="166" t="s">
        <v>299</v>
      </c>
      <c r="M4" s="166" t="s">
        <v>301</v>
      </c>
      <c r="N4" s="166" t="s">
        <v>443</v>
      </c>
      <c r="O4" s="166" t="s">
        <v>300</v>
      </c>
      <c r="P4" s="180" t="s">
        <v>299</v>
      </c>
    </row>
    <row r="5" spans="1:1024" s="190" customFormat="1" ht="13.15" thickBot="1" x14ac:dyDescent="0.4">
      <c r="A5" s="170"/>
      <c r="B5" s="171" t="s">
        <v>108</v>
      </c>
      <c r="C5" s="171" t="s">
        <v>106</v>
      </c>
      <c r="D5" s="171" t="s">
        <v>302</v>
      </c>
      <c r="E5" s="171" t="s">
        <v>303</v>
      </c>
      <c r="F5" s="171" t="s">
        <v>304</v>
      </c>
      <c r="G5" s="171"/>
      <c r="H5" s="171" t="s">
        <v>305</v>
      </c>
      <c r="I5" s="171"/>
      <c r="J5" s="171" t="s">
        <v>306</v>
      </c>
      <c r="K5" s="171" t="s">
        <v>307</v>
      </c>
      <c r="L5" s="171" t="s">
        <v>308</v>
      </c>
      <c r="M5" s="171" t="s">
        <v>309</v>
      </c>
      <c r="N5" s="171" t="s">
        <v>310</v>
      </c>
      <c r="O5" s="171"/>
      <c r="P5" s="172" t="s">
        <v>311</v>
      </c>
      <c r="AMJ5" s="191"/>
    </row>
    <row r="6" spans="1:1024" x14ac:dyDescent="0.35">
      <c r="A6" s="181">
        <v>1</v>
      </c>
      <c r="B6" s="167">
        <v>0.5</v>
      </c>
      <c r="C6" s="74" t="s">
        <v>312</v>
      </c>
      <c r="D6" s="74" t="b">
        <f>FALSE()</f>
        <v>0</v>
      </c>
      <c r="E6" s="74" t="s">
        <v>313</v>
      </c>
      <c r="F6" s="74">
        <v>2.61</v>
      </c>
      <c r="G6" s="74">
        <v>40</v>
      </c>
      <c r="H6" s="74">
        <f t="shared" ref="H6:H13" si="0">F6/3600*G6*10^6</f>
        <v>28999.999999999996</v>
      </c>
      <c r="I6" s="168">
        <v>0.75</v>
      </c>
      <c r="J6" s="74">
        <f t="shared" ref="J6:J13" si="1">H6*I6</f>
        <v>21749.999999999996</v>
      </c>
      <c r="K6" s="74">
        <v>10</v>
      </c>
      <c r="L6" s="74">
        <v>20</v>
      </c>
      <c r="M6" s="164">
        <v>125</v>
      </c>
      <c r="N6" s="169">
        <v>1.5</v>
      </c>
      <c r="O6" s="168">
        <v>0.75</v>
      </c>
      <c r="P6" s="182">
        <f t="shared" ref="P6:P13" si="2">H6*O6</f>
        <v>21749.999999999996</v>
      </c>
    </row>
    <row r="7" spans="1:1024" x14ac:dyDescent="0.35">
      <c r="A7" s="181">
        <v>2</v>
      </c>
      <c r="B7" s="167">
        <v>0</v>
      </c>
      <c r="C7" s="74" t="s">
        <v>314</v>
      </c>
      <c r="D7" s="74" t="b">
        <f>TRUE()</f>
        <v>1</v>
      </c>
      <c r="E7" s="74" t="s">
        <v>313</v>
      </c>
      <c r="F7" s="74">
        <v>2.61</v>
      </c>
      <c r="G7" s="74">
        <v>40</v>
      </c>
      <c r="H7" s="74">
        <f t="shared" si="0"/>
        <v>28999.999999999996</v>
      </c>
      <c r="I7" s="168">
        <v>0.75</v>
      </c>
      <c r="J7" s="74">
        <f t="shared" si="1"/>
        <v>21749.999999999996</v>
      </c>
      <c r="K7" s="74">
        <v>10</v>
      </c>
      <c r="L7" s="74">
        <v>20</v>
      </c>
      <c r="M7" s="164">
        <v>5</v>
      </c>
      <c r="N7" s="169">
        <v>0.5</v>
      </c>
      <c r="O7" s="168">
        <v>0.75</v>
      </c>
      <c r="P7" s="182">
        <f t="shared" si="2"/>
        <v>21749.999999999996</v>
      </c>
    </row>
    <row r="8" spans="1:1024" x14ac:dyDescent="0.35">
      <c r="A8" s="181">
        <v>3</v>
      </c>
      <c r="B8" s="167">
        <v>0</v>
      </c>
      <c r="C8" s="74" t="s">
        <v>315</v>
      </c>
      <c r="D8" s="74" t="b">
        <f>FALSE()</f>
        <v>0</v>
      </c>
      <c r="E8" s="74" t="s">
        <v>313</v>
      </c>
      <c r="F8" s="74">
        <v>1.64</v>
      </c>
      <c r="G8" s="74">
        <v>40</v>
      </c>
      <c r="H8" s="74">
        <f t="shared" si="0"/>
        <v>18222.222222222219</v>
      </c>
      <c r="I8" s="168">
        <v>0.75</v>
      </c>
      <c r="J8" s="74">
        <f t="shared" si="1"/>
        <v>13666.666666666664</v>
      </c>
      <c r="K8" s="74">
        <v>10</v>
      </c>
      <c r="L8" s="74">
        <v>20</v>
      </c>
      <c r="M8" s="164">
        <v>125</v>
      </c>
      <c r="N8" s="169">
        <v>1.5</v>
      </c>
      <c r="O8" s="168">
        <v>0.75</v>
      </c>
      <c r="P8" s="182">
        <f t="shared" si="2"/>
        <v>13666.666666666664</v>
      </c>
    </row>
    <row r="9" spans="1:1024" x14ac:dyDescent="0.35">
      <c r="A9" s="181">
        <v>4</v>
      </c>
      <c r="B9" s="167">
        <v>0</v>
      </c>
      <c r="C9" s="74" t="s">
        <v>316</v>
      </c>
      <c r="D9" s="74" t="b">
        <f>FALSE()</f>
        <v>0</v>
      </c>
      <c r="E9" s="74" t="s">
        <v>317</v>
      </c>
      <c r="F9" s="183">
        <v>0</v>
      </c>
      <c r="G9" s="183">
        <v>3.6</v>
      </c>
      <c r="H9" s="74">
        <f t="shared" si="0"/>
        <v>0</v>
      </c>
      <c r="I9" s="168">
        <v>0</v>
      </c>
      <c r="J9" s="74">
        <f t="shared" si="1"/>
        <v>0</v>
      </c>
      <c r="K9" s="183">
        <v>0</v>
      </c>
      <c r="L9" s="183">
        <v>0</v>
      </c>
      <c r="M9" s="164">
        <v>5</v>
      </c>
      <c r="N9" s="169">
        <v>0.5</v>
      </c>
      <c r="O9" s="168">
        <v>0</v>
      </c>
      <c r="P9" s="182">
        <f t="shared" si="2"/>
        <v>0</v>
      </c>
    </row>
    <row r="10" spans="1:1024" x14ac:dyDescent="0.35">
      <c r="A10" s="181">
        <v>5</v>
      </c>
      <c r="B10" s="167">
        <v>0</v>
      </c>
      <c r="C10" s="74" t="s">
        <v>318</v>
      </c>
      <c r="D10" s="74" t="b">
        <f>FALSE()</f>
        <v>0</v>
      </c>
      <c r="E10" s="74" t="s">
        <v>317</v>
      </c>
      <c r="F10" s="74">
        <v>2</v>
      </c>
      <c r="G10" s="74">
        <v>3.6</v>
      </c>
      <c r="H10" s="74">
        <f t="shared" si="0"/>
        <v>2000</v>
      </c>
      <c r="I10" s="168">
        <v>1</v>
      </c>
      <c r="J10" s="74">
        <f t="shared" si="1"/>
        <v>2000</v>
      </c>
      <c r="K10" s="74">
        <v>0</v>
      </c>
      <c r="L10" s="74">
        <v>20</v>
      </c>
      <c r="M10" s="164">
        <v>50</v>
      </c>
      <c r="N10" s="169">
        <v>0.5</v>
      </c>
      <c r="O10" s="168">
        <v>1</v>
      </c>
      <c r="P10" s="182">
        <f t="shared" si="2"/>
        <v>2000</v>
      </c>
    </row>
    <row r="11" spans="1:1024" x14ac:dyDescent="0.35">
      <c r="A11" s="181">
        <v>6</v>
      </c>
      <c r="B11" s="167">
        <v>0.5</v>
      </c>
      <c r="C11" s="74" t="s">
        <v>446</v>
      </c>
      <c r="D11" s="74" t="b">
        <f>FALSE()</f>
        <v>0</v>
      </c>
      <c r="E11" s="74" t="s">
        <v>317</v>
      </c>
      <c r="F11" s="183">
        <v>1.5</v>
      </c>
      <c r="G11" s="183">
        <v>3.6</v>
      </c>
      <c r="H11" s="74">
        <f t="shared" ref="H11:H12" si="3">F11/3600*G11*10^6</f>
        <v>1500</v>
      </c>
      <c r="I11" s="168">
        <v>2.4</v>
      </c>
      <c r="J11" s="74">
        <f t="shared" ref="J11:J12" si="4">H11*I11</f>
        <v>3600</v>
      </c>
      <c r="K11" s="183">
        <v>0</v>
      </c>
      <c r="L11" s="183">
        <v>20</v>
      </c>
      <c r="M11" s="164">
        <v>50</v>
      </c>
      <c r="N11" s="169">
        <v>0.5</v>
      </c>
      <c r="O11" s="168">
        <v>3.95</v>
      </c>
      <c r="P11" s="182">
        <f t="shared" ref="P11:P12" si="5">H11*O11</f>
        <v>5925</v>
      </c>
    </row>
    <row r="12" spans="1:1024" x14ac:dyDescent="0.35">
      <c r="A12" s="181">
        <v>7</v>
      </c>
      <c r="B12" s="184">
        <v>0</v>
      </c>
      <c r="C12" s="74" t="s">
        <v>444</v>
      </c>
      <c r="D12" s="74" t="b">
        <f>FALSE()</f>
        <v>0</v>
      </c>
      <c r="E12" s="74" t="s">
        <v>317</v>
      </c>
      <c r="F12" s="183">
        <v>1.5</v>
      </c>
      <c r="G12" s="183">
        <v>3.6</v>
      </c>
      <c r="H12" s="74">
        <f t="shared" si="3"/>
        <v>1500</v>
      </c>
      <c r="I12" s="74">
        <v>2.4</v>
      </c>
      <c r="J12" s="74">
        <f t="shared" si="4"/>
        <v>3600</v>
      </c>
      <c r="K12" s="183">
        <v>0</v>
      </c>
      <c r="L12" s="74">
        <v>20</v>
      </c>
      <c r="M12" s="164">
        <v>50</v>
      </c>
      <c r="N12" s="169">
        <v>0.5</v>
      </c>
      <c r="O12" s="74">
        <v>3.95</v>
      </c>
      <c r="P12" s="182">
        <f t="shared" si="5"/>
        <v>5925</v>
      </c>
    </row>
    <row r="13" spans="1:1024" ht="13.15" thickBot="1" x14ac:dyDescent="0.4">
      <c r="A13" s="185">
        <v>8</v>
      </c>
      <c r="B13" s="186">
        <v>0</v>
      </c>
      <c r="C13" s="81" t="s">
        <v>445</v>
      </c>
      <c r="D13" s="81" t="b">
        <f>FALSE()</f>
        <v>0</v>
      </c>
      <c r="E13" s="81" t="s">
        <v>317</v>
      </c>
      <c r="F13" s="187">
        <v>1.5</v>
      </c>
      <c r="G13" s="187">
        <v>3.6</v>
      </c>
      <c r="H13" s="81">
        <f t="shared" si="0"/>
        <v>1500</v>
      </c>
      <c r="I13" s="81">
        <v>2.4</v>
      </c>
      <c r="J13" s="81">
        <f t="shared" si="1"/>
        <v>3600</v>
      </c>
      <c r="K13" s="187">
        <v>0</v>
      </c>
      <c r="L13" s="81">
        <v>20</v>
      </c>
      <c r="M13" s="166">
        <v>50</v>
      </c>
      <c r="N13" s="188">
        <v>0.5</v>
      </c>
      <c r="O13" s="81">
        <v>3.95</v>
      </c>
      <c r="P13" s="189">
        <f t="shared" si="2"/>
        <v>5925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E480A"/>
  </sheetPr>
  <dimension ref="A1:T18"/>
  <sheetViews>
    <sheetView zoomScale="120" zoomScaleNormal="120" workbookViewId="0">
      <selection activeCell="G26" sqref="G26"/>
    </sheetView>
  </sheetViews>
  <sheetFormatPr defaultColWidth="11.59765625" defaultRowHeight="12.75" x14ac:dyDescent="0.35"/>
  <cols>
    <col min="3" max="3" width="21" customWidth="1"/>
  </cols>
  <sheetData>
    <row r="1" spans="1:20" ht="15" x14ac:dyDescent="0.4">
      <c r="A1" s="28" t="s">
        <v>319</v>
      </c>
      <c r="B1" s="28"/>
      <c r="C1" s="28"/>
      <c r="E1" s="196" t="s">
        <v>463</v>
      </c>
    </row>
    <row r="2" spans="1:20" ht="101.65" x14ac:dyDescent="0.35">
      <c r="A2" s="163" t="s">
        <v>320</v>
      </c>
      <c r="B2" s="163" t="s">
        <v>321</v>
      </c>
      <c r="C2" s="163" t="s">
        <v>322</v>
      </c>
      <c r="D2" s="163" t="s">
        <v>323</v>
      </c>
      <c r="E2" s="163" t="s">
        <v>324</v>
      </c>
      <c r="F2" s="163" t="s">
        <v>325</v>
      </c>
      <c r="G2" s="163" t="s">
        <v>326</v>
      </c>
      <c r="H2" s="163" t="s">
        <v>327</v>
      </c>
      <c r="I2" s="163" t="s">
        <v>328</v>
      </c>
      <c r="J2" s="163" t="s">
        <v>329</v>
      </c>
      <c r="K2" s="163" t="s">
        <v>330</v>
      </c>
      <c r="L2" s="163" t="s">
        <v>331</v>
      </c>
      <c r="M2" s="163" t="s">
        <v>332</v>
      </c>
      <c r="N2" s="163" t="s">
        <v>333</v>
      </c>
      <c r="O2" s="163" t="s">
        <v>334</v>
      </c>
      <c r="P2" s="163" t="s">
        <v>335</v>
      </c>
      <c r="Q2" s="163" t="s">
        <v>336</v>
      </c>
      <c r="R2" s="163" t="s">
        <v>337</v>
      </c>
      <c r="S2" s="163" t="s">
        <v>338</v>
      </c>
      <c r="T2" s="163" t="s">
        <v>339</v>
      </c>
    </row>
    <row r="3" spans="1:20" ht="13.15" x14ac:dyDescent="0.4">
      <c r="A3" s="192"/>
      <c r="B3" s="192"/>
      <c r="C3" s="192"/>
      <c r="D3" s="193" t="s">
        <v>448</v>
      </c>
      <c r="E3" s="193" t="s">
        <v>449</v>
      </c>
      <c r="F3" s="193" t="s">
        <v>450</v>
      </c>
      <c r="G3" s="193" t="s">
        <v>451</v>
      </c>
      <c r="H3" s="193" t="s">
        <v>452</v>
      </c>
      <c r="I3" s="193" t="s">
        <v>340</v>
      </c>
      <c r="J3" s="193" t="s">
        <v>453</v>
      </c>
      <c r="K3" s="193" t="s">
        <v>454</v>
      </c>
      <c r="L3" s="193" t="s">
        <v>455</v>
      </c>
      <c r="M3" s="165" t="s">
        <v>456</v>
      </c>
      <c r="N3" s="193" t="s">
        <v>457</v>
      </c>
      <c r="O3" s="193" t="s">
        <v>458</v>
      </c>
      <c r="P3" s="193" t="s">
        <v>459</v>
      </c>
      <c r="Q3" s="193" t="s">
        <v>460</v>
      </c>
      <c r="R3" s="192"/>
      <c r="S3" s="193" t="s">
        <v>458</v>
      </c>
      <c r="T3" s="192"/>
    </row>
    <row r="4" spans="1:20" ht="13.15" thickBot="1" x14ac:dyDescent="0.4">
      <c r="A4" s="194"/>
      <c r="B4" s="194"/>
      <c r="C4" s="194"/>
      <c r="D4" s="194" t="s">
        <v>341</v>
      </c>
      <c r="E4" s="194" t="s">
        <v>341</v>
      </c>
      <c r="F4" s="194" t="s">
        <v>342</v>
      </c>
      <c r="G4" s="194" t="s">
        <v>342</v>
      </c>
      <c r="H4" s="194" t="s">
        <v>461</v>
      </c>
      <c r="I4" s="194" t="s">
        <v>462</v>
      </c>
      <c r="J4" s="194" t="s">
        <v>461</v>
      </c>
      <c r="K4" s="194" t="s">
        <v>343</v>
      </c>
      <c r="L4" s="194" t="s">
        <v>341</v>
      </c>
      <c r="M4" s="194" t="s">
        <v>299</v>
      </c>
      <c r="N4" s="194" t="s">
        <v>344</v>
      </c>
      <c r="O4" s="194" t="s">
        <v>341</v>
      </c>
      <c r="P4" s="194" t="s">
        <v>345</v>
      </c>
      <c r="Q4" s="194" t="s">
        <v>342</v>
      </c>
      <c r="R4" s="194"/>
      <c r="S4" s="194" t="s">
        <v>341</v>
      </c>
      <c r="T4" s="194"/>
    </row>
    <row r="5" spans="1:20" s="190" customFormat="1" ht="13.15" thickBot="1" x14ac:dyDescent="0.4">
      <c r="A5" s="170"/>
      <c r="B5" s="171" t="s">
        <v>108</v>
      </c>
      <c r="C5" s="171" t="s">
        <v>106</v>
      </c>
      <c r="D5" s="171" t="s">
        <v>346</v>
      </c>
      <c r="E5" s="171" t="s">
        <v>347</v>
      </c>
      <c r="F5" s="171" t="s">
        <v>348</v>
      </c>
      <c r="G5" s="171" t="s">
        <v>349</v>
      </c>
      <c r="H5" s="171" t="s">
        <v>350</v>
      </c>
      <c r="I5" s="171"/>
      <c r="J5" s="171" t="s">
        <v>351</v>
      </c>
      <c r="K5" s="171" t="s">
        <v>352</v>
      </c>
      <c r="L5" s="171" t="s">
        <v>353</v>
      </c>
      <c r="M5" s="171"/>
      <c r="N5" s="171" t="s">
        <v>354</v>
      </c>
      <c r="O5" s="171" t="s">
        <v>355</v>
      </c>
      <c r="P5" s="171"/>
      <c r="Q5" s="171" t="s">
        <v>356</v>
      </c>
      <c r="R5" s="171"/>
      <c r="S5" s="171"/>
      <c r="T5" s="172"/>
    </row>
    <row r="6" spans="1:20" x14ac:dyDescent="0.35">
      <c r="A6" s="181">
        <v>1</v>
      </c>
      <c r="B6" s="167">
        <v>0</v>
      </c>
      <c r="C6" s="74" t="s">
        <v>357</v>
      </c>
      <c r="D6" s="197">
        <v>437.51455743294599</v>
      </c>
      <c r="E6" s="197">
        <v>370.63855393367601</v>
      </c>
      <c r="F6" s="197">
        <v>22638446.388930202</v>
      </c>
      <c r="G6" s="197">
        <v>1024813.83952572</v>
      </c>
      <c r="H6" s="197">
        <v>4.1600238204403803</v>
      </c>
      <c r="I6" s="74">
        <v>1</v>
      </c>
      <c r="J6" s="74">
        <v>136</v>
      </c>
      <c r="K6" s="74">
        <v>4.2</v>
      </c>
      <c r="L6" s="195">
        <v>73.644745245852803</v>
      </c>
      <c r="M6" s="74">
        <f t="shared" ref="M6:M13" si="0">(1/(1/D6+1/E6)+L6)*(20--2)</f>
        <v>6034.5889598959593</v>
      </c>
      <c r="N6" s="74">
        <v>50</v>
      </c>
      <c r="O6" s="74">
        <f t="shared" ref="O6:O11" si="1">M6/(N6-20)</f>
        <v>201.15296532986531</v>
      </c>
      <c r="P6" s="74">
        <f t="shared" ref="P6:P13" si="2">14*M6/1000</f>
        <v>84.484245438543425</v>
      </c>
      <c r="Q6" s="74">
        <f t="shared" ref="Q6:Q18" si="3">P6*4200</f>
        <v>354833.83084188239</v>
      </c>
      <c r="R6" s="74">
        <v>0</v>
      </c>
      <c r="S6" s="74">
        <f t="shared" ref="S6:S13" si="4">(1/(1/D6+1/E6)+L6)*(50-25)/(25-R6)</f>
        <v>274.29949817708905</v>
      </c>
      <c r="T6" s="182">
        <f t="shared" ref="T6:T13" si="5">S6*(50-25)/(25-R6)*60</f>
        <v>16457.969890625343</v>
      </c>
    </row>
    <row r="7" spans="1:20" x14ac:dyDescent="0.35">
      <c r="A7" s="181">
        <v>2</v>
      </c>
      <c r="B7" s="167">
        <v>0</v>
      </c>
      <c r="C7" s="74" t="s">
        <v>358</v>
      </c>
      <c r="D7" s="197">
        <v>128.707768634182</v>
      </c>
      <c r="E7" s="197">
        <v>272.23206885014901</v>
      </c>
      <c r="F7" s="197">
        <v>24646439.591117699</v>
      </c>
      <c r="G7" s="197">
        <v>917297.17067234195</v>
      </c>
      <c r="H7" s="197">
        <v>4.4941882532923998</v>
      </c>
      <c r="I7" s="74">
        <v>0.4</v>
      </c>
      <c r="J7" s="74">
        <v>136</v>
      </c>
      <c r="K7" s="74">
        <v>4.2</v>
      </c>
      <c r="L7" s="195">
        <v>74.429876618426505</v>
      </c>
      <c r="M7" s="74">
        <f t="shared" si="0"/>
        <v>3560.0509888121842</v>
      </c>
      <c r="N7" s="74">
        <v>50</v>
      </c>
      <c r="O7" s="74">
        <f t="shared" si="1"/>
        <v>118.66836629373947</v>
      </c>
      <c r="P7" s="74">
        <f t="shared" si="2"/>
        <v>49.84071384337058</v>
      </c>
      <c r="Q7" s="74">
        <f t="shared" si="3"/>
        <v>209330.99814215643</v>
      </c>
      <c r="R7" s="74">
        <v>0</v>
      </c>
      <c r="S7" s="74">
        <f t="shared" si="4"/>
        <v>161.82049949146293</v>
      </c>
      <c r="T7" s="182">
        <f t="shared" si="5"/>
        <v>9709.2299694877747</v>
      </c>
    </row>
    <row r="8" spans="1:20" x14ac:dyDescent="0.35">
      <c r="A8" s="181">
        <v>3</v>
      </c>
      <c r="B8" s="167">
        <v>0</v>
      </c>
      <c r="C8" s="74" t="s">
        <v>359</v>
      </c>
      <c r="D8" s="197">
        <v>247.59854556397801</v>
      </c>
      <c r="E8" s="197">
        <v>298.90905921431897</v>
      </c>
      <c r="F8" s="197">
        <v>12876155.384328101</v>
      </c>
      <c r="G8" s="197">
        <v>409007.99021152401</v>
      </c>
      <c r="H8" s="197">
        <v>4.2699560210538898</v>
      </c>
      <c r="I8" s="74">
        <v>1</v>
      </c>
      <c r="J8" s="74">
        <v>87</v>
      </c>
      <c r="K8" s="74">
        <v>4.2</v>
      </c>
      <c r="L8" s="195">
        <v>46.683972330063497</v>
      </c>
      <c r="M8" s="74">
        <f t="shared" si="0"/>
        <v>4006.3432853093686</v>
      </c>
      <c r="N8" s="74">
        <v>50</v>
      </c>
      <c r="O8" s="74">
        <f t="shared" si="1"/>
        <v>133.54477617697896</v>
      </c>
      <c r="P8" s="74">
        <f t="shared" si="2"/>
        <v>56.08880599433116</v>
      </c>
      <c r="Q8" s="74">
        <f t="shared" si="3"/>
        <v>235572.98517619088</v>
      </c>
      <c r="R8" s="74">
        <v>0</v>
      </c>
      <c r="S8" s="74">
        <f t="shared" si="4"/>
        <v>182.10651296860769</v>
      </c>
      <c r="T8" s="182">
        <f t="shared" si="5"/>
        <v>10926.390778116462</v>
      </c>
    </row>
    <row r="9" spans="1:20" x14ac:dyDescent="0.35">
      <c r="A9" s="181">
        <v>4</v>
      </c>
      <c r="B9" s="167">
        <v>1</v>
      </c>
      <c r="C9" s="74" t="s">
        <v>360</v>
      </c>
      <c r="D9" s="197">
        <v>216.36576082538099</v>
      </c>
      <c r="E9" s="197">
        <v>301.57153053059301</v>
      </c>
      <c r="F9" s="197">
        <v>15647706.9148071</v>
      </c>
      <c r="G9" s="197">
        <v>530743.76211226301</v>
      </c>
      <c r="H9" s="197">
        <v>5.4558682137324004</v>
      </c>
      <c r="I9" s="74">
        <v>0.4</v>
      </c>
      <c r="J9" s="74">
        <v>87</v>
      </c>
      <c r="K9" s="74">
        <v>4.2</v>
      </c>
      <c r="L9" s="195">
        <v>10.4694892031851</v>
      </c>
      <c r="M9" s="74">
        <f t="shared" si="0"/>
        <v>3001.8893436080243</v>
      </c>
      <c r="N9" s="74">
        <v>50</v>
      </c>
      <c r="O9" s="74">
        <f t="shared" si="1"/>
        <v>100.06297812026747</v>
      </c>
      <c r="P9" s="74">
        <f t="shared" si="2"/>
        <v>42.026450810512337</v>
      </c>
      <c r="Q9" s="74">
        <f t="shared" si="3"/>
        <v>176511.09340415182</v>
      </c>
      <c r="R9" s="74">
        <v>0</v>
      </c>
      <c r="S9" s="74">
        <f t="shared" si="4"/>
        <v>136.44951561854657</v>
      </c>
      <c r="T9" s="182">
        <f t="shared" si="5"/>
        <v>8186.9709371127938</v>
      </c>
    </row>
    <row r="10" spans="1:20" x14ac:dyDescent="0.35">
      <c r="A10" s="181">
        <v>5</v>
      </c>
      <c r="B10" s="167">
        <v>0</v>
      </c>
      <c r="C10" s="74" t="s">
        <v>361</v>
      </c>
      <c r="D10" s="197">
        <v>197.27197220833401</v>
      </c>
      <c r="E10" s="197">
        <v>239.871302585021</v>
      </c>
      <c r="F10" s="197">
        <v>11863842.6060689</v>
      </c>
      <c r="G10" s="197">
        <v>467169.879709039</v>
      </c>
      <c r="H10" s="197">
        <v>2.6750486780290599</v>
      </c>
      <c r="I10" s="74">
        <v>1</v>
      </c>
      <c r="J10" s="74">
        <v>58</v>
      </c>
      <c r="K10" s="74">
        <v>4.2</v>
      </c>
      <c r="L10" s="195">
        <v>10.396222386109001</v>
      </c>
      <c r="M10" s="74">
        <f t="shared" si="0"/>
        <v>2610.1728787701954</v>
      </c>
      <c r="N10" s="74">
        <v>50</v>
      </c>
      <c r="O10" s="74">
        <f t="shared" si="1"/>
        <v>87.005762625673185</v>
      </c>
      <c r="P10" s="74">
        <f t="shared" si="2"/>
        <v>36.542420302782737</v>
      </c>
      <c r="Q10" s="74">
        <f t="shared" si="3"/>
        <v>153478.1652716875</v>
      </c>
      <c r="R10" s="74">
        <v>0</v>
      </c>
      <c r="S10" s="74">
        <f t="shared" si="4"/>
        <v>118.64422176228159</v>
      </c>
      <c r="T10" s="182">
        <f t="shared" si="5"/>
        <v>7118.6533057368952</v>
      </c>
    </row>
    <row r="11" spans="1:20" x14ac:dyDescent="0.35">
      <c r="A11" s="181">
        <v>6</v>
      </c>
      <c r="B11" s="167">
        <v>0</v>
      </c>
      <c r="C11" s="74" t="s">
        <v>362</v>
      </c>
      <c r="D11" s="197">
        <v>144.72928238527101</v>
      </c>
      <c r="E11" s="197">
        <v>205.21817655460001</v>
      </c>
      <c r="F11" s="197">
        <v>13021834.259108599</v>
      </c>
      <c r="G11" s="197">
        <v>492503.84670127701</v>
      </c>
      <c r="H11" s="197">
        <v>2.90551780890776</v>
      </c>
      <c r="I11" s="74">
        <v>0.4</v>
      </c>
      <c r="J11" s="74">
        <v>58</v>
      </c>
      <c r="K11" s="74">
        <v>4.2</v>
      </c>
      <c r="L11" s="195">
        <v>10.390531609290299</v>
      </c>
      <c r="M11" s="74">
        <f t="shared" si="0"/>
        <v>2095.7969876874704</v>
      </c>
      <c r="N11" s="74">
        <v>50</v>
      </c>
      <c r="O11" s="74">
        <f t="shared" si="1"/>
        <v>69.859899589582341</v>
      </c>
      <c r="P11" s="74">
        <f t="shared" si="2"/>
        <v>29.341157827624585</v>
      </c>
      <c r="Q11" s="74">
        <f t="shared" si="3"/>
        <v>123232.86287602325</v>
      </c>
      <c r="R11" s="74">
        <v>0</v>
      </c>
      <c r="S11" s="74">
        <f t="shared" si="4"/>
        <v>95.263499440339558</v>
      </c>
      <c r="T11" s="182">
        <f t="shared" si="5"/>
        <v>5715.8099664203737</v>
      </c>
    </row>
    <row r="12" spans="1:20" x14ac:dyDescent="0.35">
      <c r="A12" s="181">
        <v>7</v>
      </c>
      <c r="B12" s="167">
        <v>0</v>
      </c>
      <c r="C12" s="74" t="s">
        <v>363</v>
      </c>
      <c r="D12" s="197">
        <v>504.24603248061902</v>
      </c>
      <c r="E12" s="197">
        <v>504.24603248061902</v>
      </c>
      <c r="F12" s="197">
        <v>31683711</v>
      </c>
      <c r="G12" s="197">
        <f>F12/25</f>
        <v>1267348.44</v>
      </c>
      <c r="H12" s="197">
        <v>1.5</v>
      </c>
      <c r="I12" s="74">
        <v>1</v>
      </c>
      <c r="J12" s="74">
        <v>71</v>
      </c>
      <c r="K12" s="74">
        <v>2.4</v>
      </c>
      <c r="L12" s="195">
        <v>10.3848408324716</v>
      </c>
      <c r="M12" s="74">
        <f t="shared" si="0"/>
        <v>5775.1728556011849</v>
      </c>
      <c r="N12" s="74">
        <v>50</v>
      </c>
      <c r="O12" s="74">
        <f>M12/(20-R12)</f>
        <v>288.75864278005923</v>
      </c>
      <c r="P12" s="74">
        <f t="shared" si="2"/>
        <v>80.852419978416577</v>
      </c>
      <c r="Q12" s="74">
        <f t="shared" si="3"/>
        <v>339580.16390934965</v>
      </c>
      <c r="R12" s="74">
        <v>0</v>
      </c>
      <c r="S12" s="74">
        <f t="shared" si="4"/>
        <v>262.50785707278112</v>
      </c>
      <c r="T12" s="182">
        <f t="shared" si="5"/>
        <v>15750.471424366868</v>
      </c>
    </row>
    <row r="13" spans="1:20" x14ac:dyDescent="0.35">
      <c r="A13" s="181">
        <v>8</v>
      </c>
      <c r="B13" s="167">
        <v>0</v>
      </c>
      <c r="C13" s="74" t="s">
        <v>364</v>
      </c>
      <c r="D13" s="197">
        <v>351.48993268796198</v>
      </c>
      <c r="E13" s="197">
        <v>351.48993268796198</v>
      </c>
      <c r="F13" s="197">
        <v>15462038.971927101</v>
      </c>
      <c r="G13" s="197">
        <f>F13/25</f>
        <v>618481.55887708405</v>
      </c>
      <c r="H13" s="197">
        <v>1.5</v>
      </c>
      <c r="I13" s="74">
        <v>1</v>
      </c>
      <c r="J13" s="74">
        <v>30</v>
      </c>
      <c r="K13" s="74">
        <v>2.2000000000000002</v>
      </c>
      <c r="L13" s="195">
        <v>10.3791500556529</v>
      </c>
      <c r="M13" s="74">
        <f t="shared" si="0"/>
        <v>4094.7305607919457</v>
      </c>
      <c r="N13" s="74">
        <v>50</v>
      </c>
      <c r="O13" s="74">
        <f>M13/(20-R13)</f>
        <v>204.73652803959729</v>
      </c>
      <c r="P13" s="74">
        <f t="shared" si="2"/>
        <v>57.326227851087239</v>
      </c>
      <c r="Q13" s="74">
        <f t="shared" si="3"/>
        <v>240770.1569745664</v>
      </c>
      <c r="R13" s="74">
        <v>0</v>
      </c>
      <c r="S13" s="74">
        <f t="shared" si="4"/>
        <v>186.12411639963389</v>
      </c>
      <c r="T13" s="182">
        <f t="shared" si="5"/>
        <v>11167.446983978034</v>
      </c>
    </row>
    <row r="14" spans="1:20" x14ac:dyDescent="0.35">
      <c r="A14" s="181">
        <v>9</v>
      </c>
      <c r="B14" s="167">
        <v>0</v>
      </c>
      <c r="C14" s="74" t="s">
        <v>464</v>
      </c>
      <c r="D14" s="197">
        <v>216.36576082538099</v>
      </c>
      <c r="E14" s="197">
        <v>301.57153053059301</v>
      </c>
      <c r="F14" s="197">
        <v>15647706.9148071</v>
      </c>
      <c r="G14" s="197">
        <v>530743.76211226301</v>
      </c>
      <c r="H14" s="197">
        <v>5.4558682137324004</v>
      </c>
      <c r="I14" s="74">
        <v>0.4</v>
      </c>
      <c r="J14" s="74">
        <v>87</v>
      </c>
      <c r="K14" s="74">
        <v>4.2</v>
      </c>
      <c r="L14" s="195">
        <v>10.4694892031851</v>
      </c>
      <c r="M14" s="74">
        <f t="shared" ref="M14:M18" si="6">(1/(1/D14+1/E14)+L14)*(20--2)</f>
        <v>3001.8893436080243</v>
      </c>
      <c r="N14" s="74">
        <v>50</v>
      </c>
      <c r="O14" s="74">
        <f t="shared" ref="O14:O16" si="7">M14/(N14-20)</f>
        <v>100.06297812026747</v>
      </c>
      <c r="P14" s="74">
        <f t="shared" ref="P14:P18" si="8">14*M14/1000</f>
        <v>42.026450810512337</v>
      </c>
      <c r="Q14" s="74">
        <f t="shared" si="3"/>
        <v>176511.09340415182</v>
      </c>
      <c r="R14" s="74">
        <v>0</v>
      </c>
      <c r="S14" s="74">
        <f t="shared" ref="S14:S18" si="9">(1/(1/D14+1/E14)+L14)*(50-25)/(25-R14)</f>
        <v>136.44951561854657</v>
      </c>
      <c r="T14" s="182">
        <f t="shared" ref="T14:T18" si="10">S14*(50-25)/(25-R14)*60</f>
        <v>8186.9709371127938</v>
      </c>
    </row>
    <row r="15" spans="1:20" x14ac:dyDescent="0.35">
      <c r="A15" s="181">
        <v>10</v>
      </c>
      <c r="B15" s="167">
        <v>0</v>
      </c>
      <c r="C15" s="74" t="s">
        <v>465</v>
      </c>
      <c r="D15" s="197">
        <v>197.27197220833401</v>
      </c>
      <c r="E15" s="197">
        <v>239.871302585021</v>
      </c>
      <c r="F15" s="197">
        <v>11863842.6060689</v>
      </c>
      <c r="G15" s="197">
        <v>467169.879709039</v>
      </c>
      <c r="H15" s="197">
        <v>2.6750486780290599</v>
      </c>
      <c r="I15" s="74">
        <v>1</v>
      </c>
      <c r="J15" s="74">
        <v>58</v>
      </c>
      <c r="K15" s="74">
        <v>4.2</v>
      </c>
      <c r="L15" s="195">
        <v>10.396222386109001</v>
      </c>
      <c r="M15" s="74">
        <f t="shared" si="6"/>
        <v>2610.1728787701954</v>
      </c>
      <c r="N15" s="74">
        <v>50</v>
      </c>
      <c r="O15" s="74">
        <f t="shared" si="7"/>
        <v>87.005762625673185</v>
      </c>
      <c r="P15" s="74">
        <f t="shared" si="8"/>
        <v>36.542420302782737</v>
      </c>
      <c r="Q15" s="74">
        <f t="shared" si="3"/>
        <v>153478.1652716875</v>
      </c>
      <c r="R15" s="74">
        <v>0</v>
      </c>
      <c r="S15" s="74">
        <f t="shared" si="9"/>
        <v>118.64422176228159</v>
      </c>
      <c r="T15" s="182">
        <f t="shared" si="10"/>
        <v>7118.6533057368952</v>
      </c>
    </row>
    <row r="16" spans="1:20" x14ac:dyDescent="0.35">
      <c r="A16" s="181">
        <v>11</v>
      </c>
      <c r="B16" s="167">
        <v>0</v>
      </c>
      <c r="C16" s="74" t="s">
        <v>466</v>
      </c>
      <c r="D16" s="197">
        <v>144.72928238527101</v>
      </c>
      <c r="E16" s="197">
        <v>205.21817655460001</v>
      </c>
      <c r="F16" s="197">
        <v>13021834.259108599</v>
      </c>
      <c r="G16" s="197">
        <v>492503.84670127701</v>
      </c>
      <c r="H16" s="197">
        <v>2.90551780890776</v>
      </c>
      <c r="I16" s="74">
        <v>0.4</v>
      </c>
      <c r="J16" s="74">
        <v>58</v>
      </c>
      <c r="K16" s="74">
        <v>4.2</v>
      </c>
      <c r="L16" s="195">
        <v>10.390531609290299</v>
      </c>
      <c r="M16" s="74">
        <f t="shared" si="6"/>
        <v>2095.7969876874704</v>
      </c>
      <c r="N16" s="74">
        <v>50</v>
      </c>
      <c r="O16" s="74">
        <f t="shared" si="7"/>
        <v>69.859899589582341</v>
      </c>
      <c r="P16" s="74">
        <f t="shared" si="8"/>
        <v>29.341157827624585</v>
      </c>
      <c r="Q16" s="74">
        <f t="shared" si="3"/>
        <v>123232.86287602325</v>
      </c>
      <c r="R16" s="74">
        <v>0</v>
      </c>
      <c r="S16" s="74">
        <f t="shared" si="9"/>
        <v>95.263499440339558</v>
      </c>
      <c r="T16" s="182">
        <f t="shared" si="10"/>
        <v>5715.8099664203737</v>
      </c>
    </row>
    <row r="17" spans="1:20" x14ac:dyDescent="0.35">
      <c r="A17" s="181">
        <v>12</v>
      </c>
      <c r="B17" s="167">
        <v>0</v>
      </c>
      <c r="C17" s="74" t="s">
        <v>467</v>
      </c>
      <c r="D17" s="197">
        <v>504.24603248061902</v>
      </c>
      <c r="E17" s="197">
        <v>504.24603248061902</v>
      </c>
      <c r="F17" s="197">
        <v>31683711</v>
      </c>
      <c r="G17" s="197">
        <f>F17/25</f>
        <v>1267348.44</v>
      </c>
      <c r="H17" s="197">
        <v>1.5</v>
      </c>
      <c r="I17" s="74">
        <v>1</v>
      </c>
      <c r="J17" s="74">
        <v>71</v>
      </c>
      <c r="K17" s="74">
        <v>2.4</v>
      </c>
      <c r="L17" s="195">
        <v>10.3848408324716</v>
      </c>
      <c r="M17" s="74">
        <f t="shared" si="6"/>
        <v>5775.1728556011849</v>
      </c>
      <c r="N17" s="74">
        <v>50</v>
      </c>
      <c r="O17" s="74">
        <f>M17/(20-R17)</f>
        <v>288.75864278005923</v>
      </c>
      <c r="P17" s="74">
        <f t="shared" si="8"/>
        <v>80.852419978416577</v>
      </c>
      <c r="Q17" s="74">
        <f t="shared" si="3"/>
        <v>339580.16390934965</v>
      </c>
      <c r="R17" s="74">
        <v>0</v>
      </c>
      <c r="S17" s="74">
        <f t="shared" si="9"/>
        <v>262.50785707278112</v>
      </c>
      <c r="T17" s="182">
        <f t="shared" si="10"/>
        <v>15750.471424366868</v>
      </c>
    </row>
    <row r="18" spans="1:20" ht="13.15" thickBot="1" x14ac:dyDescent="0.4">
      <c r="A18" s="185">
        <v>13</v>
      </c>
      <c r="B18" s="198">
        <v>0</v>
      </c>
      <c r="C18" s="81" t="s">
        <v>468</v>
      </c>
      <c r="D18" s="199">
        <v>351.48993268796198</v>
      </c>
      <c r="E18" s="199">
        <v>351.48993268796198</v>
      </c>
      <c r="F18" s="199">
        <v>15462038.971927101</v>
      </c>
      <c r="G18" s="199">
        <f>F18/25</f>
        <v>618481.55887708405</v>
      </c>
      <c r="H18" s="199">
        <v>1.5</v>
      </c>
      <c r="I18" s="81">
        <v>1</v>
      </c>
      <c r="J18" s="81">
        <v>30</v>
      </c>
      <c r="K18" s="81">
        <v>2.2000000000000002</v>
      </c>
      <c r="L18" s="200">
        <v>10.3791500556529</v>
      </c>
      <c r="M18" s="81">
        <f t="shared" si="6"/>
        <v>4094.7305607919457</v>
      </c>
      <c r="N18" s="81">
        <v>50</v>
      </c>
      <c r="O18" s="81">
        <f>M18/(20-R18)</f>
        <v>204.73652803959729</v>
      </c>
      <c r="P18" s="81">
        <f t="shared" si="8"/>
        <v>57.326227851087239</v>
      </c>
      <c r="Q18" s="81">
        <f t="shared" si="3"/>
        <v>240770.1569745664</v>
      </c>
      <c r="R18" s="81">
        <v>0</v>
      </c>
      <c r="S18" s="81">
        <f t="shared" si="9"/>
        <v>186.12411639963389</v>
      </c>
      <c r="T18" s="189">
        <f t="shared" si="10"/>
        <v>11167.446983978034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6E905"/>
  </sheetPr>
  <dimension ref="A1:H10"/>
  <sheetViews>
    <sheetView zoomScale="120" zoomScaleNormal="120" workbookViewId="0">
      <selection activeCell="E21" sqref="E21"/>
    </sheetView>
  </sheetViews>
  <sheetFormatPr defaultColWidth="11.59765625" defaultRowHeight="12.75" x14ac:dyDescent="0.35"/>
  <cols>
    <col min="7" max="8" width="16.3984375" customWidth="1"/>
  </cols>
  <sheetData>
    <row r="1" spans="1:8" ht="15.4" thickBot="1" x14ac:dyDescent="0.45">
      <c r="A1" s="28" t="s">
        <v>365</v>
      </c>
      <c r="B1" s="28"/>
      <c r="C1" s="28"/>
      <c r="F1" s="202" t="s">
        <v>281</v>
      </c>
    </row>
    <row r="2" spans="1:8" ht="20.65" x14ac:dyDescent="0.35">
      <c r="A2" s="173" t="s">
        <v>366</v>
      </c>
      <c r="B2" s="174" t="s">
        <v>367</v>
      </c>
      <c r="C2" s="174" t="s">
        <v>368</v>
      </c>
      <c r="D2" s="174" t="s">
        <v>369</v>
      </c>
      <c r="E2" s="174" t="s">
        <v>370</v>
      </c>
      <c r="F2" s="174" t="s">
        <v>371</v>
      </c>
      <c r="G2" s="174" t="s">
        <v>372</v>
      </c>
      <c r="H2" s="176" t="s">
        <v>373</v>
      </c>
    </row>
    <row r="3" spans="1:8" x14ac:dyDescent="0.35">
      <c r="A3" s="177"/>
      <c r="B3" s="164"/>
      <c r="C3" s="164"/>
      <c r="D3" s="164"/>
      <c r="E3" s="164"/>
      <c r="F3" s="164"/>
      <c r="G3" s="164"/>
      <c r="H3" s="178"/>
    </row>
    <row r="4" spans="1:8" ht="13.15" thickBot="1" x14ac:dyDescent="0.4">
      <c r="A4" s="179"/>
      <c r="B4" s="166"/>
      <c r="C4" s="166"/>
      <c r="D4" s="166" t="s">
        <v>374</v>
      </c>
      <c r="E4" s="166" t="s">
        <v>375</v>
      </c>
      <c r="F4" s="166" t="s">
        <v>376</v>
      </c>
      <c r="G4" s="166" t="s">
        <v>376</v>
      </c>
      <c r="H4" s="180"/>
    </row>
    <row r="5" spans="1:8" x14ac:dyDescent="0.35">
      <c r="A5" s="181">
        <v>1</v>
      </c>
      <c r="B5" s="74" t="s">
        <v>377</v>
      </c>
      <c r="C5" s="167">
        <v>0.25</v>
      </c>
      <c r="D5" s="74">
        <v>79.2</v>
      </c>
      <c r="E5" s="74">
        <v>19</v>
      </c>
      <c r="F5" s="74">
        <v>11</v>
      </c>
      <c r="G5" s="74">
        <v>225</v>
      </c>
      <c r="H5" s="182" t="s">
        <v>378</v>
      </c>
    </row>
    <row r="6" spans="1:8" x14ac:dyDescent="0.35">
      <c r="A6" s="181">
        <v>2</v>
      </c>
      <c r="B6" s="74" t="s">
        <v>379</v>
      </c>
      <c r="C6" s="167">
        <v>0.25</v>
      </c>
      <c r="D6" s="74">
        <v>45</v>
      </c>
      <c r="E6" s="74">
        <v>14</v>
      </c>
      <c r="F6" s="74">
        <v>7.2</v>
      </c>
      <c r="G6" s="74">
        <v>100</v>
      </c>
      <c r="H6" s="182" t="s">
        <v>380</v>
      </c>
    </row>
    <row r="7" spans="1:8" x14ac:dyDescent="0.35">
      <c r="A7" s="181">
        <v>3</v>
      </c>
      <c r="B7" s="74" t="s">
        <v>381</v>
      </c>
      <c r="C7" s="167">
        <v>0.25</v>
      </c>
      <c r="D7" s="74">
        <v>95</v>
      </c>
      <c r="E7" s="74">
        <v>24</v>
      </c>
      <c r="F7" s="74">
        <v>11</v>
      </c>
      <c r="G7" s="74">
        <v>150</v>
      </c>
      <c r="H7" s="182" t="s">
        <v>382</v>
      </c>
    </row>
    <row r="8" spans="1:8" ht="13.15" thickBot="1" x14ac:dyDescent="0.4">
      <c r="A8" s="185">
        <v>4</v>
      </c>
      <c r="B8" s="81" t="s">
        <v>383</v>
      </c>
      <c r="C8" s="198">
        <v>0.25</v>
      </c>
      <c r="D8" s="81">
        <v>18.7</v>
      </c>
      <c r="E8" s="81">
        <v>12</v>
      </c>
      <c r="F8" s="81">
        <v>3.6</v>
      </c>
      <c r="G8" s="81">
        <v>40</v>
      </c>
      <c r="H8" s="201" t="s">
        <v>384</v>
      </c>
    </row>
    <row r="9" spans="1:8" x14ac:dyDescent="0.35">
      <c r="D9" s="10"/>
      <c r="F9" s="10"/>
      <c r="G9" s="10"/>
      <c r="H9" s="32"/>
    </row>
    <row r="10" spans="1:8" x14ac:dyDescent="0.35">
      <c r="D10" s="10"/>
      <c r="F10" s="10"/>
      <c r="G10" s="10"/>
      <c r="H10" s="32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6E905"/>
  </sheetPr>
  <dimension ref="A1:F8"/>
  <sheetViews>
    <sheetView zoomScale="120" zoomScaleNormal="120" workbookViewId="0">
      <selection activeCell="D2" sqref="D2"/>
    </sheetView>
  </sheetViews>
  <sheetFormatPr defaultColWidth="11.59765625" defaultRowHeight="12.75" x14ac:dyDescent="0.35"/>
  <cols>
    <col min="2" max="2" width="24.73046875" customWidth="1"/>
  </cols>
  <sheetData>
    <row r="1" spans="1:6" ht="15" x14ac:dyDescent="0.4">
      <c r="A1" s="28" t="s">
        <v>385</v>
      </c>
      <c r="B1" s="28"/>
      <c r="C1" s="28"/>
      <c r="D1" s="202" t="s">
        <v>463</v>
      </c>
    </row>
    <row r="2" spans="1:6" ht="30.75" x14ac:dyDescent="0.35">
      <c r="A2" s="163" t="s">
        <v>366</v>
      </c>
      <c r="B2" s="163" t="s">
        <v>386</v>
      </c>
      <c r="C2" s="163" t="s">
        <v>387</v>
      </c>
      <c r="D2" s="163" t="s">
        <v>388</v>
      </c>
      <c r="E2" s="163"/>
      <c r="F2" t="s">
        <v>389</v>
      </c>
    </row>
    <row r="3" spans="1:6" x14ac:dyDescent="0.35">
      <c r="A3" s="164"/>
      <c r="B3" s="164"/>
      <c r="C3" s="164"/>
      <c r="D3" s="164"/>
      <c r="E3" s="165"/>
    </row>
    <row r="4" spans="1:6" ht="13.15" thickBot="1" x14ac:dyDescent="0.4">
      <c r="A4" s="166"/>
      <c r="B4" s="166"/>
      <c r="C4" s="166"/>
      <c r="D4" s="166" t="s">
        <v>376</v>
      </c>
      <c r="E4" s="166"/>
    </row>
    <row r="5" spans="1:6" x14ac:dyDescent="0.35">
      <c r="A5" s="203">
        <v>1</v>
      </c>
      <c r="B5" s="204" t="s">
        <v>390</v>
      </c>
      <c r="C5" s="205">
        <v>0.2</v>
      </c>
      <c r="D5" s="204">
        <v>2.2999999999999998</v>
      </c>
      <c r="E5" s="206"/>
    </row>
    <row r="6" spans="1:6" x14ac:dyDescent="0.35">
      <c r="A6" s="181">
        <v>2</v>
      </c>
      <c r="B6" s="74" t="s">
        <v>391</v>
      </c>
      <c r="C6" s="167">
        <v>0.6</v>
      </c>
      <c r="D6" s="74">
        <v>7.4</v>
      </c>
      <c r="E6" s="182"/>
    </row>
    <row r="7" spans="1:6" ht="13.15" thickBot="1" x14ac:dyDescent="0.4">
      <c r="A7" s="185">
        <v>3</v>
      </c>
      <c r="B7" s="81" t="s">
        <v>392</v>
      </c>
      <c r="C7" s="198">
        <v>0.2</v>
      </c>
      <c r="D7" s="81">
        <v>22</v>
      </c>
      <c r="E7" s="189"/>
    </row>
    <row r="8" spans="1:6" x14ac:dyDescent="0.35">
      <c r="C8" s="31"/>
      <c r="D8" s="10"/>
      <c r="E8" s="32"/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zoomScale="120" zoomScaleNormal="120" workbookViewId="0">
      <selection activeCell="H16" sqref="H11:H16"/>
    </sheetView>
  </sheetViews>
  <sheetFormatPr defaultColWidth="11.59765625" defaultRowHeight="12.75" x14ac:dyDescent="0.35"/>
  <sheetData>
    <row r="1" spans="1:4" x14ac:dyDescent="0.35">
      <c r="C1" t="s">
        <v>393</v>
      </c>
      <c r="D1" t="s">
        <v>66</v>
      </c>
    </row>
    <row r="2" spans="1:4" x14ac:dyDescent="0.35">
      <c r="A2" t="s">
        <v>394</v>
      </c>
      <c r="B2" t="s">
        <v>395</v>
      </c>
      <c r="C2" t="s">
        <v>396</v>
      </c>
      <c r="D2" t="s">
        <v>396</v>
      </c>
    </row>
    <row r="3" spans="1:4" x14ac:dyDescent="0.35">
      <c r="B3" t="s">
        <v>397</v>
      </c>
      <c r="C3" t="s">
        <v>396</v>
      </c>
      <c r="D3" t="s">
        <v>396</v>
      </c>
    </row>
    <row r="4" spans="1:4" x14ac:dyDescent="0.35">
      <c r="B4" t="s">
        <v>398</v>
      </c>
      <c r="C4" t="s">
        <v>399</v>
      </c>
      <c r="D4" t="s">
        <v>396</v>
      </c>
    </row>
    <row r="5" spans="1:4" x14ac:dyDescent="0.35">
      <c r="B5" t="s">
        <v>400</v>
      </c>
      <c r="C5" t="s">
        <v>399</v>
      </c>
      <c r="D5" t="s">
        <v>396</v>
      </c>
    </row>
    <row r="6" spans="1:4" x14ac:dyDescent="0.35">
      <c r="A6" t="s">
        <v>14</v>
      </c>
      <c r="B6" t="s">
        <v>401</v>
      </c>
      <c r="C6" t="s">
        <v>396</v>
      </c>
      <c r="D6" t="s">
        <v>396</v>
      </c>
    </row>
    <row r="7" spans="1:4" x14ac:dyDescent="0.35">
      <c r="B7" t="s">
        <v>402</v>
      </c>
      <c r="C7" t="s">
        <v>403</v>
      </c>
      <c r="D7" t="s">
        <v>404</v>
      </c>
    </row>
    <row r="8" spans="1:4" x14ac:dyDescent="0.35">
      <c r="B8" t="s">
        <v>405</v>
      </c>
      <c r="C8" t="s">
        <v>396</v>
      </c>
      <c r="D8" t="s">
        <v>406</v>
      </c>
    </row>
    <row r="9" spans="1:4" x14ac:dyDescent="0.35">
      <c r="B9" t="s">
        <v>407</v>
      </c>
      <c r="C9" t="s">
        <v>396</v>
      </c>
      <c r="D9" t="s">
        <v>408</v>
      </c>
    </row>
    <row r="10" spans="1:4" x14ac:dyDescent="0.35">
      <c r="A10" t="s">
        <v>409</v>
      </c>
      <c r="B10" t="s">
        <v>410</v>
      </c>
      <c r="C10" t="s">
        <v>396</v>
      </c>
      <c r="D10" t="s">
        <v>399</v>
      </c>
    </row>
    <row r="11" spans="1:4" x14ac:dyDescent="0.35">
      <c r="B11" t="s">
        <v>407</v>
      </c>
      <c r="C11" t="s">
        <v>396</v>
      </c>
      <c r="D11" t="s">
        <v>399</v>
      </c>
    </row>
    <row r="12" spans="1:4" x14ac:dyDescent="0.35">
      <c r="A12" t="s">
        <v>411</v>
      </c>
      <c r="B12" t="s">
        <v>412</v>
      </c>
      <c r="C12" t="s">
        <v>396</v>
      </c>
      <c r="D12" t="s">
        <v>406</v>
      </c>
    </row>
    <row r="13" spans="1:4" x14ac:dyDescent="0.35">
      <c r="B13" t="s">
        <v>413</v>
      </c>
      <c r="C13" t="s">
        <v>399</v>
      </c>
      <c r="D13" t="s">
        <v>396</v>
      </c>
    </row>
    <row r="14" spans="1:4" x14ac:dyDescent="0.35">
      <c r="B14" t="s">
        <v>414</v>
      </c>
      <c r="C14" t="s">
        <v>399</v>
      </c>
      <c r="D14" t="s">
        <v>415</v>
      </c>
    </row>
    <row r="15" spans="1:4" x14ac:dyDescent="0.35">
      <c r="B15" t="s">
        <v>416</v>
      </c>
      <c r="C15" t="s">
        <v>396</v>
      </c>
      <c r="D15" t="s">
        <v>406</v>
      </c>
    </row>
    <row r="16" spans="1:4" x14ac:dyDescent="0.35">
      <c r="A16" t="s">
        <v>417</v>
      </c>
      <c r="B16" t="s">
        <v>418</v>
      </c>
      <c r="C16" t="s">
        <v>399</v>
      </c>
      <c r="D16" t="s">
        <v>396</v>
      </c>
    </row>
    <row r="17" spans="2:4" x14ac:dyDescent="0.35">
      <c r="B17" t="s">
        <v>419</v>
      </c>
      <c r="C17" t="s">
        <v>399</v>
      </c>
      <c r="D17" t="s">
        <v>399</v>
      </c>
    </row>
    <row r="18" spans="2:4" x14ac:dyDescent="0.35">
      <c r="B18" t="s">
        <v>407</v>
      </c>
      <c r="C18" t="s">
        <v>399</v>
      </c>
      <c r="D18" t="s">
        <v>399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Appliances</vt:lpstr>
      <vt:lpstr>ActivityStats</vt:lpstr>
      <vt:lpstr>Lighting</vt:lpstr>
      <vt:lpstr>Heating Systems</vt:lpstr>
      <vt:lpstr>Buildings</vt:lpstr>
      <vt:lpstr>Electric Cars</vt:lpstr>
      <vt:lpstr>Charging Station</vt:lpstr>
      <vt:lpstr>Current 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Barsanti Matteo</cp:lastModifiedBy>
  <cp:revision>55</cp:revision>
  <dcterms:created xsi:type="dcterms:W3CDTF">2017-10-20T23:41:04Z</dcterms:created>
  <dcterms:modified xsi:type="dcterms:W3CDTF">2022-11-28T15:48:13Z</dcterms:modified>
  <dc:language>en-US</dc:language>
</cp:coreProperties>
</file>