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santi.INTRANET\Desktop\PhD\3_CODEs\demod_Matteo\demod\datasets\Germany\raw_data\"/>
    </mc:Choice>
  </mc:AlternateContent>
  <xr:revisionPtr revIDLastSave="0" documentId="13_ncr:1_{22ECFEBD-DD7D-4B7A-8919-BAE94970286D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Appliances" sheetId="1" r:id="rId1"/>
    <sheet name="ActivityStats" sheetId="2" r:id="rId2"/>
    <sheet name="Lighting" sheetId="3" r:id="rId3"/>
    <sheet name="Heating Systems" sheetId="4" r:id="rId4"/>
    <sheet name="Buildings" sheetId="5" r:id="rId5"/>
    <sheet name="Main" sheetId="6" r:id="rId6"/>
    <sheet name="Electric Cars" sheetId="7" r:id="rId7"/>
    <sheet name="Charging Station" sheetId="8" r:id="rId8"/>
    <sheet name="Current track" sheetId="9" r:id="rId9"/>
  </sheets>
  <externalReferences>
    <externalReference r:id="rId10"/>
  </externalReferences>
  <definedNames>
    <definedName name="rProbActivelyOccupied">[1]ActivityStats!$D$10</definedName>
  </definedName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T13" i="5" l="1"/>
  <c r="S13" i="5"/>
  <c r="P13" i="5"/>
  <c r="Q13" i="5" s="1"/>
  <c r="M13" i="5"/>
  <c r="O13" i="5" s="1"/>
  <c r="G13" i="5"/>
  <c r="T12" i="5"/>
  <c r="S12" i="5"/>
  <c r="P12" i="5"/>
  <c r="Q12" i="5" s="1"/>
  <c r="O12" i="5"/>
  <c r="M12" i="5"/>
  <c r="G12" i="5"/>
  <c r="S11" i="5"/>
  <c r="T11" i="5" s="1"/>
  <c r="M11" i="5"/>
  <c r="S10" i="5"/>
  <c r="T10" i="5" s="1"/>
  <c r="P10" i="5"/>
  <c r="Q10" i="5" s="1"/>
  <c r="O10" i="5"/>
  <c r="M10" i="5"/>
  <c r="S9" i="5"/>
  <c r="T9" i="5" s="1"/>
  <c r="M9" i="5"/>
  <c r="T8" i="5"/>
  <c r="S8" i="5"/>
  <c r="P8" i="5"/>
  <c r="Q8" i="5" s="1"/>
  <c r="M8" i="5"/>
  <c r="O8" i="5" s="1"/>
  <c r="S7" i="5"/>
  <c r="T7" i="5" s="1"/>
  <c r="M7" i="5"/>
  <c r="S6" i="5"/>
  <c r="T6" i="5" s="1"/>
  <c r="P6" i="5"/>
  <c r="Q6" i="5" s="1"/>
  <c r="O6" i="5"/>
  <c r="M6" i="5"/>
  <c r="P11" i="4"/>
  <c r="J11" i="4"/>
  <c r="H11" i="4"/>
  <c r="D11" i="4"/>
  <c r="J10" i="4"/>
  <c r="H10" i="4"/>
  <c r="P10" i="4" s="1"/>
  <c r="D10" i="4"/>
  <c r="P9" i="4"/>
  <c r="J9" i="4"/>
  <c r="H9" i="4"/>
  <c r="D9" i="4"/>
  <c r="J8" i="4"/>
  <c r="H8" i="4"/>
  <c r="P8" i="4" s="1"/>
  <c r="D8" i="4"/>
  <c r="P7" i="4"/>
  <c r="J7" i="4"/>
  <c r="H7" i="4"/>
  <c r="D7" i="4"/>
  <c r="J6" i="4"/>
  <c r="H6" i="4"/>
  <c r="P6" i="4" s="1"/>
  <c r="D6" i="4"/>
  <c r="AG47" i="1"/>
  <c r="W47" i="1"/>
  <c r="Y47" i="1" s="1"/>
  <c r="Z47" i="1" s="1"/>
  <c r="AA47" i="1" s="1"/>
  <c r="S47" i="1"/>
  <c r="T47" i="1" s="1"/>
  <c r="R47" i="1"/>
  <c r="L47" i="1"/>
  <c r="M47" i="1" s="1"/>
  <c r="N47" i="1" s="1"/>
  <c r="K47" i="1"/>
  <c r="O47" i="1" s="1"/>
  <c r="I47" i="1"/>
  <c r="H47" i="1"/>
  <c r="J47" i="1" s="1"/>
  <c r="AG46" i="1"/>
  <c r="X46" i="1"/>
  <c r="S46" i="1"/>
  <c r="T46" i="1" s="1"/>
  <c r="R46" i="1"/>
  <c r="M46" i="1"/>
  <c r="L46" i="1"/>
  <c r="I46" i="1"/>
  <c r="W46" i="1" s="1"/>
  <c r="Y46" i="1" s="1"/>
  <c r="Z46" i="1" s="1"/>
  <c r="H46" i="1"/>
  <c r="X45" i="1"/>
  <c r="AG45" i="1" s="1"/>
  <c r="W45" i="1"/>
  <c r="T45" i="1"/>
  <c r="S45" i="1"/>
  <c r="R45" i="1"/>
  <c r="L45" i="1"/>
  <c r="M45" i="1" s="1"/>
  <c r="N45" i="1" s="1"/>
  <c r="I45" i="1"/>
  <c r="H45" i="1"/>
  <c r="J45" i="1" s="1"/>
  <c r="K45" i="1" s="1"/>
  <c r="O45" i="1" s="1"/>
  <c r="AG44" i="1"/>
  <c r="Y44" i="1"/>
  <c r="Z44" i="1" s="1"/>
  <c r="S44" i="1"/>
  <c r="T44" i="1" s="1"/>
  <c r="R44" i="1"/>
  <c r="L44" i="1"/>
  <c r="M44" i="1" s="1"/>
  <c r="N44" i="1" s="1"/>
  <c r="I44" i="1"/>
  <c r="W44" i="1" s="1"/>
  <c r="H44" i="1"/>
  <c r="J44" i="1" s="1"/>
  <c r="K44" i="1" s="1"/>
  <c r="O44" i="1" s="1"/>
  <c r="AG43" i="1"/>
  <c r="Z43" i="1"/>
  <c r="S43" i="1"/>
  <c r="R43" i="1"/>
  <c r="L43" i="1"/>
  <c r="M43" i="1" s="1"/>
  <c r="N43" i="1" s="1"/>
  <c r="I43" i="1"/>
  <c r="W43" i="1" s="1"/>
  <c r="Y43" i="1" s="1"/>
  <c r="H43" i="1"/>
  <c r="J43" i="1" s="1"/>
  <c r="K43" i="1" s="1"/>
  <c r="O43" i="1" s="1"/>
  <c r="AG42" i="1"/>
  <c r="Z42" i="1"/>
  <c r="S42" i="1"/>
  <c r="R42" i="1"/>
  <c r="L42" i="1"/>
  <c r="M42" i="1" s="1"/>
  <c r="N42" i="1" s="1"/>
  <c r="I42" i="1"/>
  <c r="W42" i="1" s="1"/>
  <c r="Y42" i="1" s="1"/>
  <c r="H42" i="1"/>
  <c r="J42" i="1" s="1"/>
  <c r="K42" i="1" s="1"/>
  <c r="O42" i="1" s="1"/>
  <c r="AG41" i="1"/>
  <c r="Z41" i="1"/>
  <c r="S41" i="1"/>
  <c r="R41" i="1"/>
  <c r="L41" i="1"/>
  <c r="M41" i="1" s="1"/>
  <c r="N41" i="1" s="1"/>
  <c r="I41" i="1"/>
  <c r="W41" i="1" s="1"/>
  <c r="Y41" i="1" s="1"/>
  <c r="H41" i="1"/>
  <c r="J41" i="1" s="1"/>
  <c r="K41" i="1" s="1"/>
  <c r="O41" i="1" s="1"/>
  <c r="AG40" i="1"/>
  <c r="Z40" i="1"/>
  <c r="S40" i="1"/>
  <c r="R40" i="1"/>
  <c r="L40" i="1"/>
  <c r="M40" i="1" s="1"/>
  <c r="N40" i="1" s="1"/>
  <c r="I40" i="1"/>
  <c r="W40" i="1" s="1"/>
  <c r="Y40" i="1" s="1"/>
  <c r="H40" i="1"/>
  <c r="J40" i="1" s="1"/>
  <c r="K40" i="1" s="1"/>
  <c r="O40" i="1" s="1"/>
  <c r="AG39" i="1"/>
  <c r="Z39" i="1"/>
  <c r="S39" i="1"/>
  <c r="R39" i="1"/>
  <c r="L39" i="1"/>
  <c r="M39" i="1" s="1"/>
  <c r="N39" i="1" s="1"/>
  <c r="I39" i="1"/>
  <c r="W39" i="1" s="1"/>
  <c r="Y39" i="1" s="1"/>
  <c r="H39" i="1"/>
  <c r="J39" i="1" s="1"/>
  <c r="K39" i="1" s="1"/>
  <c r="O39" i="1" s="1"/>
  <c r="AG38" i="1"/>
  <c r="Z38" i="1"/>
  <c r="S38" i="1"/>
  <c r="R38" i="1"/>
  <c r="L38" i="1"/>
  <c r="M38" i="1" s="1"/>
  <c r="N38" i="1" s="1"/>
  <c r="I38" i="1"/>
  <c r="W38" i="1" s="1"/>
  <c r="Y38" i="1" s="1"/>
  <c r="H38" i="1"/>
  <c r="J38" i="1" s="1"/>
  <c r="K38" i="1" s="1"/>
  <c r="O38" i="1" s="1"/>
  <c r="AG37" i="1"/>
  <c r="Z37" i="1"/>
  <c r="S37" i="1"/>
  <c r="R37" i="1"/>
  <c r="L37" i="1"/>
  <c r="M37" i="1" s="1"/>
  <c r="N37" i="1" s="1"/>
  <c r="I37" i="1"/>
  <c r="W37" i="1" s="1"/>
  <c r="Y37" i="1" s="1"/>
  <c r="H37" i="1"/>
  <c r="J37" i="1" s="1"/>
  <c r="K37" i="1" s="1"/>
  <c r="O37" i="1" s="1"/>
  <c r="AG36" i="1"/>
  <c r="Z36" i="1"/>
  <c r="S36" i="1"/>
  <c r="R36" i="1"/>
  <c r="L36" i="1"/>
  <c r="M36" i="1" s="1"/>
  <c r="N36" i="1" s="1"/>
  <c r="I36" i="1"/>
  <c r="W36" i="1" s="1"/>
  <c r="Y36" i="1" s="1"/>
  <c r="H36" i="1"/>
  <c r="J36" i="1" s="1"/>
  <c r="K36" i="1" s="1"/>
  <c r="O36" i="1" s="1"/>
  <c r="AG35" i="1"/>
  <c r="AB35" i="1"/>
  <c r="AA35" i="1"/>
  <c r="S35" i="1"/>
  <c r="R35" i="1"/>
  <c r="M35" i="1"/>
  <c r="L35" i="1"/>
  <c r="I35" i="1"/>
  <c r="H35" i="1"/>
  <c r="AG34" i="1"/>
  <c r="S34" i="1"/>
  <c r="R34" i="1"/>
  <c r="M34" i="1"/>
  <c r="N34" i="1" s="1"/>
  <c r="L34" i="1"/>
  <c r="I34" i="1"/>
  <c r="W34" i="1" s="1"/>
  <c r="Y34" i="1" s="1"/>
  <c r="Z34" i="1" s="1"/>
  <c r="AB34" i="1" s="1"/>
  <c r="H34" i="1"/>
  <c r="AG33" i="1"/>
  <c r="S33" i="1"/>
  <c r="R33" i="1"/>
  <c r="M33" i="1"/>
  <c r="N33" i="1" s="1"/>
  <c r="L33" i="1"/>
  <c r="I33" i="1"/>
  <c r="H33" i="1"/>
  <c r="AG32" i="1"/>
  <c r="S32" i="1"/>
  <c r="R32" i="1"/>
  <c r="M32" i="1"/>
  <c r="L32" i="1"/>
  <c r="I32" i="1"/>
  <c r="W32" i="1" s="1"/>
  <c r="Y32" i="1" s="1"/>
  <c r="Z32" i="1" s="1"/>
  <c r="AB32" i="1" s="1"/>
  <c r="H32" i="1"/>
  <c r="AG31" i="1"/>
  <c r="S31" i="1"/>
  <c r="R31" i="1"/>
  <c r="M31" i="1"/>
  <c r="N31" i="1" s="1"/>
  <c r="L31" i="1"/>
  <c r="I31" i="1"/>
  <c r="H31" i="1"/>
  <c r="AG30" i="1"/>
  <c r="S30" i="1"/>
  <c r="R30" i="1"/>
  <c r="M30" i="1"/>
  <c r="L30" i="1"/>
  <c r="I30" i="1"/>
  <c r="W30" i="1" s="1"/>
  <c r="Y30" i="1" s="1"/>
  <c r="Z30" i="1" s="1"/>
  <c r="AB30" i="1" s="1"/>
  <c r="H30" i="1"/>
  <c r="J30" i="1" s="1"/>
  <c r="K30" i="1" s="1"/>
  <c r="O30" i="1" s="1"/>
  <c r="AG29" i="1"/>
  <c r="S29" i="1"/>
  <c r="R29" i="1"/>
  <c r="M29" i="1"/>
  <c r="L29" i="1"/>
  <c r="I29" i="1"/>
  <c r="J29" i="1" s="1"/>
  <c r="K29" i="1" s="1"/>
  <c r="O29" i="1" s="1"/>
  <c r="H29" i="1"/>
  <c r="AG28" i="1"/>
  <c r="AB28" i="1"/>
  <c r="AA28" i="1"/>
  <c r="S28" i="1"/>
  <c r="R28" i="1"/>
  <c r="M28" i="1"/>
  <c r="N28" i="1" s="1"/>
  <c r="AC28" i="1" s="1"/>
  <c r="AD28" i="1" s="1"/>
  <c r="AE28" i="1" s="1"/>
  <c r="AF28" i="1" s="1"/>
  <c r="L28" i="1"/>
  <c r="I28" i="1"/>
  <c r="W28" i="1" s="1"/>
  <c r="Y28" i="1" s="1"/>
  <c r="Z28" i="1" s="1"/>
  <c r="H28" i="1"/>
  <c r="J28" i="1" s="1"/>
  <c r="K28" i="1" s="1"/>
  <c r="O28" i="1" s="1"/>
  <c r="AG27" i="1"/>
  <c r="Z27" i="1"/>
  <c r="AB27" i="1" s="1"/>
  <c r="W27" i="1"/>
  <c r="Y27" i="1" s="1"/>
  <c r="S27" i="1"/>
  <c r="R27" i="1"/>
  <c r="M27" i="1"/>
  <c r="N27" i="1" s="1"/>
  <c r="L27" i="1"/>
  <c r="J27" i="1"/>
  <c r="K27" i="1" s="1"/>
  <c r="O27" i="1" s="1"/>
  <c r="I27" i="1"/>
  <c r="H27" i="1"/>
  <c r="AG26" i="1"/>
  <c r="S26" i="1"/>
  <c r="R26" i="1"/>
  <c r="M26" i="1"/>
  <c r="L26" i="1"/>
  <c r="I26" i="1"/>
  <c r="W26" i="1" s="1"/>
  <c r="Y26" i="1" s="1"/>
  <c r="Z26" i="1" s="1"/>
  <c r="AB26" i="1" s="1"/>
  <c r="H26" i="1"/>
  <c r="J26" i="1" s="1"/>
  <c r="K26" i="1" s="1"/>
  <c r="O26" i="1" s="1"/>
  <c r="AG25" i="1"/>
  <c r="S25" i="1"/>
  <c r="R25" i="1"/>
  <c r="L25" i="1"/>
  <c r="M25" i="1" s="1"/>
  <c r="N25" i="1" s="1"/>
  <c r="I25" i="1"/>
  <c r="W25" i="1" s="1"/>
  <c r="Y25" i="1" s="1"/>
  <c r="Z25" i="1" s="1"/>
  <c r="H25" i="1"/>
  <c r="AG24" i="1"/>
  <c r="S24" i="1"/>
  <c r="R24" i="1"/>
  <c r="L24" i="1"/>
  <c r="M24" i="1" s="1"/>
  <c r="N24" i="1" s="1"/>
  <c r="I24" i="1"/>
  <c r="W24" i="1" s="1"/>
  <c r="Y24" i="1" s="1"/>
  <c r="Z24" i="1" s="1"/>
  <c r="H24" i="1"/>
  <c r="J24" i="1" s="1"/>
  <c r="K24" i="1" s="1"/>
  <c r="AG23" i="1"/>
  <c r="S23" i="1"/>
  <c r="R23" i="1"/>
  <c r="M23" i="1"/>
  <c r="L23" i="1"/>
  <c r="I23" i="1"/>
  <c r="W23" i="1" s="1"/>
  <c r="Y23" i="1" s="1"/>
  <c r="Z23" i="1" s="1"/>
  <c r="H23" i="1"/>
  <c r="J23" i="1" s="1"/>
  <c r="K23" i="1" s="1"/>
  <c r="O23" i="1" s="1"/>
  <c r="AG22" i="1"/>
  <c r="S22" i="1"/>
  <c r="R22" i="1"/>
  <c r="M22" i="1"/>
  <c r="N22" i="1" s="1"/>
  <c r="L22" i="1"/>
  <c r="I22" i="1"/>
  <c r="W22" i="1" s="1"/>
  <c r="Y22" i="1" s="1"/>
  <c r="Z22" i="1" s="1"/>
  <c r="H22" i="1"/>
  <c r="J22" i="1" s="1"/>
  <c r="K22" i="1" s="1"/>
  <c r="AG21" i="1"/>
  <c r="S21" i="1"/>
  <c r="R21" i="1"/>
  <c r="L21" i="1"/>
  <c r="M21" i="1" s="1"/>
  <c r="N21" i="1" s="1"/>
  <c r="I21" i="1"/>
  <c r="W21" i="1" s="1"/>
  <c r="Y21" i="1" s="1"/>
  <c r="Z21" i="1" s="1"/>
  <c r="H21" i="1"/>
  <c r="J21" i="1" s="1"/>
  <c r="K21" i="1" s="1"/>
  <c r="O21" i="1" s="1"/>
  <c r="AG20" i="1"/>
  <c r="AB20" i="1"/>
  <c r="AA20" i="1"/>
  <c r="S20" i="1"/>
  <c r="R20" i="1"/>
  <c r="M20" i="1"/>
  <c r="N20" i="1" s="1"/>
  <c r="AC20" i="1" s="1"/>
  <c r="L20" i="1"/>
  <c r="J20" i="1"/>
  <c r="K20" i="1" s="1"/>
  <c r="O20" i="1" s="1"/>
  <c r="I20" i="1"/>
  <c r="W20" i="1" s="1"/>
  <c r="Y20" i="1" s="1"/>
  <c r="H20" i="1"/>
  <c r="AG19" i="1"/>
  <c r="AA19" i="1"/>
  <c r="W19" i="1"/>
  <c r="Y19" i="1" s="1"/>
  <c r="Z19" i="1" s="1"/>
  <c r="U19" i="1"/>
  <c r="AB19" i="1" s="1"/>
  <c r="S19" i="1"/>
  <c r="R19" i="1"/>
  <c r="L19" i="1"/>
  <c r="M19" i="1" s="1"/>
  <c r="N19" i="1" s="1"/>
  <c r="I19" i="1"/>
  <c r="H19" i="1"/>
  <c r="J19" i="1" s="1"/>
  <c r="K19" i="1" s="1"/>
  <c r="O19" i="1" s="1"/>
  <c r="AG18" i="1"/>
  <c r="W18" i="1"/>
  <c r="Y18" i="1" s="1"/>
  <c r="Z18" i="1" s="1"/>
  <c r="U18" i="1"/>
  <c r="S18" i="1"/>
  <c r="R18" i="1"/>
  <c r="L18" i="1"/>
  <c r="M18" i="1" s="1"/>
  <c r="N18" i="1" s="1"/>
  <c r="I18" i="1"/>
  <c r="H18" i="1"/>
  <c r="J18" i="1" s="1"/>
  <c r="K18" i="1" s="1"/>
  <c r="AG17" i="1"/>
  <c r="U17" i="1"/>
  <c r="S17" i="1"/>
  <c r="R17" i="1"/>
  <c r="M17" i="1"/>
  <c r="L17" i="1"/>
  <c r="I17" i="1"/>
  <c r="W17" i="1" s="1"/>
  <c r="Y17" i="1" s="1"/>
  <c r="Z17" i="1" s="1"/>
  <c r="H17" i="1"/>
  <c r="AG16" i="1"/>
  <c r="U16" i="1"/>
  <c r="S16" i="1"/>
  <c r="R16" i="1"/>
  <c r="M16" i="1"/>
  <c r="N16" i="1" s="1"/>
  <c r="L16" i="1"/>
  <c r="I16" i="1"/>
  <c r="W16" i="1" s="1"/>
  <c r="Y16" i="1" s="1"/>
  <c r="Z16" i="1" s="1"/>
  <c r="H16" i="1"/>
  <c r="AA16" i="1" l="1"/>
  <c r="AC16" i="1" s="1"/>
  <c r="AD16" i="1" s="1"/>
  <c r="AE16" i="1" s="1"/>
  <c r="AF16" i="1" s="1"/>
  <c r="AB16" i="1"/>
  <c r="AB23" i="1"/>
  <c r="AA23" i="1"/>
  <c r="AC24" i="1"/>
  <c r="AD24" i="1" s="1"/>
  <c r="AE24" i="1" s="1"/>
  <c r="AF24" i="1" s="1"/>
  <c r="AB17" i="1"/>
  <c r="AA17" i="1"/>
  <c r="AC19" i="1"/>
  <c r="AD19" i="1" s="1"/>
  <c r="AE19" i="1" s="1"/>
  <c r="AF19" i="1" s="1"/>
  <c r="AA22" i="1"/>
  <c r="AC22" i="1" s="1"/>
  <c r="AD22" i="1" s="1"/>
  <c r="AE22" i="1" s="1"/>
  <c r="AF22" i="1" s="1"/>
  <c r="AB22" i="1"/>
  <c r="AC44" i="1"/>
  <c r="AD44" i="1" s="1"/>
  <c r="AE44" i="1" s="1"/>
  <c r="AF44" i="1" s="1"/>
  <c r="AB21" i="1"/>
  <c r="AC21" i="1" s="1"/>
  <c r="AD21" i="1" s="1"/>
  <c r="AE21" i="1" s="1"/>
  <c r="AF21" i="1" s="1"/>
  <c r="AA21" i="1"/>
  <c r="AD20" i="1"/>
  <c r="AA18" i="1"/>
  <c r="AC18" i="1" s="1"/>
  <c r="AD18" i="1" s="1"/>
  <c r="AE18" i="1" s="1"/>
  <c r="AF18" i="1" s="1"/>
  <c r="AB18" i="1"/>
  <c r="AB25" i="1"/>
  <c r="AA25" i="1"/>
  <c r="AC25" i="1" s="1"/>
  <c r="AD25" i="1" s="1"/>
  <c r="AE25" i="1" s="1"/>
  <c r="AF25" i="1" s="1"/>
  <c r="O18" i="1"/>
  <c r="AB24" i="1"/>
  <c r="AA24" i="1"/>
  <c r="AB46" i="1"/>
  <c r="AA46" i="1"/>
  <c r="N17" i="1"/>
  <c r="AC17" i="1" s="1"/>
  <c r="AD17" i="1" s="1"/>
  <c r="AE17" i="1" s="1"/>
  <c r="AF17" i="1" s="1"/>
  <c r="N23" i="1"/>
  <c r="AC23" i="1" s="1"/>
  <c r="AD23" i="1" s="1"/>
  <c r="AE23" i="1" s="1"/>
  <c r="AF23" i="1" s="1"/>
  <c r="N26" i="1"/>
  <c r="W29" i="1"/>
  <c r="Y29" i="1" s="1"/>
  <c r="Z29" i="1" s="1"/>
  <c r="J25" i="1"/>
  <c r="K25" i="1" s="1"/>
  <c r="O25" i="1" s="1"/>
  <c r="AA27" i="1"/>
  <c r="N30" i="1"/>
  <c r="W31" i="1"/>
  <c r="Y31" i="1" s="1"/>
  <c r="Z31" i="1" s="1"/>
  <c r="J31" i="1"/>
  <c r="K31" i="1" s="1"/>
  <c r="O31" i="1" s="1"/>
  <c r="J32" i="1"/>
  <c r="K32" i="1" s="1"/>
  <c r="O32" i="1" s="1"/>
  <c r="AA34" i="1"/>
  <c r="AC34" i="1" s="1"/>
  <c r="AD34" i="1" s="1"/>
  <c r="AE34" i="1" s="1"/>
  <c r="AF34" i="1" s="1"/>
  <c r="J46" i="1"/>
  <c r="K46" i="1" s="1"/>
  <c r="O46" i="1" s="1"/>
  <c r="O24" i="1"/>
  <c r="AB36" i="1"/>
  <c r="AA36" i="1"/>
  <c r="AB37" i="1"/>
  <c r="AA37" i="1"/>
  <c r="AC37" i="1" s="1"/>
  <c r="AD37" i="1" s="1"/>
  <c r="AE37" i="1" s="1"/>
  <c r="AF37" i="1" s="1"/>
  <c r="AB38" i="1"/>
  <c r="AA38" i="1"/>
  <c r="AB39" i="1"/>
  <c r="AA39" i="1"/>
  <c r="AC39" i="1" s="1"/>
  <c r="AD39" i="1" s="1"/>
  <c r="AE39" i="1" s="1"/>
  <c r="AF39" i="1" s="1"/>
  <c r="AB40" i="1"/>
  <c r="AA40" i="1"/>
  <c r="AC40" i="1" s="1"/>
  <c r="AD40" i="1" s="1"/>
  <c r="AE40" i="1" s="1"/>
  <c r="AF40" i="1" s="1"/>
  <c r="AB41" i="1"/>
  <c r="AA41" i="1"/>
  <c r="AC41" i="1" s="1"/>
  <c r="AD41" i="1" s="1"/>
  <c r="AE41" i="1" s="1"/>
  <c r="AF41" i="1" s="1"/>
  <c r="AB42" i="1"/>
  <c r="AA42" i="1"/>
  <c r="AB43" i="1"/>
  <c r="AA43" i="1"/>
  <c r="AB44" i="1"/>
  <c r="AA44" i="1"/>
  <c r="AA26" i="1"/>
  <c r="W33" i="1"/>
  <c r="Y33" i="1" s="1"/>
  <c r="Z33" i="1" s="1"/>
  <c r="J33" i="1"/>
  <c r="K33" i="1" s="1"/>
  <c r="O33" i="1" s="1"/>
  <c r="J34" i="1"/>
  <c r="K34" i="1" s="1"/>
  <c r="O34" i="1" s="1"/>
  <c r="AB47" i="1"/>
  <c r="P11" i="5"/>
  <c r="Q11" i="5" s="1"/>
  <c r="O11" i="5"/>
  <c r="AC27" i="1"/>
  <c r="AD27" i="1" s="1"/>
  <c r="AE27" i="1" s="1"/>
  <c r="AF27" i="1" s="1"/>
  <c r="AA30" i="1"/>
  <c r="N32" i="1"/>
  <c r="N46" i="1"/>
  <c r="J17" i="1"/>
  <c r="K17" i="1" s="1"/>
  <c r="O17" i="1" s="1"/>
  <c r="P9" i="5"/>
  <c r="Q9" i="5" s="1"/>
  <c r="O9" i="5"/>
  <c r="J16" i="1"/>
  <c r="K16" i="1" s="1"/>
  <c r="O16" i="1" s="1"/>
  <c r="N29" i="1"/>
  <c r="W35" i="1"/>
  <c r="Y35" i="1" s="1"/>
  <c r="J35" i="1"/>
  <c r="K35" i="1" s="1"/>
  <c r="O35" i="1" s="1"/>
  <c r="AC47" i="1"/>
  <c r="AD47" i="1" s="1"/>
  <c r="AE47" i="1" s="1"/>
  <c r="AF47" i="1" s="1"/>
  <c r="O22" i="1"/>
  <c r="AA32" i="1"/>
  <c r="N35" i="1"/>
  <c r="AC35" i="1" s="1"/>
  <c r="AD35" i="1" s="1"/>
  <c r="AC36" i="1"/>
  <c r="AD36" i="1" s="1"/>
  <c r="AE36" i="1" s="1"/>
  <c r="AF36" i="1" s="1"/>
  <c r="AC38" i="1"/>
  <c r="AD38" i="1" s="1"/>
  <c r="AE38" i="1" s="1"/>
  <c r="AF38" i="1" s="1"/>
  <c r="AC42" i="1"/>
  <c r="AD42" i="1" s="1"/>
  <c r="AE42" i="1" s="1"/>
  <c r="AF42" i="1" s="1"/>
  <c r="AC43" i="1"/>
  <c r="AD43" i="1" s="1"/>
  <c r="AE43" i="1" s="1"/>
  <c r="AF43" i="1" s="1"/>
  <c r="P7" i="5"/>
  <c r="Q7" i="5" s="1"/>
  <c r="O7" i="5"/>
  <c r="Y45" i="1"/>
  <c r="Z45" i="1" s="1"/>
  <c r="AB45" i="1" l="1"/>
  <c r="AA45" i="1"/>
  <c r="AC45" i="1" s="1"/>
  <c r="AD45" i="1" s="1"/>
  <c r="AE45" i="1" s="1"/>
  <c r="AF45" i="1" s="1"/>
  <c r="AC46" i="1"/>
  <c r="AD46" i="1" s="1"/>
  <c r="AE46" i="1" s="1"/>
  <c r="AF46" i="1" s="1"/>
  <c r="AB29" i="1"/>
  <c r="AA29" i="1"/>
  <c r="AC29" i="1" s="1"/>
  <c r="AD29" i="1" s="1"/>
  <c r="AE29" i="1" s="1"/>
  <c r="AF29" i="1" s="1"/>
  <c r="AB31" i="1"/>
  <c r="AA31" i="1"/>
  <c r="AC31" i="1" s="1"/>
  <c r="AD31" i="1" s="1"/>
  <c r="AE31" i="1" s="1"/>
  <c r="AF31" i="1" s="1"/>
  <c r="AC32" i="1"/>
  <c r="AD32" i="1" s="1"/>
  <c r="AE32" i="1" s="1"/>
  <c r="AF32" i="1" s="1"/>
  <c r="AB33" i="1"/>
  <c r="AA33" i="1"/>
  <c r="AC33" i="1" s="1"/>
  <c r="AD33" i="1" s="1"/>
  <c r="AE33" i="1" s="1"/>
  <c r="AF33" i="1" s="1"/>
  <c r="AC26" i="1"/>
  <c r="AD26" i="1" s="1"/>
  <c r="AE26" i="1" s="1"/>
  <c r="AF26" i="1" s="1"/>
  <c r="AC30" i="1"/>
  <c r="AD30" i="1" s="1"/>
  <c r="AE30" i="1" s="1"/>
  <c r="AF30" i="1" s="1"/>
</calcChain>
</file>

<file path=xl/sharedStrings.xml><?xml version="1.0" encoding="utf-8"?>
<sst xmlns="http://schemas.openxmlformats.org/spreadsheetml/2006/main" count="677" uniqueCount="472">
  <si>
    <t>Appliance and water fixture model configuration</t>
  </si>
  <si>
    <t>means used by code, from CREST</t>
  </si>
  <si>
    <t xml:space="preserve"> </t>
  </si>
  <si>
    <t>means for germany (appliance penetration dataset)</t>
  </si>
  <si>
    <t>derived from TOU</t>
  </si>
  <si>
    <t>From websites (must be improved)</t>
  </si>
  <si>
    <t>From charging time (websites)</t>
  </si>
  <si>
    <t>means ultimately a power input required from external data sources</t>
  </si>
  <si>
    <t>From Frondel 2019_Heterogeneity inGerman Residential Electricity Consumption A quantileregression approach.pdf</t>
  </si>
  <si>
    <t>Guessed</t>
  </si>
  <si>
    <t>Appliance category</t>
  </si>
  <si>
    <t>Appliance type</t>
  </si>
  <si>
    <t>Proportion</t>
  </si>
  <si>
    <t>Appliance demand configuration for UK</t>
  </si>
  <si>
    <t>of dwellings</t>
  </si>
  <si>
    <t>Time appliance</t>
  </si>
  <si>
    <t>Time when</t>
  </si>
  <si>
    <t xml:space="preserve">Time when </t>
  </si>
  <si>
    <t xml:space="preserve">Average tme </t>
  </si>
  <si>
    <t xml:space="preserve">Probability of </t>
  </si>
  <si>
    <t>Overall average demand</t>
  </si>
  <si>
    <t>Appliance</t>
  </si>
  <si>
    <t>with</t>
  </si>
  <si>
    <t>Associated</t>
  </si>
  <si>
    <t>Average</t>
  </si>
  <si>
    <t>Total number</t>
  </si>
  <si>
    <t>Average number</t>
  </si>
  <si>
    <t>Active occupancy</t>
  </si>
  <si>
    <t>Active</t>
  </si>
  <si>
    <t>Number of minutes</t>
  </si>
  <si>
    <t>Probability of</t>
  </si>
  <si>
    <t>Delay start</t>
  </si>
  <si>
    <t>Target number</t>
  </si>
  <si>
    <t>spent running</t>
  </si>
  <si>
    <t>spent in delayed</t>
  </si>
  <si>
    <t>appliance is</t>
  </si>
  <si>
    <t>appliance could</t>
  </si>
  <si>
    <t>between switch</t>
  </si>
  <si>
    <t>switch on event</t>
  </si>
  <si>
    <t>per dwelling taking</t>
  </si>
  <si>
    <t>mean</t>
  </si>
  <si>
    <t>Heat gains ratio</t>
  </si>
  <si>
    <t>appliance</t>
  </si>
  <si>
    <t>activity use</t>
  </si>
  <si>
    <t>activity in</t>
  </si>
  <si>
    <t>activity</t>
  </si>
  <si>
    <t>of minutes</t>
  </si>
  <si>
    <t>of minutes activity</t>
  </si>
  <si>
    <t>activity occurring</t>
  </si>
  <si>
    <t>dependent?</t>
  </si>
  <si>
    <t>occupancy-dependent</t>
  </si>
  <si>
    <t>in which appliance</t>
  </si>
  <si>
    <t xml:space="preserve">activity occurring </t>
  </si>
  <si>
    <t>Mean cycle</t>
  </si>
  <si>
    <t xml:space="preserve">Mean cycle </t>
  </si>
  <si>
    <t>after cycle</t>
  </si>
  <si>
    <t>Standby</t>
  </si>
  <si>
    <t>Standby losses</t>
  </si>
  <si>
    <t>Target demand</t>
  </si>
  <si>
    <t>of cycles</t>
  </si>
  <si>
    <t>in period</t>
  </si>
  <si>
    <t>restart mode</t>
  </si>
  <si>
    <t xml:space="preserve">available to </t>
  </si>
  <si>
    <t>be switched on</t>
  </si>
  <si>
    <t>on events</t>
  </si>
  <si>
    <t>ownership into</t>
  </si>
  <si>
    <t>power</t>
  </si>
  <si>
    <t>(for casual</t>
  </si>
  <si>
    <t>Appliance Names</t>
  </si>
  <si>
    <t>Short name</t>
  </si>
  <si>
    <t>profile</t>
  </si>
  <si>
    <t>GTOU</t>
  </si>
  <si>
    <t>probability</t>
  </si>
  <si>
    <t>performed in period</t>
  </si>
  <si>
    <t>can operate</t>
  </si>
  <si>
    <t>given active</t>
  </si>
  <si>
    <t>demand</t>
  </si>
  <si>
    <t>length</t>
  </si>
  <si>
    <t>has finished</t>
  </si>
  <si>
    <t>Power</t>
  </si>
  <si>
    <t>for period</t>
  </si>
  <si>
    <t>for cycles only</t>
  </si>
  <si>
    <t>switch on</t>
  </si>
  <si>
    <t>due to activity occurring</t>
  </si>
  <si>
    <t>account</t>
  </si>
  <si>
    <t>factor</t>
  </si>
  <si>
    <t>thermal gains)</t>
  </si>
  <si>
    <t>(minutes/year)</t>
  </si>
  <si>
    <t>multiplier</t>
  </si>
  <si>
    <t>(min)</t>
  </si>
  <si>
    <t>occupancy</t>
  </si>
  <si>
    <t>(W)</t>
  </si>
  <si>
    <t>(kWh)</t>
  </si>
  <si>
    <t>(kWh/y)</t>
  </si>
  <si>
    <t>(cycles/y)</t>
  </si>
  <si>
    <t>Water fixture configuration</t>
  </si>
  <si>
    <t>Time fixture</t>
  </si>
  <si>
    <t>fixture is</t>
  </si>
  <si>
    <t>fixture could</t>
  </si>
  <si>
    <t>in which fixture</t>
  </si>
  <si>
    <t>Standing loss</t>
  </si>
  <si>
    <t>Water fixture type</t>
  </si>
  <si>
    <t>flow rate</t>
  </si>
  <si>
    <t>flow volume</t>
  </si>
  <si>
    <t>duration</t>
  </si>
  <si>
    <t>volume for period</t>
  </si>
  <si>
    <t>(minutes/day)</t>
  </si>
  <si>
    <t>(litres/min)</t>
  </si>
  <si>
    <t>(litre)</t>
  </si>
  <si>
    <t>(litres)</t>
  </si>
  <si>
    <t>(litres/day)</t>
  </si>
  <si>
    <t>(cycles/day)</t>
  </si>
  <si>
    <t>name</t>
  </si>
  <si>
    <t>type</t>
  </si>
  <si>
    <t>equipped_prob</t>
  </si>
  <si>
    <t>related_activity</t>
  </si>
  <si>
    <t>inactive_switch_off</t>
  </si>
  <si>
    <t xml:space="preserve">mean_elec_consumption </t>
  </si>
  <si>
    <t xml:space="preserve">mean_water_consumption </t>
  </si>
  <si>
    <t xml:space="preserve">uses_water </t>
  </si>
  <si>
    <t xml:space="preserve">mean_duration </t>
  </si>
  <si>
    <t xml:space="preserve">after_cycle_delay </t>
  </si>
  <si>
    <t xml:space="preserve">standby_consumption </t>
  </si>
  <si>
    <t xml:space="preserve">poisson_sampling_lambda_liters </t>
  </si>
  <si>
    <t xml:space="preserve">target_cycle_year </t>
  </si>
  <si>
    <t xml:space="preserve">switch_on_prob_crest </t>
  </si>
  <si>
    <t xml:space="preserve">mean_power_factor </t>
  </si>
  <si>
    <t xml:space="preserve">heat_gains_ratio </t>
  </si>
  <si>
    <t>Cold</t>
  </si>
  <si>
    <t>Fridge</t>
  </si>
  <si>
    <t>FRIDGE1</t>
  </si>
  <si>
    <t xml:space="preserve">fridge </t>
  </si>
  <si>
    <t>level</t>
  </si>
  <si>
    <t>FRIDGE2</t>
  </si>
  <si>
    <t>Freezer</t>
  </si>
  <si>
    <t>FREEZER1</t>
  </si>
  <si>
    <t xml:space="preserve">freezer </t>
  </si>
  <si>
    <t>FREEZER2</t>
  </si>
  <si>
    <t>Consumer Electronics + ICT</t>
  </si>
  <si>
    <t>Telephone (fixed)</t>
  </si>
  <si>
    <t>PHONE</t>
  </si>
  <si>
    <t xml:space="preserve">fixed_phone </t>
  </si>
  <si>
    <t xml:space="preserve">active_occupancy </t>
  </si>
  <si>
    <t>Iron</t>
  </si>
  <si>
    <t>IRON</t>
  </si>
  <si>
    <t xml:space="preserve">iron </t>
  </si>
  <si>
    <t xml:space="preserve">ironing </t>
  </si>
  <si>
    <t>Vacuum</t>
  </si>
  <si>
    <t>VACUUM</t>
  </si>
  <si>
    <t xml:space="preserve">vacuum_cleaner </t>
  </si>
  <si>
    <t xml:space="preserve">cleaning </t>
  </si>
  <si>
    <t>Computer fixed</t>
  </si>
  <si>
    <t>PC1</t>
  </si>
  <si>
    <t xml:space="preserve">fixed_computer </t>
  </si>
  <si>
    <t xml:space="preserve">electronics </t>
  </si>
  <si>
    <t>PC2</t>
  </si>
  <si>
    <t>Laptop/Notebook</t>
  </si>
  <si>
    <t>LAPTOP1</t>
  </si>
  <si>
    <t xml:space="preserve">laptop_computer </t>
  </si>
  <si>
    <t>LAPTOP2</t>
  </si>
  <si>
    <t>Tablet</t>
  </si>
  <si>
    <t>TABLET</t>
  </si>
  <si>
    <t xml:space="preserve">tablet </t>
  </si>
  <si>
    <t>Printer</t>
  </si>
  <si>
    <t>PRINTER</t>
  </si>
  <si>
    <t xml:space="preserve">printer </t>
  </si>
  <si>
    <t>TV</t>
  </si>
  <si>
    <t>TV1</t>
  </si>
  <si>
    <t xml:space="preserve">tv </t>
  </si>
  <si>
    <t xml:space="preserve">watching_tv </t>
  </si>
  <si>
    <t>TV2</t>
  </si>
  <si>
    <t>DVD &amp; Blu-ray reader</t>
  </si>
  <si>
    <t>VCR_DVD</t>
  </si>
  <si>
    <t xml:space="preserve">blueray_console </t>
  </si>
  <si>
    <t>TV Receiver box</t>
  </si>
  <si>
    <t>RECEIVER</t>
  </si>
  <si>
    <t xml:space="preserve">tv_box </t>
  </si>
  <si>
    <t>Game console</t>
  </si>
  <si>
    <t>CONSOLE</t>
  </si>
  <si>
    <t xml:space="preserve">gaming_console </t>
  </si>
  <si>
    <t>Cooking</t>
  </si>
  <si>
    <t>Cooking plates electric</t>
  </si>
  <si>
    <t>HOB_ELEC</t>
  </si>
  <si>
    <t xml:space="preserve">electric_hob </t>
  </si>
  <si>
    <t xml:space="preserve">cooking </t>
  </si>
  <si>
    <t>Cooking plates gaz</t>
  </si>
  <si>
    <t>HOB_GAZ</t>
  </si>
  <si>
    <t xml:space="preserve">gaz_hob </t>
  </si>
  <si>
    <t>Oven</t>
  </si>
  <si>
    <t>OVEN</t>
  </si>
  <si>
    <t xml:space="preserve">oven </t>
  </si>
  <si>
    <t>Micro-wave</t>
  </si>
  <si>
    <t>MICROWAVE</t>
  </si>
  <si>
    <t xml:space="preserve">microwave </t>
  </si>
  <si>
    <t>Kettle</t>
  </si>
  <si>
    <t>KETTLE</t>
  </si>
  <si>
    <t xml:space="preserve">kettle </t>
  </si>
  <si>
    <t>Small cooking (group)</t>
  </si>
  <si>
    <t>SMALL_COOKING</t>
  </si>
  <si>
    <t xml:space="preserve">toaster </t>
  </si>
  <si>
    <t>Wet</t>
  </si>
  <si>
    <t>Dish washer</t>
  </si>
  <si>
    <t>DISH_WASHER</t>
  </si>
  <si>
    <t xml:space="preserve">dishwasher </t>
  </si>
  <si>
    <t xml:space="preserve">dishwashing </t>
  </si>
  <si>
    <t>Dryer</t>
  </si>
  <si>
    <t>TUMBLE_DRYER</t>
  </si>
  <si>
    <t xml:space="preserve">dryer </t>
  </si>
  <si>
    <t xml:space="preserve">laundry </t>
  </si>
  <si>
    <t>Washing machine</t>
  </si>
  <si>
    <t>WASHING_MACHINE</t>
  </si>
  <si>
    <t xml:space="preserve">washingmachine </t>
  </si>
  <si>
    <t>Washer dryer</t>
  </si>
  <si>
    <t>WASHER_DRYER</t>
  </si>
  <si>
    <t xml:space="preserve">washer_dryer </t>
  </si>
  <si>
    <t>Basin</t>
  </si>
  <si>
    <t>BASIN</t>
  </si>
  <si>
    <t xml:space="preserve">basin </t>
  </si>
  <si>
    <t xml:space="preserve">self_washing </t>
  </si>
  <si>
    <t>Sink</t>
  </si>
  <si>
    <t>SINK</t>
  </si>
  <si>
    <t xml:space="preserve">sink </t>
  </si>
  <si>
    <t>Shower</t>
  </si>
  <si>
    <t>SHOWER</t>
  </si>
  <si>
    <t xml:space="preserve">shower </t>
  </si>
  <si>
    <t>Bath</t>
  </si>
  <si>
    <t>BATH</t>
  </si>
  <si>
    <t xml:space="preserve">bath </t>
  </si>
  <si>
    <t>Active occupant and activity statistics (derived from the german TOU.)</t>
  </si>
  <si>
    <t>Activity</t>
  </si>
  <si>
    <t>Activity name</t>
  </si>
  <si>
    <t>Average activity probability (or average proportion of time where at least one active occupant is engaged in this activity)</t>
  </si>
  <si>
    <t>Watching television</t>
  </si>
  <si>
    <t>Performing cooking activities</t>
  </si>
  <si>
    <t>Doing laundry</t>
  </si>
  <si>
    <t>Washing or dressing</t>
  </si>
  <si>
    <t>Ironing</t>
  </si>
  <si>
    <t>Cleaning the house</t>
  </si>
  <si>
    <t>Using electronics</t>
  </si>
  <si>
    <t>Cleaning after dinner</t>
  </si>
  <si>
    <t>Lighting Model Configuration</t>
  </si>
  <si>
    <t>1. General configuration</t>
  </si>
  <si>
    <t>Mean</t>
  </si>
  <si>
    <t>S.D.</t>
  </si>
  <si>
    <t>House external global irradiance threshold</t>
  </si>
  <si>
    <t>W/m2</t>
  </si>
  <si>
    <t>Random variable, X</t>
  </si>
  <si>
    <t>Relative bulb use</t>
  </si>
  <si>
    <t>2. Relative bulb use weighting</t>
  </si>
  <si>
    <t>This represents the concept that some bulbs are used more frequently than others in a house.</t>
  </si>
  <si>
    <t>weighting</t>
  </si>
  <si>
    <t>Curve is of the form: h(t) = - Ln(X)</t>
  </si>
  <si>
    <t>3. Calibration scalar</t>
  </si>
  <si>
    <t>This calibration scaler is used to calibrate the model to so that it provides a particular average output over a large number of runs.</t>
  </si>
  <si>
    <t>Calibration scalar</t>
  </si>
  <si>
    <t>z</t>
  </si>
  <si>
    <t>4. Effective occupancy</t>
  </si>
  <si>
    <t>Effective occupancy represents the sharing of light use.</t>
  </si>
  <si>
    <t>Derived from:</t>
  </si>
  <si>
    <t xml:space="preserve">U.S. Department of Energy, Energy Information Administration, 1993 Residential Energy Consumption Survey, </t>
  </si>
  <si>
    <t>Mean Annual Electricity Consumption for Lighting, by Family Income by Number of Household Members</t>
  </si>
  <si>
    <t xml:space="preserve">Number of </t>
  </si>
  <si>
    <t>Effective</t>
  </si>
  <si>
    <t>active occupants</t>
  </si>
  <si>
    <t>5. Lighting event duration model</t>
  </si>
  <si>
    <t>This model defines how long a bulb will stay on for, if a switch-on event occurs.</t>
  </si>
  <si>
    <t>Source:</t>
  </si>
  <si>
    <t>M. Stokes, M. Rylatt, K. Lomas, A simple model of domestic lighting demand, Energy and Buildings 36 (2004) 103-116</t>
  </si>
  <si>
    <t>range of equal</t>
  </si>
  <si>
    <t>lower value</t>
  </si>
  <si>
    <t>upper value</t>
  </si>
  <si>
    <t>cumulative</t>
  </si>
  <si>
    <t>probability number</t>
  </si>
  <si>
    <t>(minutes)</t>
  </si>
  <si>
    <t>6. Installed bulbs</t>
  </si>
  <si>
    <t>Defines how the households are populated with lights, normal distribution</t>
  </si>
  <si>
    <t>Frondel 2019</t>
  </si>
  <si>
    <t>Mean number of bulbs</t>
  </si>
  <si>
    <t>Std for number of bulbs</t>
  </si>
  <si>
    <t>6. Bulb types</t>
  </si>
  <si>
    <t>Defines how the households are populated with lights</t>
  </si>
  <si>
    <t>Penetration</t>
  </si>
  <si>
    <t>Consumption[W]</t>
  </si>
  <si>
    <t>LED</t>
  </si>
  <si>
    <t>CFL</t>
  </si>
  <si>
    <t>Incandescent</t>
  </si>
  <si>
    <t>Heating or Cooling system model parameters</t>
  </si>
  <si>
    <t xml:space="preserve"> guessed</t>
  </si>
  <si>
    <t>Primary heating system index</t>
  </si>
  <si>
    <t>Proportion of dwellings with this heating system</t>
  </si>
  <si>
    <t>Type of heating unit</t>
  </si>
  <si>
    <t>Type of system</t>
  </si>
  <si>
    <t>Type of fuel</t>
  </si>
  <si>
    <t>Fuel flow rate (nominal)</t>
  </si>
  <si>
    <t>Calorific value of fuel</t>
  </si>
  <si>
    <t>Calorific value of fuel flow rate</t>
  </si>
  <si>
    <t>Thermal efficiency</t>
  </si>
  <si>
    <t>Heat output of unit</t>
  </si>
  <si>
    <t>Standby power</t>
  </si>
  <si>
    <t>Pump power</t>
  </si>
  <si>
    <t>DHW cylinder volume</t>
  </si>
  <si>
    <t>DHW Tank Heat Loss</t>
  </si>
  <si>
    <t>DHW Thermal efficiency</t>
  </si>
  <si>
    <t>DHW Heat output of unit</t>
  </si>
  <si>
    <t>True = is combi</t>
  </si>
  <si>
    <r>
      <rPr>
        <i/>
        <sz val="10"/>
        <rFont val="Arial"/>
        <family val="2"/>
        <charset val="1"/>
      </rPr>
      <t>m</t>
    </r>
    <r>
      <rPr>
        <i/>
        <vertAlign val="subscript"/>
        <sz val="10"/>
        <rFont val="Arial"/>
        <family val="2"/>
        <charset val="1"/>
      </rPr>
      <t>fuel</t>
    </r>
  </si>
  <si>
    <r>
      <rPr>
        <i/>
        <sz val="10"/>
        <rFont val="Arial"/>
        <family val="2"/>
        <charset val="1"/>
      </rPr>
      <t>η</t>
    </r>
    <r>
      <rPr>
        <i/>
        <vertAlign val="subscript"/>
        <sz val="10"/>
        <rFont val="Arial"/>
        <family val="2"/>
        <charset val="1"/>
      </rPr>
      <t>h</t>
    </r>
  </si>
  <si>
    <r>
      <rPr>
        <i/>
        <sz val="10"/>
        <rFont val="Arial"/>
        <family val="2"/>
        <charset val="1"/>
      </rPr>
      <t>φ</t>
    </r>
    <r>
      <rPr>
        <i/>
        <vertAlign val="subscript"/>
        <sz val="10"/>
        <rFont val="Arial"/>
        <family val="2"/>
        <charset val="1"/>
      </rPr>
      <t>h</t>
    </r>
  </si>
  <si>
    <r>
      <rPr>
        <i/>
        <sz val="10"/>
        <rFont val="Arial"/>
        <family val="2"/>
        <charset val="1"/>
      </rPr>
      <t>P</t>
    </r>
    <r>
      <rPr>
        <i/>
        <vertAlign val="subscript"/>
        <sz val="10"/>
        <rFont val="Arial"/>
        <family val="2"/>
        <charset val="1"/>
      </rPr>
      <t>standby</t>
    </r>
  </si>
  <si>
    <r>
      <rPr>
        <i/>
        <sz val="10"/>
        <rFont val="Arial"/>
        <family val="2"/>
        <charset val="1"/>
      </rPr>
      <t>P</t>
    </r>
    <r>
      <rPr>
        <i/>
        <vertAlign val="subscript"/>
        <sz val="10"/>
        <rFont val="Arial"/>
        <family val="2"/>
        <charset val="1"/>
      </rPr>
      <t>pump</t>
    </r>
  </si>
  <si>
    <r>
      <rPr>
        <i/>
        <sz val="10"/>
        <rFont val="Arial"/>
        <family val="2"/>
        <charset val="1"/>
      </rPr>
      <t>V</t>
    </r>
    <r>
      <rPr>
        <i/>
        <vertAlign val="subscript"/>
        <sz val="10"/>
        <rFont val="Arial"/>
        <family val="2"/>
        <charset val="1"/>
      </rPr>
      <t>cyl</t>
    </r>
  </si>
  <si>
    <r>
      <rPr>
        <i/>
        <sz val="10"/>
        <rFont val="Arial"/>
        <family val="2"/>
        <charset val="1"/>
      </rPr>
      <t>H</t>
    </r>
    <r>
      <rPr>
        <i/>
        <vertAlign val="subscript"/>
        <sz val="10"/>
        <rFont val="Arial"/>
        <family val="2"/>
        <charset val="1"/>
      </rPr>
      <t>loss</t>
    </r>
  </si>
  <si>
    <r>
      <rPr>
        <sz val="10"/>
        <rFont val="Arial"/>
        <family val="2"/>
        <charset val="1"/>
      </rPr>
      <t>m</t>
    </r>
    <r>
      <rPr>
        <vertAlign val="superscript"/>
        <sz val="10"/>
        <rFont val="Arial"/>
        <family val="2"/>
        <charset val="1"/>
      </rPr>
      <t>3</t>
    </r>
    <r>
      <rPr>
        <sz val="10"/>
        <rFont val="Arial"/>
        <family val="2"/>
        <charset val="1"/>
      </rPr>
      <t>/h or kW</t>
    </r>
  </si>
  <si>
    <r>
      <rPr>
        <sz val="10"/>
        <rFont val="Arial"/>
        <family val="2"/>
        <charset val="1"/>
      </rPr>
      <t>MJ/m</t>
    </r>
    <r>
      <rPr>
        <vertAlign val="superscript"/>
        <sz val="10"/>
        <rFont val="Arial"/>
        <family val="2"/>
        <charset val="1"/>
      </rPr>
      <t xml:space="preserve">3 </t>
    </r>
    <r>
      <rPr>
        <sz val="10"/>
        <rFont val="Arial"/>
        <family val="2"/>
        <charset val="1"/>
      </rPr>
      <t>or MJ/kWh</t>
    </r>
  </si>
  <si>
    <t>W</t>
  </si>
  <si>
    <t>%</t>
  </si>
  <si>
    <t>ltr</t>
  </si>
  <si>
    <r>
      <rPr>
        <sz val="10"/>
        <rFont val="Arial"/>
        <family val="2"/>
        <charset val="1"/>
      </rPr>
      <t>WK</t>
    </r>
    <r>
      <rPr>
        <vertAlign val="superscript"/>
        <sz val="10"/>
        <rFont val="Arial"/>
        <family val="2"/>
        <charset val="1"/>
      </rPr>
      <t>-1</t>
    </r>
  </si>
  <si>
    <t>is_combi</t>
  </si>
  <si>
    <t xml:space="preserve">fuel_type </t>
  </si>
  <si>
    <t xml:space="preserve">fuel_flow_rate </t>
  </si>
  <si>
    <t xml:space="preserve">flow_rate_to_W </t>
  </si>
  <si>
    <t>heat_output_sh</t>
  </si>
  <si>
    <t xml:space="preserve">standby_power </t>
  </si>
  <si>
    <t xml:space="preserve">pump_power </t>
  </si>
  <si>
    <t xml:space="preserve">cyl_volume </t>
  </si>
  <si>
    <t>cyl_loss</t>
  </si>
  <si>
    <t xml:space="preserve">heat_output_dhw </t>
  </si>
  <si>
    <t>Boiler (regular)</t>
  </si>
  <si>
    <t>Mains gas</t>
  </si>
  <si>
    <t>Boiler (combi)</t>
  </si>
  <si>
    <t>Boiler (system)</t>
  </si>
  <si>
    <t>No Heating or Cooling</t>
  </si>
  <si>
    <t>Electricity</t>
  </si>
  <si>
    <t>Electric Water Heater</t>
  </si>
  <si>
    <t>Heat pump</t>
  </si>
  <si>
    <t>Low-order building thermal model parameters</t>
  </si>
  <si>
    <t>guessed</t>
  </si>
  <si>
    <t>Building index</t>
  </si>
  <si>
    <t>Proportion of dwellings of this building type</t>
  </si>
  <si>
    <t>Description</t>
  </si>
  <si>
    <t>Thermal transfer coefficient between outside air and external building thermal capacitance</t>
  </si>
  <si>
    <t>Thermal transfer coefficient between external building thermal capacitance and internal building thermal capacitance</t>
  </si>
  <si>
    <t>External building thermal capacitance</t>
  </si>
  <si>
    <t>Internal building thermal capacitance</t>
  </si>
  <si>
    <t>Global irradiance multiplier</t>
  </si>
  <si>
    <t>Ventilation rate, air changes per hour</t>
  </si>
  <si>
    <t>Floor area, living space</t>
  </si>
  <si>
    <t>Height, living space</t>
  </si>
  <si>
    <t>Thermal transfer coefficient representing ventilation heat loss between outside air and internal building thermal capacitance</t>
  </si>
  <si>
    <t>Heat output from emitters require to maintain interior temperature of 20 degrees with external temperature of -2 degrees, no other gains</t>
  </si>
  <si>
    <t>Nominal temperature of emitters</t>
  </si>
  <si>
    <t>Heat transfer coefficient of heat emitters</t>
  </si>
  <si>
    <t>Mass of water in heat emitters</t>
  </si>
  <si>
    <t>Thermal capacitance of heat emitters</t>
  </si>
  <si>
    <t>Nominal temperature of coolers</t>
  </si>
  <si>
    <t>Heat transfer coefficient of cool emitters to achieve interior temperature of 25 degrees with external 50, no other gains</t>
  </si>
  <si>
    <t>Thermal capacitance of cool emitters, sized to cool from 25 deg to nominal cooler temperature in five minutes</t>
  </si>
  <si>
    <r>
      <rPr>
        <i/>
        <sz val="10"/>
        <rFont val="Arial"/>
        <family val="2"/>
        <charset val="1"/>
      </rPr>
      <t>H</t>
    </r>
    <r>
      <rPr>
        <i/>
        <vertAlign val="subscript"/>
        <sz val="10"/>
        <rFont val="Arial"/>
        <family val="2"/>
        <charset val="1"/>
      </rPr>
      <t>ob</t>
    </r>
  </si>
  <si>
    <r>
      <rPr>
        <i/>
        <sz val="10"/>
        <rFont val="Arial"/>
        <family val="2"/>
        <charset val="1"/>
      </rPr>
      <t>H</t>
    </r>
    <r>
      <rPr>
        <i/>
        <vertAlign val="subscript"/>
        <sz val="10"/>
        <rFont val="Arial"/>
        <family val="2"/>
        <charset val="1"/>
      </rPr>
      <t>bi</t>
    </r>
  </si>
  <si>
    <r>
      <rPr>
        <i/>
        <sz val="10"/>
        <rFont val="Arial"/>
        <family val="2"/>
        <charset val="1"/>
      </rPr>
      <t>C</t>
    </r>
    <r>
      <rPr>
        <i/>
        <vertAlign val="subscript"/>
        <sz val="10"/>
        <rFont val="Arial"/>
        <family val="2"/>
        <charset val="1"/>
      </rPr>
      <t>b</t>
    </r>
  </si>
  <si>
    <r>
      <rPr>
        <i/>
        <sz val="10"/>
        <rFont val="Arial"/>
        <family val="2"/>
        <charset val="1"/>
      </rPr>
      <t>C</t>
    </r>
    <r>
      <rPr>
        <i/>
        <vertAlign val="subscript"/>
        <sz val="10"/>
        <rFont val="Arial"/>
        <family val="2"/>
        <charset val="1"/>
      </rPr>
      <t>i</t>
    </r>
  </si>
  <si>
    <r>
      <rPr>
        <i/>
        <sz val="10"/>
        <rFont val="Arial"/>
        <family val="2"/>
        <charset val="1"/>
      </rPr>
      <t>A</t>
    </r>
    <r>
      <rPr>
        <i/>
        <vertAlign val="subscript"/>
        <sz val="10"/>
        <rFont val="Arial"/>
        <family val="2"/>
        <charset val="1"/>
      </rPr>
      <t>s</t>
    </r>
  </si>
  <si>
    <t>N</t>
  </si>
  <si>
    <r>
      <rPr>
        <i/>
        <sz val="10"/>
        <rFont val="Arial"/>
        <family val="2"/>
        <charset val="1"/>
      </rPr>
      <t>A</t>
    </r>
    <r>
      <rPr>
        <i/>
        <vertAlign val="subscript"/>
        <sz val="10"/>
        <rFont val="Arial"/>
        <family val="2"/>
        <charset val="1"/>
      </rPr>
      <t>living</t>
    </r>
  </si>
  <si>
    <r>
      <rPr>
        <i/>
        <sz val="10"/>
        <rFont val="Arial"/>
        <family val="2"/>
        <charset val="1"/>
      </rPr>
      <t>L</t>
    </r>
    <r>
      <rPr>
        <i/>
        <vertAlign val="subscript"/>
        <sz val="10"/>
        <rFont val="Arial"/>
        <family val="2"/>
        <charset val="1"/>
      </rPr>
      <t>living</t>
    </r>
  </si>
  <si>
    <r>
      <rPr>
        <i/>
        <sz val="10"/>
        <rFont val="Arial"/>
        <family val="2"/>
        <charset val="1"/>
      </rPr>
      <t>H</t>
    </r>
    <r>
      <rPr>
        <i/>
        <vertAlign val="subscript"/>
        <sz val="10"/>
        <rFont val="Arial"/>
        <family val="2"/>
        <charset val="1"/>
      </rPr>
      <t>v</t>
    </r>
  </si>
  <si>
    <r>
      <rPr>
        <i/>
        <sz val="10"/>
        <rFont val="Arial"/>
        <family val="2"/>
        <charset val="1"/>
      </rPr>
      <t>φ</t>
    </r>
    <r>
      <rPr>
        <i/>
        <vertAlign val="subscript"/>
        <sz val="10"/>
        <rFont val="Arial"/>
        <family val="2"/>
        <charset val="1"/>
      </rPr>
      <t>design</t>
    </r>
  </si>
  <si>
    <r>
      <rPr>
        <i/>
        <sz val="10"/>
        <rFont val="Arial"/>
        <family val="2"/>
        <charset val="1"/>
      </rPr>
      <t>θ</t>
    </r>
    <r>
      <rPr>
        <i/>
        <vertAlign val="subscript"/>
        <sz val="10"/>
        <rFont val="Arial"/>
        <family val="2"/>
        <charset val="1"/>
      </rPr>
      <t>em</t>
    </r>
  </si>
  <si>
    <r>
      <rPr>
        <i/>
        <sz val="10"/>
        <rFont val="Arial"/>
        <family val="2"/>
        <charset val="1"/>
      </rPr>
      <t>H</t>
    </r>
    <r>
      <rPr>
        <i/>
        <vertAlign val="subscript"/>
        <sz val="10"/>
        <rFont val="Arial"/>
        <family val="2"/>
        <charset val="1"/>
      </rPr>
      <t>em</t>
    </r>
  </si>
  <si>
    <r>
      <rPr>
        <i/>
        <sz val="10"/>
        <rFont val="Arial"/>
        <family val="2"/>
        <charset val="1"/>
      </rPr>
      <t>m</t>
    </r>
    <r>
      <rPr>
        <i/>
        <vertAlign val="subscript"/>
        <sz val="10"/>
        <rFont val="Arial"/>
        <family val="2"/>
        <charset val="1"/>
      </rPr>
      <t>em</t>
    </r>
  </si>
  <si>
    <r>
      <rPr>
        <i/>
        <sz val="10"/>
        <rFont val="Arial"/>
        <family val="2"/>
        <charset val="1"/>
      </rPr>
      <t>C</t>
    </r>
    <r>
      <rPr>
        <i/>
        <vertAlign val="subscript"/>
        <sz val="10"/>
        <rFont val="Arial"/>
        <family val="2"/>
        <charset val="1"/>
      </rPr>
      <t>em</t>
    </r>
  </si>
  <si>
    <t>W/K</t>
  </si>
  <si>
    <t>J/K</t>
  </si>
  <si>
    <r>
      <rPr>
        <sz val="10"/>
        <rFont val="Arial"/>
        <family val="2"/>
        <charset val="1"/>
      </rPr>
      <t>m</t>
    </r>
    <r>
      <rPr>
        <vertAlign val="superscript"/>
        <sz val="10"/>
        <rFont val="Arial"/>
        <family val="2"/>
        <charset val="1"/>
      </rPr>
      <t>2</t>
    </r>
  </si>
  <si>
    <r>
      <rPr>
        <sz val="10"/>
        <rFont val="Arial"/>
        <family val="2"/>
        <charset val="1"/>
      </rPr>
      <t>h</t>
    </r>
    <r>
      <rPr>
        <vertAlign val="superscript"/>
        <sz val="10"/>
        <rFont val="Arial"/>
        <family val="2"/>
        <charset val="1"/>
      </rPr>
      <t>-1</t>
    </r>
  </si>
  <si>
    <t>m</t>
  </si>
  <si>
    <t>°C</t>
  </si>
  <si>
    <t>kg</t>
  </si>
  <si>
    <t xml:space="preserve">out_build_transfer_coef </t>
  </si>
  <si>
    <t xml:space="preserve">build_int_transfer_coef </t>
  </si>
  <si>
    <t xml:space="preserve">ext_capacitance </t>
  </si>
  <si>
    <t xml:space="preserve">int_capacitance </t>
  </si>
  <si>
    <t xml:space="preserve">irradiance_multiplier </t>
  </si>
  <si>
    <t xml:space="preserve">floor_area </t>
  </si>
  <si>
    <t xml:space="preserve">height </t>
  </si>
  <si>
    <t xml:space="preserve">ventilation_transfer_coef </t>
  </si>
  <si>
    <t xml:space="preserve">emitters_target_temperature </t>
  </si>
  <si>
    <t xml:space="preserve">emitters_transfer_coef </t>
  </si>
  <si>
    <t xml:space="preserve">emitters_capacitance </t>
  </si>
  <si>
    <t>Detached</t>
  </si>
  <si>
    <t>Improved detached</t>
  </si>
  <si>
    <t>Semi-detached</t>
  </si>
  <si>
    <t>Improved semi-detached</t>
  </si>
  <si>
    <t>Terraced</t>
  </si>
  <si>
    <t>Improved terrace</t>
  </si>
  <si>
    <t>Cement block appartment</t>
  </si>
  <si>
    <t>Small brick-built house</t>
  </si>
  <si>
    <t>Simulation inputs</t>
  </si>
  <si>
    <t>1. Specify the date:</t>
  </si>
  <si>
    <t>Enter day of month:</t>
  </si>
  <si>
    <t>Enter month of year:</t>
  </si>
  <si>
    <t>(Specify a number for the month e.g. for January enter '1')</t>
  </si>
  <si>
    <t>3. Specify the location:</t>
  </si>
  <si>
    <t>Latitude (°):</t>
  </si>
  <si>
    <t>Longitude (°):</t>
  </si>
  <si>
    <t>4. Specify the number of dwellings to simulate in this run:</t>
  </si>
  <si>
    <t>5. Stochastically assign dwelling parameters?</t>
  </si>
  <si>
    <t>If not, then specify the dwelling parameters manually in the "Dwellings" worksheet</t>
  </si>
  <si>
    <t>6. Include high-resolution dynamic output?</t>
  </si>
  <si>
    <t>7. Include daily demand totals for each dwelling?</t>
  </si>
  <si>
    <t>8. Overwrite existing data?</t>
  </si>
  <si>
    <t>Number of Households</t>
  </si>
  <si>
    <t>Start date</t>
  </si>
  <si>
    <t>Day</t>
  </si>
  <si>
    <t>Month</t>
  </si>
  <si>
    <t>Year</t>
  </si>
  <si>
    <t>Electric cars models</t>
  </si>
  <si>
    <t>Index</t>
  </si>
  <si>
    <t>Car Type</t>
  </si>
  <si>
    <t>Proportion of car</t>
  </si>
  <si>
    <t>Battery capacity</t>
  </si>
  <si>
    <t>Consumption</t>
  </si>
  <si>
    <t>Max charging power AC</t>
  </si>
  <si>
    <t>Max charging power DC</t>
  </si>
  <si>
    <t>Model brand example</t>
  </si>
  <si>
    <t>kWh</t>
  </si>
  <si>
    <t>kWh/100km</t>
  </si>
  <si>
    <t>kW</t>
  </si>
  <si>
    <t>Sport-fast</t>
  </si>
  <si>
    <t>Porsche Taycan</t>
  </si>
  <si>
    <t>Standard</t>
  </si>
  <si>
    <t>VW ID.3</t>
  </si>
  <si>
    <t>Heavy</t>
  </si>
  <si>
    <t>Audi e-tron Quattro</t>
  </si>
  <si>
    <t>Small</t>
  </si>
  <si>
    <t>VW e-Up!</t>
  </si>
  <si>
    <t>Electric cars charging station models</t>
  </si>
  <si>
    <t>Station Type</t>
  </si>
  <si>
    <t>Proportion of dwellings with this station</t>
  </si>
  <si>
    <t>Max charging power</t>
  </si>
  <si>
    <t>https://www.ladestation-zuhause.de/</t>
  </si>
  <si>
    <t>Standard Electricity plug</t>
  </si>
  <si>
    <t>Typ-1</t>
  </si>
  <si>
    <t>Typ-2</t>
  </si>
  <si>
    <t>CREST</t>
  </si>
  <si>
    <t>Occupancy</t>
  </si>
  <si>
    <t>we/wd</t>
  </si>
  <si>
    <t>v</t>
  </si>
  <si>
    <t>n residents</t>
  </si>
  <si>
    <t>social</t>
  </si>
  <si>
    <t>-</t>
  </si>
  <si>
    <t>seasonal</t>
  </si>
  <si>
    <t>set</t>
  </si>
  <si>
    <t>social set</t>
  </si>
  <si>
    <t xml:space="preserve">- </t>
  </si>
  <si>
    <t>not implemented</t>
  </si>
  <si>
    <t>water</t>
  </si>
  <si>
    <t>crest</t>
  </si>
  <si>
    <t>calibration</t>
  </si>
  <si>
    <t>not detailed</t>
  </si>
  <si>
    <t>Light</t>
  </si>
  <si>
    <t>bulbs</t>
  </si>
  <si>
    <t>Heating</t>
  </si>
  <si>
    <t>gas</t>
  </si>
  <si>
    <t>heat pump</t>
  </si>
  <si>
    <t>variable T</t>
  </si>
  <si>
    <t>not data-based</t>
  </si>
  <si>
    <t xml:space="preserve">buildings </t>
  </si>
  <si>
    <t>Electric Cars</t>
  </si>
  <si>
    <t>model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</si>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</sst>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* #,##0.00\ ;\-* #,##0.00\ ;* \-#\ ;@\ "/>
    <numFmt numFmtId="168" formatCode="* #,##0.0\ ;\-* #,##0.0\ ;* \-#\ ;@\ "/>
  </numFmts>
  <fonts count="19" x14ac:knownFonts="1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000000"/>
      <name val="Arial"/>
      <family val="2"/>
      <charset val="1"/>
    </font>
    <font>
      <b/>
      <sz val="12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  <font>
      <i/>
      <vertAlign val="subscript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Mangal"/>
      <family val="2"/>
      <charset val="1"/>
    </font>
    <font>
      <sz val="10"/>
      <name val="Arial"/>
      <family val="2"/>
    </font>
    <font>
      <sz val="10"/>
      <name val="Times New Roman"/>
      <family val="1"/>
      <charset val="1"/>
    </font>
    <font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808080"/>
        <bgColor rgb="FFBF819E"/>
      </patternFill>
    </fill>
    <fill>
      <patternFill patternType="solid">
        <fgColor rgb="FFDDDDDD"/>
        <bgColor rgb="FFD9D9D9"/>
      </patternFill>
    </fill>
    <fill>
      <patternFill patternType="solid">
        <fgColor rgb="FF99CC00"/>
        <bgColor rgb="FFE6E905"/>
      </patternFill>
    </fill>
    <fill>
      <patternFill patternType="solid">
        <fgColor rgb="FFBF819E"/>
        <bgColor rgb="FF808080"/>
      </patternFill>
    </fill>
    <fill>
      <patternFill patternType="solid">
        <fgColor rgb="FF8D1D75"/>
        <bgColor rgb="FF993366"/>
      </patternFill>
    </fill>
    <fill>
      <patternFill patternType="solid">
        <fgColor rgb="FFFFD428"/>
        <bgColor rgb="FFE6E905"/>
      </patternFill>
    </fill>
    <fill>
      <patternFill patternType="solid">
        <fgColor rgb="FFFF860D"/>
        <bgColor rgb="FFFF8000"/>
      </patternFill>
    </fill>
    <fill>
      <patternFill patternType="solid">
        <fgColor rgb="FF00FFCC"/>
        <bgColor rgb="FF00FFFF"/>
      </patternFill>
    </fill>
    <fill>
      <patternFill patternType="solid">
        <fgColor rgb="FF729FCF"/>
        <bgColor rgb="FF9999FF"/>
      </patternFill>
    </fill>
    <fill>
      <patternFill patternType="solid">
        <fgColor rgb="FFFFA6A6"/>
        <bgColor rgb="FFFFCC99"/>
      </patternFill>
    </fill>
    <fill>
      <patternFill patternType="solid">
        <fgColor rgb="FF99CCFF"/>
        <bgColor rgb="FFC0C0C0"/>
      </patternFill>
    </fill>
    <fill>
      <patternFill patternType="solid">
        <fgColor rgb="FFFF8000"/>
        <bgColor rgb="FFFF860D"/>
      </patternFill>
    </fill>
    <fill>
      <patternFill patternType="solid">
        <fgColor rgb="FFD9D9D9"/>
        <bgColor rgb="FFDDDDDD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167" fontId="15" fillId="0" borderId="0" applyBorder="0" applyProtection="0"/>
    <xf numFmtId="9" fontId="15" fillId="0" borderId="0" applyBorder="0" applyProtection="0"/>
    <xf numFmtId="0" fontId="1" fillId="2" borderId="0" applyBorder="0" applyProtection="0"/>
    <xf numFmtId="0" fontId="2" fillId="3" borderId="0" applyBorder="0" applyProtection="0"/>
    <xf numFmtId="0" fontId="18" fillId="0" borderId="0"/>
    <xf numFmtId="0" fontId="3" fillId="0" borderId="0"/>
  </cellStyleXfs>
  <cellXfs count="165">
    <xf numFmtId="0" fontId="0" fillId="0" borderId="0" xfId="0"/>
    <xf numFmtId="0" fontId="4" fillId="0" borderId="0" xfId="5" applyFont="1"/>
    <xf numFmtId="0" fontId="5" fillId="0" borderId="0" xfId="5" applyFont="1"/>
    <xf numFmtId="0" fontId="5" fillId="4" borderId="0" xfId="5" applyFont="1" applyFill="1"/>
    <xf numFmtId="0" fontId="5" fillId="5" borderId="0" xfId="5" applyFont="1" applyFill="1"/>
    <xf numFmtId="0" fontId="0" fillId="6" borderId="0" xfId="0" applyFill="1"/>
    <xf numFmtId="0" fontId="0" fillId="7" borderId="0" xfId="0" applyFill="1"/>
    <xf numFmtId="0" fontId="5" fillId="8" borderId="0" xfId="5" applyFont="1" applyFill="1"/>
    <xf numFmtId="0" fontId="5" fillId="9" borderId="0" xfId="5" applyFont="1" applyFill="1"/>
    <xf numFmtId="0" fontId="0" fillId="10" borderId="0" xfId="0" applyFill="1"/>
    <xf numFmtId="0" fontId="5" fillId="11" borderId="0" xfId="5" applyFont="1" applyFill="1"/>
    <xf numFmtId="0" fontId="6" fillId="0" borderId="1" xfId="5" applyFont="1" applyBorder="1"/>
    <xf numFmtId="0" fontId="6" fillId="0" borderId="2" xfId="5" applyFont="1" applyBorder="1"/>
    <xf numFmtId="0" fontId="6" fillId="9" borderId="3" xfId="5" applyFont="1" applyFill="1" applyBorder="1"/>
    <xf numFmtId="0" fontId="6" fillId="9" borderId="2" xfId="5" applyFont="1" applyFill="1" applyBorder="1"/>
    <xf numFmtId="0" fontId="5" fillId="0" borderId="2" xfId="5" applyFont="1" applyBorder="1"/>
    <xf numFmtId="0" fontId="5" fillId="9" borderId="2" xfId="5" applyFont="1" applyFill="1" applyBorder="1"/>
    <xf numFmtId="0" fontId="5" fillId="0" borderId="4" xfId="5" applyFont="1" applyBorder="1"/>
    <xf numFmtId="0" fontId="5" fillId="0" borderId="0" xfId="5" applyFont="1" applyBorder="1"/>
    <xf numFmtId="0" fontId="5" fillId="0" borderId="5" xfId="5" applyFont="1" applyBorder="1"/>
    <xf numFmtId="0" fontId="6" fillId="0" borderId="0" xfId="5" applyFont="1" applyBorder="1"/>
    <xf numFmtId="0" fontId="6" fillId="9" borderId="6" xfId="5" applyFont="1" applyFill="1" applyBorder="1"/>
    <xf numFmtId="0" fontId="6" fillId="9" borderId="0" xfId="5" applyFont="1" applyFill="1" applyBorder="1"/>
    <xf numFmtId="0" fontId="5" fillId="9" borderId="0" xfId="5" applyFont="1" applyFill="1" applyBorder="1"/>
    <xf numFmtId="0" fontId="5" fillId="0" borderId="7" xfId="5" applyFont="1" applyBorder="1"/>
    <xf numFmtId="0" fontId="5" fillId="0" borderId="0" xfId="5" applyFont="1" applyBorder="1" applyAlignment="1"/>
    <xf numFmtId="0" fontId="6" fillId="0" borderId="8" xfId="5" applyFont="1" applyBorder="1"/>
    <xf numFmtId="0" fontId="6" fillId="0" borderId="9" xfId="5" applyFont="1" applyBorder="1"/>
    <xf numFmtId="0" fontId="5" fillId="0" borderId="9" xfId="5" applyFont="1" applyBorder="1"/>
    <xf numFmtId="0" fontId="5" fillId="9" borderId="10" xfId="5" applyFont="1" applyFill="1" applyBorder="1"/>
    <xf numFmtId="0" fontId="5" fillId="9" borderId="9" xfId="5" applyFont="1" applyFill="1" applyBorder="1"/>
    <xf numFmtId="0" fontId="5" fillId="0" borderId="9" xfId="5" applyFont="1" applyBorder="1" applyAlignment="1"/>
    <xf numFmtId="0" fontId="5" fillId="0" borderId="11" xfId="5" applyFont="1" applyBorder="1"/>
    <xf numFmtId="0" fontId="6" fillId="0" borderId="3" xfId="5" applyFont="1" applyBorder="1"/>
    <xf numFmtId="164" fontId="7" fillId="0" borderId="0" xfId="6" applyNumberFormat="1" applyFont="1" applyBorder="1"/>
    <xf numFmtId="164" fontId="6" fillId="0" borderId="2" xfId="5" applyNumberFormat="1" applyFont="1" applyBorder="1" applyAlignment="1">
      <alignment horizontal="right"/>
    </xf>
    <xf numFmtId="1" fontId="7" fillId="0" borderId="2" xfId="6" applyNumberFormat="1" applyFont="1" applyBorder="1"/>
    <xf numFmtId="2" fontId="7" fillId="0" borderId="0" xfId="6" applyNumberFormat="1" applyFont="1" applyBorder="1" applyAlignment="1">
      <alignment horizontal="right"/>
    </xf>
    <xf numFmtId="1" fontId="5" fillId="0" borderId="2" xfId="5" applyNumberFormat="1" applyFont="1" applyBorder="1"/>
    <xf numFmtId="0" fontId="6" fillId="0" borderId="6" xfId="5" applyFont="1" applyBorder="1"/>
    <xf numFmtId="1" fontId="7" fillId="0" borderId="0" xfId="6" applyNumberFormat="1" applyFont="1" applyBorder="1"/>
    <xf numFmtId="164" fontId="6" fillId="0" borderId="0" xfId="5" applyNumberFormat="1" applyFont="1" applyBorder="1"/>
    <xf numFmtId="164" fontId="5" fillId="0" borderId="0" xfId="5" applyNumberFormat="1" applyFont="1" applyBorder="1"/>
    <xf numFmtId="1" fontId="5" fillId="0" borderId="0" xfId="5" applyNumberFormat="1" applyFont="1" applyBorder="1"/>
    <xf numFmtId="165" fontId="5" fillId="0" borderId="0" xfId="5" applyNumberFormat="1" applyFont="1" applyBorder="1"/>
    <xf numFmtId="0" fontId="0" fillId="0" borderId="0" xfId="5" applyFont="1" applyBorder="1"/>
    <xf numFmtId="165" fontId="5" fillId="0" borderId="7" xfId="5" applyNumberFormat="1" applyFont="1" applyBorder="1"/>
    <xf numFmtId="0" fontId="5" fillId="0" borderId="8" xfId="5" applyFont="1" applyBorder="1"/>
    <xf numFmtId="164" fontId="6" fillId="0" borderId="9" xfId="5" applyNumberFormat="1" applyFont="1" applyBorder="1"/>
    <xf numFmtId="164" fontId="6" fillId="0" borderId="10" xfId="5" applyNumberFormat="1" applyFont="1" applyBorder="1"/>
    <xf numFmtId="165" fontId="5" fillId="0" borderId="11" xfId="5" applyNumberFormat="1" applyFont="1" applyBorder="1"/>
    <xf numFmtId="0" fontId="8" fillId="3" borderId="12" xfId="4" applyFont="1" applyBorder="1" applyAlignment="1" applyProtection="1"/>
    <xf numFmtId="0" fontId="8" fillId="3" borderId="13" xfId="4" applyFont="1" applyBorder="1" applyAlignment="1" applyProtection="1"/>
    <xf numFmtId="0" fontId="8" fillId="3" borderId="0" xfId="4" applyFont="1" applyBorder="1" applyAlignment="1" applyProtection="1"/>
    <xf numFmtId="0" fontId="2" fillId="3" borderId="0" xfId="4" applyFont="1"/>
    <xf numFmtId="0" fontId="6" fillId="0" borderId="14" xfId="5" applyFont="1" applyBorder="1"/>
    <xf numFmtId="0" fontId="0" fillId="0" borderId="14" xfId="0" applyFont="1" applyBorder="1"/>
    <xf numFmtId="0" fontId="5" fillId="4" borderId="14" xfId="5" applyFont="1" applyFill="1" applyBorder="1"/>
    <xf numFmtId="0" fontId="0" fillId="0" borderId="14" xfId="5" applyFont="1" applyBorder="1"/>
    <xf numFmtId="0" fontId="0" fillId="5" borderId="14" xfId="5" applyFont="1" applyFill="1" applyBorder="1"/>
    <xf numFmtId="164" fontId="7" fillId="0" borderId="14" xfId="6" applyNumberFormat="1" applyFont="1" applyBorder="1"/>
    <xf numFmtId="1" fontId="7" fillId="0" borderId="14" xfId="6" applyNumberFormat="1" applyFont="1" applyBorder="1"/>
    <xf numFmtId="2" fontId="7" fillId="0" borderId="14" xfId="6" applyNumberFormat="1" applyFont="1" applyBorder="1" applyAlignment="1">
      <alignment horizontal="right"/>
    </xf>
    <xf numFmtId="0" fontId="7" fillId="0" borderId="14" xfId="6" applyFont="1" applyBorder="1" applyAlignment="1">
      <alignment horizontal="right"/>
    </xf>
    <xf numFmtId="1" fontId="7" fillId="0" borderId="14" xfId="6" applyNumberFormat="1" applyFont="1" applyBorder="1" applyAlignment="1">
      <alignment horizontal="right"/>
    </xf>
    <xf numFmtId="1" fontId="5" fillId="11" borderId="14" xfId="5" applyNumberFormat="1" applyFont="1" applyFill="1" applyBorder="1"/>
    <xf numFmtId="1" fontId="5" fillId="4" borderId="14" xfId="5" applyNumberFormat="1" applyFont="1" applyFill="1" applyBorder="1"/>
    <xf numFmtId="0" fontId="5" fillId="0" borderId="14" xfId="5" applyFont="1" applyBorder="1"/>
    <xf numFmtId="164" fontId="5" fillId="0" borderId="14" xfId="5" applyNumberFormat="1" applyFont="1" applyBorder="1"/>
    <xf numFmtId="0" fontId="0" fillId="10" borderId="14" xfId="5" applyFont="1" applyFill="1" applyBorder="1"/>
    <xf numFmtId="166" fontId="5" fillId="4" borderId="14" xfId="5" applyNumberFormat="1" applyFont="1" applyFill="1" applyBorder="1"/>
    <xf numFmtId="166" fontId="5" fillId="0" borderId="14" xfId="5" applyNumberFormat="1" applyFont="1" applyBorder="1"/>
    <xf numFmtId="1" fontId="5" fillId="0" borderId="14" xfId="5" applyNumberFormat="1" applyFont="1" applyBorder="1"/>
    <xf numFmtId="164" fontId="5" fillId="4" borderId="14" xfId="5" applyNumberFormat="1" applyFont="1" applyFill="1" applyBorder="1"/>
    <xf numFmtId="0" fontId="0" fillId="0" borderId="14" xfId="0" applyBorder="1"/>
    <xf numFmtId="0" fontId="0" fillId="0" borderId="0" xfId="0" applyFont="1"/>
    <xf numFmtId="0" fontId="5" fillId="4" borderId="0" xfId="5" applyFont="1" applyFill="1" applyBorder="1"/>
    <xf numFmtId="0" fontId="0" fillId="0" borderId="0" xfId="5" applyFont="1"/>
    <xf numFmtId="0" fontId="0" fillId="5" borderId="0" xfId="5" applyFont="1" applyFill="1"/>
    <xf numFmtId="0" fontId="7" fillId="0" borderId="0" xfId="6" applyFont="1" applyBorder="1" applyAlignment="1">
      <alignment horizontal="right"/>
    </xf>
    <xf numFmtId="1" fontId="7" fillId="0" borderId="0" xfId="6" applyNumberFormat="1" applyFont="1" applyBorder="1" applyAlignment="1">
      <alignment horizontal="right"/>
    </xf>
    <xf numFmtId="1" fontId="5" fillId="11" borderId="0" xfId="5" applyNumberFormat="1" applyFont="1" applyFill="1" applyBorder="1"/>
    <xf numFmtId="1" fontId="5" fillId="4" borderId="0" xfId="5" applyNumberFormat="1" applyFont="1" applyFill="1" applyBorder="1"/>
    <xf numFmtId="0" fontId="0" fillId="10" borderId="0" xfId="5" applyFont="1" applyFill="1"/>
    <xf numFmtId="166" fontId="5" fillId="4" borderId="0" xfId="5" applyNumberFormat="1" applyFont="1" applyFill="1" applyBorder="1"/>
    <xf numFmtId="166" fontId="5" fillId="0" borderId="0" xfId="5" applyNumberFormat="1" applyFont="1" applyBorder="1"/>
    <xf numFmtId="164" fontId="5" fillId="4" borderId="0" xfId="5" applyNumberFormat="1" applyFont="1" applyFill="1" applyBorder="1"/>
    <xf numFmtId="0" fontId="6" fillId="0" borderId="5" xfId="5" applyFont="1" applyBorder="1"/>
    <xf numFmtId="164" fontId="5" fillId="4" borderId="6" xfId="5" applyNumberFormat="1" applyFont="1" applyFill="1" applyBorder="1" applyAlignment="1">
      <alignment horizontal="right"/>
    </xf>
    <xf numFmtId="164" fontId="5" fillId="0" borderId="0" xfId="5" applyNumberFormat="1" applyFont="1" applyBorder="1" applyAlignment="1">
      <alignment horizontal="right"/>
    </xf>
    <xf numFmtId="164" fontId="5" fillId="4" borderId="0" xfId="5" applyNumberFormat="1" applyFont="1" applyFill="1" applyBorder="1" applyAlignment="1">
      <alignment horizontal="right"/>
    </xf>
    <xf numFmtId="0" fontId="5" fillId="11" borderId="0" xfId="5" applyFont="1" applyFill="1" applyBorder="1"/>
    <xf numFmtId="1" fontId="5" fillId="7" borderId="0" xfId="5" applyNumberFormat="1" applyFont="1" applyFill="1" applyBorder="1"/>
    <xf numFmtId="0" fontId="5" fillId="8" borderId="0" xfId="5" applyFont="1" applyFill="1" applyBorder="1"/>
    <xf numFmtId="0" fontId="5" fillId="7" borderId="0" xfId="5" applyFont="1" applyFill="1" applyBorder="1"/>
    <xf numFmtId="164" fontId="5" fillId="11" borderId="0" xfId="5" applyNumberFormat="1" applyFont="1" applyFill="1" applyBorder="1"/>
    <xf numFmtId="0" fontId="5" fillId="6" borderId="0" xfId="5" applyFont="1" applyFill="1" applyBorder="1"/>
    <xf numFmtId="164" fontId="5" fillId="7" borderId="0" xfId="5" applyNumberFormat="1" applyFont="1" applyFill="1" applyBorder="1"/>
    <xf numFmtId="164" fontId="5" fillId="4" borderId="6" xfId="5" applyNumberFormat="1" applyFont="1" applyFill="1" applyBorder="1"/>
    <xf numFmtId="164" fontId="5" fillId="0" borderId="3" xfId="5" applyNumberFormat="1" applyFont="1" applyBorder="1"/>
    <xf numFmtId="2" fontId="5" fillId="0" borderId="2" xfId="5" applyNumberFormat="1" applyFont="1" applyBorder="1"/>
    <xf numFmtId="1" fontId="5" fillId="4" borderId="2" xfId="5" applyNumberFormat="1" applyFont="1" applyFill="1" applyBorder="1"/>
    <xf numFmtId="166" fontId="5" fillId="0" borderId="2" xfId="5" applyNumberFormat="1" applyFont="1" applyBorder="1"/>
    <xf numFmtId="165" fontId="5" fillId="0" borderId="4" xfId="5" applyNumberFormat="1" applyFont="1" applyBorder="1"/>
    <xf numFmtId="164" fontId="5" fillId="0" borderId="6" xfId="5" applyNumberFormat="1" applyFont="1" applyBorder="1"/>
    <xf numFmtId="2" fontId="5" fillId="0" borderId="0" xfId="5" applyNumberFormat="1" applyFont="1" applyBorder="1"/>
    <xf numFmtId="164" fontId="5" fillId="0" borderId="10" xfId="5" applyNumberFormat="1" applyFont="1" applyBorder="1"/>
    <xf numFmtId="1" fontId="7" fillId="0" borderId="9" xfId="6" applyNumberFormat="1" applyFont="1" applyBorder="1"/>
    <xf numFmtId="2" fontId="7" fillId="0" borderId="9" xfId="6" applyNumberFormat="1" applyFont="1" applyBorder="1" applyAlignment="1">
      <alignment horizontal="right"/>
    </xf>
    <xf numFmtId="1" fontId="7" fillId="0" borderId="9" xfId="6" applyNumberFormat="1" applyFont="1" applyBorder="1" applyAlignment="1">
      <alignment horizontal="right"/>
    </xf>
    <xf numFmtId="2" fontId="5" fillId="0" borderId="9" xfId="5" applyNumberFormat="1" applyFont="1" applyBorder="1"/>
    <xf numFmtId="1" fontId="5" fillId="0" borderId="9" xfId="5" applyNumberFormat="1" applyFont="1" applyBorder="1"/>
    <xf numFmtId="166" fontId="5" fillId="0" borderId="9" xfId="5" applyNumberFormat="1" applyFont="1" applyBorder="1"/>
    <xf numFmtId="164" fontId="5" fillId="0" borderId="9" xfId="5" applyNumberFormat="1" applyFont="1" applyBorder="1"/>
    <xf numFmtId="0" fontId="5" fillId="0" borderId="0" xfId="5" applyFont="1" applyAlignment="1">
      <alignment wrapText="1"/>
    </xf>
    <xf numFmtId="0" fontId="6" fillId="0" borderId="1" xfId="5" applyFont="1" applyBorder="1" applyAlignment="1">
      <alignment wrapText="1"/>
    </xf>
    <xf numFmtId="0" fontId="6" fillId="0" borderId="2" xfId="5" applyFont="1" applyBorder="1" applyAlignment="1">
      <alignment wrapText="1"/>
    </xf>
    <xf numFmtId="0" fontId="6" fillId="0" borderId="4" xfId="5" applyFont="1" applyBorder="1" applyAlignment="1">
      <alignment wrapText="1"/>
    </xf>
    <xf numFmtId="0" fontId="5" fillId="0" borderId="5" xfId="5" applyFont="1" applyBorder="1" applyAlignment="1">
      <alignment wrapText="1"/>
    </xf>
    <xf numFmtId="164" fontId="0" fillId="0" borderId="0" xfId="5" applyNumberFormat="1" applyFont="1"/>
    <xf numFmtId="0" fontId="5" fillId="0" borderId="8" xfId="5" applyFont="1" applyBorder="1" applyAlignment="1">
      <alignment wrapText="1"/>
    </xf>
    <xf numFmtId="0" fontId="9" fillId="0" borderId="0" xfId="5" applyFont="1"/>
    <xf numFmtId="0" fontId="10" fillId="0" borderId="0" xfId="5" applyFont="1"/>
    <xf numFmtId="0" fontId="9" fillId="0" borderId="15" xfId="5" applyFont="1" applyBorder="1"/>
    <xf numFmtId="0" fontId="9" fillId="0" borderId="16" xfId="5" applyFont="1" applyBorder="1"/>
    <xf numFmtId="0" fontId="9" fillId="12" borderId="17" xfId="5" applyFont="1" applyFill="1" applyBorder="1"/>
    <xf numFmtId="0" fontId="9" fillId="0" borderId="17" xfId="5" applyFont="1" applyBorder="1"/>
    <xf numFmtId="0" fontId="10" fillId="0" borderId="18" xfId="5" applyFont="1" applyBorder="1"/>
    <xf numFmtId="0" fontId="10" fillId="0" borderId="19" xfId="5" applyFont="1" applyBorder="1"/>
    <xf numFmtId="0" fontId="9" fillId="0" borderId="19" xfId="5" applyFont="1" applyBorder="1"/>
    <xf numFmtId="164" fontId="9" fillId="12" borderId="17" xfId="5" applyNumberFormat="1" applyFont="1" applyFill="1" applyBorder="1"/>
    <xf numFmtId="0" fontId="9" fillId="0" borderId="0" xfId="5" applyFont="1" applyBorder="1"/>
    <xf numFmtId="0" fontId="18" fillId="0" borderId="0" xfId="5"/>
    <xf numFmtId="0" fontId="4" fillId="0" borderId="0" xfId="0" applyFont="1"/>
    <xf numFmtId="0" fontId="0" fillId="13" borderId="0" xfId="0" applyFont="1" applyFill="1"/>
    <xf numFmtId="0" fontId="0" fillId="0" borderId="0" xfId="0" applyFont="1" applyBorder="1"/>
    <xf numFmtId="0" fontId="11" fillId="0" borderId="20" xfId="0" applyFont="1" applyBorder="1" applyAlignment="1">
      <alignment wrapText="1"/>
    </xf>
    <xf numFmtId="0" fontId="11" fillId="0" borderId="20" xfId="0" applyFont="1" applyBorder="1"/>
    <xf numFmtId="0" fontId="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9" xfId="3" applyBorder="1" applyProtection="1"/>
    <xf numFmtId="0" fontId="1" fillId="2" borderId="0" xfId="3" applyFont="1" applyBorder="1" applyProtection="1"/>
    <xf numFmtId="0" fontId="1" fillId="2" borderId="0" xfId="3" applyBorder="1" applyProtection="1"/>
    <xf numFmtId="0" fontId="16" fillId="13" borderId="0" xfId="2" applyNumberFormat="1" applyFont="1" applyFill="1" applyBorder="1" applyAlignment="1" applyProtection="1"/>
    <xf numFmtId="0" fontId="0" fillId="0" borderId="0" xfId="0" applyFont="1"/>
    <xf numFmtId="0" fontId="16" fillId="0" borderId="0" xfId="2" applyNumberFormat="1" applyFont="1" applyBorder="1" applyAlignment="1" applyProtection="1"/>
    <xf numFmtId="166" fontId="0" fillId="0" borderId="0" xfId="0" applyNumberFormat="1" applyFont="1" applyBorder="1" applyAlignment="1">
      <alignment horizontal="center"/>
    </xf>
    <xf numFmtId="2" fontId="0" fillId="0" borderId="0" xfId="0" applyNumberFormat="1"/>
    <xf numFmtId="0" fontId="0" fillId="13" borderId="0" xfId="0" applyFill="1"/>
    <xf numFmtId="0" fontId="0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1" fillId="2" borderId="9" xfId="3" applyFont="1" applyBorder="1" applyProtection="1"/>
    <xf numFmtId="166" fontId="0" fillId="0" borderId="0" xfId="0" applyNumberFormat="1"/>
    <xf numFmtId="168" fontId="16" fillId="0" borderId="0" xfId="1" applyNumberFormat="1" applyFont="1" applyBorder="1" applyAlignment="1" applyProtection="1"/>
    <xf numFmtId="0" fontId="11" fillId="0" borderId="0" xfId="0" applyFont="1" applyBorder="1"/>
    <xf numFmtId="164" fontId="0" fillId="0" borderId="0" xfId="0" applyNumberFormat="1" applyBorder="1"/>
    <xf numFmtId="0" fontId="0" fillId="0" borderId="0" xfId="0" applyBorder="1"/>
    <xf numFmtId="164" fontId="11" fillId="0" borderId="0" xfId="0" applyNumberFormat="1" applyFont="1" applyBorder="1" applyAlignment="1">
      <alignment horizontal="right"/>
    </xf>
    <xf numFmtId="0" fontId="11" fillId="14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17" fillId="0" borderId="0" xfId="0" applyFont="1" applyAlignment="1">
      <alignment wrapText="1"/>
    </xf>
  </cellXfs>
  <cellStyles count="7">
    <cellStyle name="Accent 2 6" xfId="3" xr:uid="{00000000-0005-0000-0000-000006000000}"/>
    <cellStyle name="Accent 3 1" xfId="4" xr:uid="{00000000-0005-0000-0000-000007000000}"/>
    <cellStyle name="Comma" xfId="1" builtinId="3"/>
    <cellStyle name="Normal" xfId="0" builtinId="0"/>
    <cellStyle name="Normal 2" xfId="5" xr:uid="{00000000-0005-0000-0000-000008000000}"/>
    <cellStyle name="Normal 4 2" xfId="6" xr:uid="{00000000-0005-0000-0000-000009000000}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CC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D428"/>
      <rgbColor rgb="FFFF860D"/>
      <rgbColor rgb="FFFF8000"/>
      <rgbColor rgb="FF729FCF"/>
      <rgbColor rgb="FFBF819E"/>
      <rgbColor rgb="FF003366"/>
      <rgbColor rgb="FF339966"/>
      <rgbColor rgb="FF003300"/>
      <rgbColor rgb="FF333300"/>
      <rgbColor rgb="FFBE480A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47697327142678"/>
          <c:y val="0.110461880912632"/>
          <c:w val="0.82187225498807903"/>
          <c:h val="0.54340567612687796"/>
        </c:manualLayout>
      </c:layout>
      <c:scatterChart>
        <c:scatterStyle val="lineMarker"/>
        <c:varyColors val="0"/>
        <c:ser>
          <c:idx val="0"/>
          <c:order val="0"/>
          <c:spPr>
            <a:ln w="2556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35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21"/>
                <c:pt idx="0">
                  <c:v>4.60517018598809</c:v>
                </c:pt>
                <c:pt idx="1">
                  <c:v>2.99573227355399</c:v>
                </c:pt>
                <c:pt idx="2">
                  <c:v>2.3025850929940499</c:v>
                </c:pt>
                <c:pt idx="3">
                  <c:v>1.89711998488588</c:v>
                </c:pt>
                <c:pt idx="4">
                  <c:v>1.6094379124341001</c:v>
                </c:pt>
                <c:pt idx="5">
                  <c:v>1.3862943611198899</c:v>
                </c:pt>
                <c:pt idx="6">
                  <c:v>1.2039728043259399</c:v>
                </c:pt>
                <c:pt idx="7">
                  <c:v>1.0498221244986801</c:v>
                </c:pt>
                <c:pt idx="8">
                  <c:v>0.916290731874155</c:v>
                </c:pt>
                <c:pt idx="9">
                  <c:v>0.79850769621777196</c:v>
                </c:pt>
                <c:pt idx="10">
                  <c:v>0.69314718055994495</c:v>
                </c:pt>
                <c:pt idx="11">
                  <c:v>0.59783700075561996</c:v>
                </c:pt>
                <c:pt idx="12">
                  <c:v>0.51082562376599105</c:v>
                </c:pt>
                <c:pt idx="13">
                  <c:v>0.430782916092454</c:v>
                </c:pt>
                <c:pt idx="14">
                  <c:v>0.356674943938732</c:v>
                </c:pt>
                <c:pt idx="15">
                  <c:v>0.28768207245178101</c:v>
                </c:pt>
                <c:pt idx="16">
                  <c:v>0.22314355131420999</c:v>
                </c:pt>
                <c:pt idx="17">
                  <c:v>0.16251892949777499</c:v>
                </c:pt>
                <c:pt idx="18">
                  <c:v>0.105360515657826</c:v>
                </c:pt>
                <c:pt idx="19">
                  <c:v>5.1293294387550599E-2</c:v>
                </c:pt>
                <c:pt idx="20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Column 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8C6-4A94-86AA-FFA7DCF6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4982"/>
        <c:axId val="70902818"/>
      </c:scatterChart>
      <c:valAx>
        <c:axId val="61374982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Random variable, X</a:t>
                </a:r>
              </a:p>
            </c:rich>
          </c:tx>
          <c:layout>
            <c:manualLayout>
              <c:xMode val="edge"/>
              <c:yMode val="edge"/>
              <c:x val="0.474275316852805"/>
              <c:y val="0.81441291040623298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lang="en-US" sz="8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r-FR"/>
          </a:p>
        </c:txPr>
        <c:crossAx val="70902818"/>
        <c:crosses val="autoZero"/>
        <c:crossBetween val="midCat"/>
      </c:valAx>
      <c:valAx>
        <c:axId val="70902818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Relative bulb use weighting</a:t>
                </a:r>
              </a:p>
            </c:rich>
          </c:tx>
          <c:layout>
            <c:manualLayout>
              <c:xMode val="edge"/>
              <c:yMode val="edge"/>
              <c:x val="4.5551512109424E-2"/>
              <c:y val="0.12715637173066199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lang="en-US" sz="8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r-FR"/>
          </a:p>
        </c:txPr>
        <c:crossAx val="61374982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1646341463415"/>
          <c:y val="8.9961477452979804E-2"/>
          <c:w val="0.88109756097560998"/>
          <c:h val="0.608203036483118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4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1.5281456953642401</c:v>
                </c:pt>
                <c:pt idx="3">
                  <c:v>1.6937086092715199</c:v>
                </c:pt>
                <c:pt idx="4">
                  <c:v>1.98344370860927</c:v>
                </c:pt>
                <c:pt idx="5">
                  <c:v>2.0943708609271501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Column 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5ED-4932-9B14-B07ED5A2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31317"/>
        <c:axId val="60614580"/>
      </c:barChart>
      <c:catAx>
        <c:axId val="275313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Number of active occupants</a:t>
                </a:r>
              </a:p>
            </c:rich>
          </c:tx>
          <c:layout>
            <c:manualLayout>
              <c:xMode val="edge"/>
              <c:yMode val="edge"/>
              <c:x val="0.40024390243902402"/>
              <c:y val="0.84885565375028305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lang="en-US" sz="8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r-FR"/>
          </a:p>
        </c:txPr>
        <c:crossAx val="60614580"/>
        <c:crosses val="autoZero"/>
        <c:auto val="1"/>
        <c:lblAlgn val="ctr"/>
        <c:lblOffset val="100"/>
        <c:noMultiLvlLbl val="0"/>
      </c:catAx>
      <c:valAx>
        <c:axId val="6061458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Effective occupancy</a:t>
                </a:r>
              </a:p>
            </c:rich>
          </c:tx>
          <c:layout>
            <c:manualLayout>
              <c:xMode val="edge"/>
              <c:yMode val="edge"/>
              <c:x val="8.4146341463414605E-3"/>
              <c:y val="0.18332200317244501"/>
            </c:manualLayout>
          </c:layout>
          <c:overlay val="0"/>
          <c:spPr>
            <a:noFill/>
            <a:ln w="2556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lang="en-US" sz="8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r-FR"/>
          </a:p>
        </c:txPr>
        <c:crossAx val="27531317"/>
        <c:crosses val="autoZero"/>
        <c:crossBetween val="between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4037267080745"/>
          <c:y val="0.13589638157894701"/>
          <c:w val="0.85355948399426695"/>
          <c:h val="0.61533717105263197"/>
        </c:manualLayout>
      </c:layout>
      <c:scatterChart>
        <c:scatterStyle val="lineMarker"/>
        <c:varyColors val="0"/>
        <c:ser>
          <c:idx val="0"/>
          <c:order val="0"/>
          <c:spPr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47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27</c:v>
                </c:pt>
                <c:pt idx="6">
                  <c:v>49</c:v>
                </c:pt>
                <c:pt idx="7">
                  <c:v>91</c:v>
                </c:pt>
                <c:pt idx="8">
                  <c:v>259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9"/>
                <c:pt idx="0">
                  <c:v>0.11111111111111099</c:v>
                </c:pt>
                <c:pt idx="1">
                  <c:v>0.22222222222222199</c:v>
                </c:pt>
                <c:pt idx="2">
                  <c:v>0.33333333333333298</c:v>
                </c:pt>
                <c:pt idx="3">
                  <c:v>0.44444444444444398</c:v>
                </c:pt>
                <c:pt idx="4">
                  <c:v>0.55555555555555602</c:v>
                </c:pt>
                <c:pt idx="5">
                  <c:v>0.66666666666666696</c:v>
                </c:pt>
                <c:pt idx="6">
                  <c:v>0.77777777777777801</c:v>
                </c:pt>
                <c:pt idx="7">
                  <c:v>0.88888888888888895</c:v>
                </c:pt>
                <c:pt idx="8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Column 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0DE-4D21-AA4B-610369F7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7508"/>
        <c:axId val="71070596"/>
      </c:scatterChart>
      <c:valAx>
        <c:axId val="579975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Lighting event duration (minutes)</a:t>
                </a:r>
              </a:p>
            </c:rich>
          </c:tx>
          <c:layout>
            <c:manualLayout>
              <c:xMode val="edge"/>
              <c:yMode val="edge"/>
              <c:x val="0.39739608217869099"/>
              <c:y val="0.86287006578947401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lang="en-US" sz="825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r-FR"/>
          </a:p>
        </c:txPr>
        <c:crossAx val="71070596"/>
        <c:crosses val="autoZero"/>
        <c:crossBetween val="midCat"/>
      </c:valAx>
      <c:valAx>
        <c:axId val="71070596"/>
        <c:scaling>
          <c:orientation val="minMax"/>
          <c:max val="1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Cumulative probability</a:t>
                </a:r>
              </a:p>
            </c:rich>
          </c:tx>
          <c:layout>
            <c:manualLayout>
              <c:xMode val="edge"/>
              <c:yMode val="edge"/>
              <c:x val="2.16196846631629E-2"/>
              <c:y val="0.20435855263157901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lang="en-US" sz="825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r-FR"/>
          </a:p>
        </c:txPr>
        <c:crossAx val="57997508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693000</xdr:colOff>
      <xdr:row>9</xdr:row>
      <xdr:rowOff>32040</xdr:rowOff>
    </xdr:from>
    <xdr:to>
      <xdr:col>7</xdr:col>
      <xdr:colOff>531720</xdr:colOff>
      <xdr:row>17</xdr:row>
      <xdr:rowOff>24840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451800</xdr:colOff>
      <xdr:row>34</xdr:row>
      <xdr:rowOff>105480</xdr:rowOff>
    </xdr:from>
    <xdr:to>
      <xdr:col>13</xdr:col>
      <xdr:colOff>639360</xdr:colOff>
      <xdr:row>44</xdr:row>
      <xdr:rowOff>68040</xdr:rowOff>
    </xdr:to>
    <xdr:graphicFrame macro="">
      <xdr:nvGraphicFramePr>
        <xdr:cNvPr id="3" name="Chart 2_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451800</xdr:colOff>
      <xdr:row>51</xdr:row>
      <xdr:rowOff>113760</xdr:rowOff>
    </xdr:from>
    <xdr:to>
      <xdr:col>13</xdr:col>
      <xdr:colOff>763200</xdr:colOff>
      <xdr:row>62</xdr:row>
      <xdr:rowOff>75960</xdr:rowOff>
    </xdr:to>
    <xdr:graphicFrame macro="">
      <xdr:nvGraphicFramePr>
        <xdr:cNvPr id="4" name="Chart 6_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ST_data/CREST_Demand_Model_v2.3.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Usage"/>
      <sheetName val="ActivityStat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7"/>
  <sheetViews>
    <sheetView tabSelected="1" zoomScale="120" zoomScaleNormal="120" workbookViewId="0">
      <pane xSplit="3" topLeftCell="M1" activePane="topRight" state="frozen"/>
      <selection pane="topRight" activeCell="P19" sqref="P19"/>
    </sheetView>
  </sheetViews>
  <sheetFormatPr defaultColWidth="11.5703125" defaultRowHeight="12.75" x14ac:dyDescent="0.2"/>
  <cols>
    <col min="2" max="2" width="18.42578125" customWidth="1"/>
    <col min="6" max="6" width="16.140625" customWidth="1"/>
  </cols>
  <sheetData>
    <row r="1" spans="1:58" ht="15.75" x14ac:dyDescent="0.25">
      <c r="A1" s="1" t="s">
        <v>0</v>
      </c>
      <c r="B1" s="2"/>
      <c r="C1" s="2"/>
      <c r="D1" s="2"/>
      <c r="E1" s="2"/>
      <c r="F1" s="2"/>
      <c r="G1" s="2"/>
      <c r="H1" s="3"/>
      <c r="I1" s="2" t="s">
        <v>1</v>
      </c>
      <c r="J1" s="2"/>
      <c r="K1" s="4" t="s">
        <v>2</v>
      </c>
      <c r="L1" s="2" t="s">
        <v>3</v>
      </c>
      <c r="M1" s="2"/>
      <c r="N1" s="2"/>
      <c r="O1" s="2"/>
      <c r="P1" s="2"/>
      <c r="Q1" s="2"/>
      <c r="R1" s="2"/>
      <c r="S1" s="2"/>
      <c r="T1" s="5"/>
      <c r="U1" t="s">
        <v>4</v>
      </c>
      <c r="W1" s="6"/>
      <c r="X1" t="s">
        <v>5</v>
      </c>
      <c r="Y1" s="2"/>
      <c r="Z1" s="2"/>
      <c r="AA1" s="7"/>
      <c r="AB1" s="2" t="s">
        <v>6</v>
      </c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x14ac:dyDescent="0.2">
      <c r="A2" s="2"/>
      <c r="B2" s="2"/>
      <c r="C2" s="2"/>
      <c r="D2" s="2"/>
      <c r="E2" s="2"/>
      <c r="F2" s="2"/>
      <c r="G2" s="2"/>
      <c r="H2" s="8"/>
      <c r="I2" s="2" t="s">
        <v>7</v>
      </c>
      <c r="J2" s="2"/>
      <c r="K2" s="2"/>
      <c r="L2" s="2"/>
      <c r="M2" s="2"/>
      <c r="N2" s="2"/>
      <c r="O2" s="2"/>
      <c r="P2" s="2"/>
      <c r="Q2" s="2"/>
      <c r="R2" s="2"/>
      <c r="S2" s="2"/>
      <c r="W2" s="9"/>
      <c r="X2" t="s">
        <v>8</v>
      </c>
      <c r="Y2" s="2"/>
      <c r="Z2" s="2"/>
      <c r="AA2" s="10" t="s">
        <v>2</v>
      </c>
      <c r="AB2" s="2" t="s">
        <v>9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x14ac:dyDescent="0.2">
      <c r="A3" s="11" t="s">
        <v>10</v>
      </c>
      <c r="B3" s="12" t="s">
        <v>11</v>
      </c>
      <c r="C3" s="12"/>
      <c r="D3" s="12"/>
      <c r="E3" s="13" t="s">
        <v>12</v>
      </c>
      <c r="F3" s="12" t="s">
        <v>13</v>
      </c>
      <c r="G3" s="12"/>
      <c r="H3" s="12"/>
      <c r="I3" s="12"/>
      <c r="J3" s="12"/>
      <c r="K3" s="12"/>
      <c r="L3" s="12"/>
      <c r="M3" s="12"/>
      <c r="N3" s="12"/>
      <c r="O3" s="12"/>
      <c r="P3" s="14"/>
      <c r="Q3" s="14"/>
      <c r="R3" s="12"/>
      <c r="S3" s="15"/>
      <c r="T3" s="15"/>
      <c r="U3" s="15"/>
      <c r="V3" s="16"/>
      <c r="W3" s="15"/>
      <c r="X3" s="16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2"/>
      <c r="AX3" s="18"/>
      <c r="AY3" s="18"/>
      <c r="AZ3" s="18"/>
      <c r="BA3" s="18"/>
      <c r="BB3" s="18"/>
      <c r="BC3" s="18"/>
      <c r="BD3" s="18"/>
      <c r="BE3" s="2"/>
      <c r="BF3" s="18"/>
    </row>
    <row r="4" spans="1:58" x14ac:dyDescent="0.2">
      <c r="A4" s="19"/>
      <c r="B4" s="18"/>
      <c r="C4" s="20"/>
      <c r="D4" s="20"/>
      <c r="E4" s="21" t="s">
        <v>14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2"/>
      <c r="Q4" s="22"/>
      <c r="R4" s="20"/>
      <c r="S4" s="18"/>
      <c r="T4" s="18"/>
      <c r="U4" s="18"/>
      <c r="V4" s="23"/>
      <c r="W4" s="18"/>
      <c r="X4" s="23"/>
      <c r="Y4" s="18"/>
      <c r="Z4" s="18"/>
      <c r="AA4" s="18" t="s">
        <v>15</v>
      </c>
      <c r="AB4" s="18" t="s">
        <v>15</v>
      </c>
      <c r="AC4" s="18" t="s">
        <v>16</v>
      </c>
      <c r="AD4" s="18" t="s">
        <v>17</v>
      </c>
      <c r="AE4" s="18" t="s">
        <v>18</v>
      </c>
      <c r="AF4" s="18" t="s">
        <v>19</v>
      </c>
      <c r="AG4" s="18" t="s">
        <v>20</v>
      </c>
      <c r="AH4" s="18" t="s">
        <v>21</v>
      </c>
      <c r="AI4" s="24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2"/>
      <c r="AX4" s="18"/>
      <c r="AY4" s="18"/>
      <c r="AZ4" s="18"/>
      <c r="BA4" s="18"/>
      <c r="BB4" s="18"/>
      <c r="BC4" s="18"/>
      <c r="BD4" s="18"/>
      <c r="BE4" s="2"/>
      <c r="BF4" s="18"/>
    </row>
    <row r="5" spans="1:58" x14ac:dyDescent="0.2">
      <c r="A5" s="19"/>
      <c r="B5" s="18"/>
      <c r="C5" s="20"/>
      <c r="D5" s="20"/>
      <c r="E5" s="21" t="s">
        <v>22</v>
      </c>
      <c r="F5" s="25" t="s">
        <v>23</v>
      </c>
      <c r="G5" s="25" t="s">
        <v>23</v>
      </c>
      <c r="H5" s="25" t="s">
        <v>24</v>
      </c>
      <c r="I5" s="25" t="s">
        <v>25</v>
      </c>
      <c r="J5" s="25" t="s">
        <v>26</v>
      </c>
      <c r="K5" s="25" t="s">
        <v>19</v>
      </c>
      <c r="L5" s="25" t="s">
        <v>27</v>
      </c>
      <c r="M5" s="25" t="s">
        <v>28</v>
      </c>
      <c r="N5" s="25" t="s">
        <v>29</v>
      </c>
      <c r="O5" s="25" t="s">
        <v>30</v>
      </c>
      <c r="P5" s="22"/>
      <c r="Q5" s="22"/>
      <c r="R5" s="20"/>
      <c r="S5" s="18"/>
      <c r="T5" s="18"/>
      <c r="U5" s="25" t="s">
        <v>31</v>
      </c>
      <c r="V5" s="23"/>
      <c r="W5" s="18"/>
      <c r="X5" s="23"/>
      <c r="Y5" s="18"/>
      <c r="Z5" s="25" t="s">
        <v>32</v>
      </c>
      <c r="AA5" s="25" t="s">
        <v>33</v>
      </c>
      <c r="AB5" s="25" t="s">
        <v>34</v>
      </c>
      <c r="AC5" s="25" t="s">
        <v>35</v>
      </c>
      <c r="AD5" s="25" t="s">
        <v>36</v>
      </c>
      <c r="AE5" s="25" t="s">
        <v>37</v>
      </c>
      <c r="AF5" s="25" t="s">
        <v>38</v>
      </c>
      <c r="AG5" s="18" t="s">
        <v>39</v>
      </c>
      <c r="AH5" s="18" t="s">
        <v>40</v>
      </c>
      <c r="AI5" s="24" t="s">
        <v>41</v>
      </c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2"/>
      <c r="AX5" s="18"/>
      <c r="AY5" s="18"/>
      <c r="AZ5" s="18"/>
      <c r="BA5" s="18"/>
      <c r="BB5" s="18"/>
      <c r="BC5" s="18"/>
      <c r="BD5" s="18"/>
      <c r="BE5" s="2"/>
      <c r="BF5" s="18"/>
    </row>
    <row r="6" spans="1:58" x14ac:dyDescent="0.2">
      <c r="A6" s="19"/>
      <c r="B6" s="18"/>
      <c r="C6" s="20"/>
      <c r="D6" s="20"/>
      <c r="E6" s="21" t="s">
        <v>42</v>
      </c>
      <c r="F6" s="25" t="s">
        <v>43</v>
      </c>
      <c r="G6" s="25" t="s">
        <v>44</v>
      </c>
      <c r="H6" s="25" t="s">
        <v>45</v>
      </c>
      <c r="I6" s="25" t="s">
        <v>46</v>
      </c>
      <c r="J6" s="25" t="s">
        <v>47</v>
      </c>
      <c r="K6" s="25" t="s">
        <v>48</v>
      </c>
      <c r="L6" s="25" t="s">
        <v>49</v>
      </c>
      <c r="M6" s="25" t="s">
        <v>50</v>
      </c>
      <c r="N6" s="25" t="s">
        <v>51</v>
      </c>
      <c r="O6" s="25" t="s">
        <v>52</v>
      </c>
      <c r="P6" s="23" t="s">
        <v>53</v>
      </c>
      <c r="Q6" s="23"/>
      <c r="R6" s="18"/>
      <c r="S6" s="18" t="s">
        <v>54</v>
      </c>
      <c r="T6" s="18" t="s">
        <v>53</v>
      </c>
      <c r="U6" s="25" t="s">
        <v>55</v>
      </c>
      <c r="V6" s="23" t="s">
        <v>56</v>
      </c>
      <c r="W6" s="18" t="s">
        <v>57</v>
      </c>
      <c r="X6" s="23" t="s">
        <v>58</v>
      </c>
      <c r="Y6" s="18" t="s">
        <v>58</v>
      </c>
      <c r="Z6" s="25" t="s">
        <v>59</v>
      </c>
      <c r="AA6" s="25" t="s">
        <v>60</v>
      </c>
      <c r="AB6" s="25" t="s">
        <v>61</v>
      </c>
      <c r="AC6" s="25" t="s">
        <v>62</v>
      </c>
      <c r="AD6" s="25" t="s">
        <v>63</v>
      </c>
      <c r="AE6" s="25" t="s">
        <v>64</v>
      </c>
      <c r="AF6" s="25"/>
      <c r="AG6" s="18" t="s">
        <v>65</v>
      </c>
      <c r="AH6" s="18" t="s">
        <v>66</v>
      </c>
      <c r="AI6" s="24" t="s">
        <v>67</v>
      </c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2"/>
      <c r="AX6" s="18"/>
      <c r="AY6" s="18"/>
      <c r="AZ6" s="18"/>
      <c r="BA6" s="18"/>
      <c r="BB6" s="18"/>
      <c r="BC6" s="18"/>
      <c r="BD6" s="18"/>
      <c r="BE6" s="2"/>
      <c r="BF6" s="18"/>
    </row>
    <row r="7" spans="1:58" x14ac:dyDescent="0.2">
      <c r="A7" s="19"/>
      <c r="B7" s="20" t="s">
        <v>68</v>
      </c>
      <c r="C7" s="20" t="s">
        <v>69</v>
      </c>
      <c r="D7" s="20"/>
      <c r="E7" s="21"/>
      <c r="F7" s="25" t="s">
        <v>70</v>
      </c>
      <c r="G7" s="25" t="s">
        <v>71</v>
      </c>
      <c r="H7" s="25" t="s">
        <v>72</v>
      </c>
      <c r="I7" s="25" t="s">
        <v>60</v>
      </c>
      <c r="J7" s="25" t="s">
        <v>73</v>
      </c>
      <c r="K7" s="25"/>
      <c r="L7" s="25"/>
      <c r="M7" s="25" t="s">
        <v>72</v>
      </c>
      <c r="N7" s="25" t="s">
        <v>74</v>
      </c>
      <c r="O7" s="25" t="s">
        <v>75</v>
      </c>
      <c r="P7" s="23" t="s">
        <v>66</v>
      </c>
      <c r="Q7" s="23"/>
      <c r="R7" s="18"/>
      <c r="S7" s="18" t="s">
        <v>76</v>
      </c>
      <c r="T7" s="18" t="s">
        <v>77</v>
      </c>
      <c r="U7" s="25" t="s">
        <v>78</v>
      </c>
      <c r="V7" s="23" t="s">
        <v>79</v>
      </c>
      <c r="W7" s="18" t="s">
        <v>80</v>
      </c>
      <c r="X7" s="23" t="s">
        <v>80</v>
      </c>
      <c r="Y7" s="18" t="s">
        <v>81</v>
      </c>
      <c r="Z7" s="25" t="s">
        <v>60</v>
      </c>
      <c r="AA7" s="25"/>
      <c r="AB7" s="25"/>
      <c r="AC7" s="25" t="s">
        <v>82</v>
      </c>
      <c r="AD7" s="25" t="s">
        <v>83</v>
      </c>
      <c r="AE7" s="25"/>
      <c r="AF7" s="25"/>
      <c r="AG7" s="18" t="s">
        <v>84</v>
      </c>
      <c r="AH7" s="18" t="s">
        <v>85</v>
      </c>
      <c r="AI7" s="24" t="s">
        <v>86</v>
      </c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2"/>
      <c r="AX7" s="18"/>
      <c r="AY7" s="18"/>
      <c r="AZ7" s="18"/>
      <c r="BA7" s="18"/>
      <c r="BB7" s="18"/>
      <c r="BC7" s="18"/>
      <c r="BD7" s="18"/>
      <c r="BE7" s="2"/>
      <c r="BF7" s="18"/>
    </row>
    <row r="8" spans="1:58" x14ac:dyDescent="0.2">
      <c r="A8" s="26"/>
      <c r="B8" s="27"/>
      <c r="C8" s="28"/>
      <c r="D8" s="28"/>
      <c r="E8" s="29"/>
      <c r="F8" s="28"/>
      <c r="G8" s="28"/>
      <c r="H8" s="28"/>
      <c r="I8" s="28" t="s">
        <v>87</v>
      </c>
      <c r="J8" s="28" t="s">
        <v>87</v>
      </c>
      <c r="K8" s="28"/>
      <c r="L8" s="28"/>
      <c r="M8" s="28" t="s">
        <v>88</v>
      </c>
      <c r="N8" s="28" t="s">
        <v>89</v>
      </c>
      <c r="O8" s="28" t="s">
        <v>90</v>
      </c>
      <c r="P8" s="30" t="s">
        <v>91</v>
      </c>
      <c r="Q8" s="30"/>
      <c r="R8" s="28"/>
      <c r="S8" s="28" t="s">
        <v>92</v>
      </c>
      <c r="T8" s="28" t="s">
        <v>89</v>
      </c>
      <c r="U8" s="31" t="s">
        <v>89</v>
      </c>
      <c r="V8" s="30" t="s">
        <v>91</v>
      </c>
      <c r="W8" s="28"/>
      <c r="X8" s="30" t="s">
        <v>93</v>
      </c>
      <c r="Y8" s="28" t="s">
        <v>93</v>
      </c>
      <c r="Z8" s="31" t="s">
        <v>94</v>
      </c>
      <c r="AA8" s="31" t="s">
        <v>89</v>
      </c>
      <c r="AB8" s="31" t="s">
        <v>89</v>
      </c>
      <c r="AC8" s="31" t="s">
        <v>89</v>
      </c>
      <c r="AD8" s="31" t="s">
        <v>89</v>
      </c>
      <c r="AE8" s="31" t="s">
        <v>89</v>
      </c>
      <c r="AF8" s="31"/>
      <c r="AG8" s="28" t="s">
        <v>93</v>
      </c>
      <c r="AH8" s="28"/>
      <c r="AI8" s="32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2"/>
      <c r="AX8" s="18"/>
      <c r="AY8" s="18"/>
      <c r="AZ8" s="18"/>
      <c r="BA8" s="18"/>
      <c r="BB8" s="18"/>
      <c r="BC8" s="18"/>
      <c r="BD8" s="18"/>
      <c r="BE8" s="2"/>
      <c r="BF8" s="18"/>
    </row>
    <row r="9" spans="1:58" x14ac:dyDescent="0.2">
      <c r="A9" s="11"/>
      <c r="B9" s="12"/>
      <c r="C9" s="12"/>
      <c r="D9" s="12"/>
      <c r="E9" s="33"/>
      <c r="F9" s="12" t="s">
        <v>95</v>
      </c>
      <c r="G9" s="12"/>
      <c r="H9" s="34"/>
      <c r="I9" s="35"/>
      <c r="J9" s="36"/>
      <c r="K9" s="36"/>
      <c r="L9" s="36"/>
      <c r="M9" s="37"/>
      <c r="N9" s="36"/>
      <c r="O9" s="36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8"/>
      <c r="AH9" s="15"/>
      <c r="AI9" s="17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x14ac:dyDescent="0.2">
      <c r="A10" s="19"/>
      <c r="B10" s="20"/>
      <c r="C10" s="20"/>
      <c r="D10" s="20"/>
      <c r="E10" s="39" t="s">
        <v>12</v>
      </c>
      <c r="F10" s="20"/>
      <c r="G10" s="20"/>
      <c r="H10" s="34"/>
      <c r="I10" s="20"/>
      <c r="J10" s="40"/>
      <c r="K10" s="40"/>
      <c r="L10" s="40"/>
      <c r="M10" s="37"/>
      <c r="N10" s="40"/>
      <c r="O10" s="40"/>
      <c r="P10" s="41"/>
      <c r="Q10" s="41"/>
      <c r="R10" s="41"/>
      <c r="S10" s="41"/>
      <c r="T10" s="41"/>
      <c r="U10" s="41"/>
      <c r="V10" s="41"/>
      <c r="W10" s="42"/>
      <c r="X10" s="42"/>
      <c r="Y10" s="42"/>
      <c r="Z10" s="42"/>
      <c r="AA10" s="18" t="s">
        <v>96</v>
      </c>
      <c r="AB10" s="18" t="s">
        <v>96</v>
      </c>
      <c r="AC10" s="18" t="s">
        <v>16</v>
      </c>
      <c r="AD10" s="18" t="s">
        <v>17</v>
      </c>
      <c r="AE10" s="18" t="s">
        <v>18</v>
      </c>
      <c r="AF10" s="18" t="s">
        <v>19</v>
      </c>
      <c r="AG10" s="18" t="s">
        <v>20</v>
      </c>
      <c r="AH10" s="43"/>
      <c r="AI10" s="24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x14ac:dyDescent="0.2">
      <c r="A11" s="19"/>
      <c r="B11" s="18"/>
      <c r="C11" s="20"/>
      <c r="D11" s="20"/>
      <c r="E11" s="39" t="s">
        <v>14</v>
      </c>
      <c r="F11" s="25" t="s">
        <v>23</v>
      </c>
      <c r="G11" s="25"/>
      <c r="H11" s="25" t="s">
        <v>24</v>
      </c>
      <c r="I11" s="25" t="s">
        <v>25</v>
      </c>
      <c r="J11" s="25" t="s">
        <v>26</v>
      </c>
      <c r="K11" s="25" t="s">
        <v>19</v>
      </c>
      <c r="L11" s="25" t="s">
        <v>27</v>
      </c>
      <c r="M11" s="25" t="s">
        <v>28</v>
      </c>
      <c r="N11" s="25" t="s">
        <v>29</v>
      </c>
      <c r="O11" s="25" t="s">
        <v>30</v>
      </c>
      <c r="P11" s="25"/>
      <c r="Q11" s="25"/>
      <c r="R11" s="25"/>
      <c r="S11" s="18"/>
      <c r="T11" s="18"/>
      <c r="U11" s="25" t="s">
        <v>31</v>
      </c>
      <c r="V11" s="25"/>
      <c r="W11" s="18"/>
      <c r="X11" s="42"/>
      <c r="Y11" s="18"/>
      <c r="Z11" s="25" t="s">
        <v>32</v>
      </c>
      <c r="AA11" s="25" t="s">
        <v>33</v>
      </c>
      <c r="AB11" s="25" t="s">
        <v>34</v>
      </c>
      <c r="AC11" s="25" t="s">
        <v>97</v>
      </c>
      <c r="AD11" s="25" t="s">
        <v>98</v>
      </c>
      <c r="AE11" s="25" t="s">
        <v>37</v>
      </c>
      <c r="AF11" s="25" t="s">
        <v>38</v>
      </c>
      <c r="AG11" s="18" t="s">
        <v>39</v>
      </c>
      <c r="AH11" s="44"/>
      <c r="AI11" s="24"/>
      <c r="AJ11" s="43"/>
      <c r="AK11" s="43"/>
      <c r="AL11" s="43"/>
      <c r="AM11" s="43"/>
      <c r="AN11" s="18"/>
      <c r="AO11" s="18"/>
      <c r="AP11" s="18"/>
      <c r="AQ11" s="18"/>
      <c r="AR11" s="18"/>
      <c r="AS11" s="18"/>
      <c r="AT11" s="18"/>
      <c r="AU11" s="18"/>
      <c r="AV11" s="18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x14ac:dyDescent="0.2">
      <c r="A12" s="19"/>
      <c r="B12" s="45"/>
      <c r="C12" s="20"/>
      <c r="D12" s="20"/>
      <c r="E12" s="39" t="s">
        <v>22</v>
      </c>
      <c r="F12" s="25" t="s">
        <v>43</v>
      </c>
      <c r="G12" s="25"/>
      <c r="H12" s="25" t="s">
        <v>45</v>
      </c>
      <c r="I12" s="25" t="s">
        <v>46</v>
      </c>
      <c r="J12" s="25" t="s">
        <v>47</v>
      </c>
      <c r="K12" s="25" t="s">
        <v>48</v>
      </c>
      <c r="L12" s="25" t="s">
        <v>49</v>
      </c>
      <c r="M12" s="25" t="s">
        <v>50</v>
      </c>
      <c r="N12" s="25" t="s">
        <v>99</v>
      </c>
      <c r="O12" s="25" t="s">
        <v>52</v>
      </c>
      <c r="Q12" s="25" t="s">
        <v>53</v>
      </c>
      <c r="R12" s="25"/>
      <c r="S12" s="25" t="s">
        <v>53</v>
      </c>
      <c r="T12" s="25" t="s">
        <v>54</v>
      </c>
      <c r="U12" s="25" t="s">
        <v>55</v>
      </c>
      <c r="V12" s="25" t="s">
        <v>100</v>
      </c>
      <c r="W12" s="18" t="s">
        <v>100</v>
      </c>
      <c r="X12" s="18" t="s">
        <v>58</v>
      </c>
      <c r="Y12" s="18" t="s">
        <v>58</v>
      </c>
      <c r="Z12" s="25" t="s">
        <v>59</v>
      </c>
      <c r="AA12" s="25" t="s">
        <v>60</v>
      </c>
      <c r="AB12" s="25" t="s">
        <v>61</v>
      </c>
      <c r="AC12" s="25" t="s">
        <v>62</v>
      </c>
      <c r="AD12" s="25" t="s">
        <v>63</v>
      </c>
      <c r="AE12" s="25" t="s">
        <v>64</v>
      </c>
      <c r="AF12" s="25"/>
      <c r="AG12" s="18" t="s">
        <v>65</v>
      </c>
      <c r="AH12" s="18"/>
      <c r="AI12" s="46"/>
      <c r="AJ12" s="18"/>
      <c r="AK12" s="43"/>
      <c r="AL12" s="43"/>
      <c r="AM12" s="43"/>
      <c r="AN12" s="43"/>
      <c r="AO12" s="18"/>
      <c r="AP12" s="18"/>
      <c r="AQ12" s="18"/>
      <c r="AR12" s="18"/>
      <c r="AS12" s="18"/>
      <c r="AT12" s="18"/>
      <c r="AU12" s="18"/>
      <c r="AV12" s="18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x14ac:dyDescent="0.2">
      <c r="A13" s="19"/>
      <c r="B13" s="20" t="s">
        <v>101</v>
      </c>
      <c r="C13" s="20" t="s">
        <v>69</v>
      </c>
      <c r="D13" s="20"/>
      <c r="E13" s="39" t="s">
        <v>42</v>
      </c>
      <c r="F13" s="25" t="s">
        <v>70</v>
      </c>
      <c r="G13" s="25"/>
      <c r="H13" s="25" t="s">
        <v>72</v>
      </c>
      <c r="I13" s="25" t="s">
        <v>60</v>
      </c>
      <c r="J13" s="25" t="s">
        <v>73</v>
      </c>
      <c r="K13" s="25"/>
      <c r="L13" s="25"/>
      <c r="M13" s="25" t="s">
        <v>72</v>
      </c>
      <c r="N13" s="25" t="s">
        <v>74</v>
      </c>
      <c r="O13" s="25" t="s">
        <v>75</v>
      </c>
      <c r="Q13" s="25" t="s">
        <v>102</v>
      </c>
      <c r="R13" s="25"/>
      <c r="S13" s="25" t="s">
        <v>103</v>
      </c>
      <c r="T13" s="25" t="s">
        <v>104</v>
      </c>
      <c r="U13" s="25" t="s">
        <v>78</v>
      </c>
      <c r="V13" s="25" t="s">
        <v>102</v>
      </c>
      <c r="W13" s="18" t="s">
        <v>105</v>
      </c>
      <c r="X13" s="18" t="s">
        <v>80</v>
      </c>
      <c r="Y13" s="18" t="s">
        <v>81</v>
      </c>
      <c r="Z13" s="25" t="s">
        <v>60</v>
      </c>
      <c r="AA13" s="25"/>
      <c r="AB13" s="25"/>
      <c r="AC13" s="25" t="s">
        <v>82</v>
      </c>
      <c r="AD13" s="25" t="s">
        <v>83</v>
      </c>
      <c r="AE13" s="25"/>
      <c r="AF13" s="25"/>
      <c r="AG13" s="18" t="s">
        <v>84</v>
      </c>
      <c r="AH13" s="18"/>
      <c r="AI13" s="46"/>
      <c r="AJ13" s="18"/>
      <c r="AK13" s="43"/>
      <c r="AL13" s="43"/>
      <c r="AM13" s="43"/>
      <c r="AN13" s="43"/>
      <c r="AO13" s="18"/>
      <c r="AP13" s="18"/>
      <c r="AQ13" s="18"/>
      <c r="AR13" s="18"/>
      <c r="AS13" s="18"/>
      <c r="AT13" s="18"/>
      <c r="AU13" s="18"/>
      <c r="AV13" s="18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x14ac:dyDescent="0.2">
      <c r="A14" s="47"/>
      <c r="B14" s="28"/>
      <c r="C14" s="48"/>
      <c r="D14" s="48"/>
      <c r="E14" s="49"/>
      <c r="F14" s="31"/>
      <c r="G14" s="31"/>
      <c r="H14" s="34"/>
      <c r="I14" s="31" t="s">
        <v>106</v>
      </c>
      <c r="J14" s="31" t="s">
        <v>106</v>
      </c>
      <c r="K14" s="28"/>
      <c r="L14" s="28"/>
      <c r="M14" s="28" t="s">
        <v>88</v>
      </c>
      <c r="N14" s="28" t="s">
        <v>89</v>
      </c>
      <c r="O14" s="28" t="s">
        <v>90</v>
      </c>
      <c r="Q14" s="31" t="s">
        <v>107</v>
      </c>
      <c r="R14" s="31"/>
      <c r="S14" s="31" t="s">
        <v>108</v>
      </c>
      <c r="T14" s="31" t="s">
        <v>89</v>
      </c>
      <c r="U14" s="31" t="s">
        <v>89</v>
      </c>
      <c r="V14" s="31" t="s">
        <v>107</v>
      </c>
      <c r="W14" s="28" t="s">
        <v>109</v>
      </c>
      <c r="X14" s="28" t="s">
        <v>110</v>
      </c>
      <c r="Y14" s="28" t="s">
        <v>110</v>
      </c>
      <c r="Z14" s="31" t="s">
        <v>111</v>
      </c>
      <c r="AA14" s="31" t="s">
        <v>89</v>
      </c>
      <c r="AB14" s="31" t="s">
        <v>89</v>
      </c>
      <c r="AC14" s="31" t="s">
        <v>89</v>
      </c>
      <c r="AD14" s="31" t="s">
        <v>89</v>
      </c>
      <c r="AE14" s="31" t="s">
        <v>89</v>
      </c>
      <c r="AF14" s="31"/>
      <c r="AG14" s="28" t="s">
        <v>110</v>
      </c>
      <c r="AH14" s="28"/>
      <c r="AI14" s="50"/>
      <c r="AJ14" s="18"/>
      <c r="AK14" s="43"/>
      <c r="AL14" s="43"/>
      <c r="AM14" s="43"/>
      <c r="AN14" s="43"/>
      <c r="AO14" s="18"/>
      <c r="AP14" s="18"/>
      <c r="AQ14" s="18"/>
      <c r="AR14" s="18"/>
      <c r="AS14" s="18"/>
      <c r="AT14" s="18"/>
      <c r="AU14" s="18"/>
      <c r="AV14" s="18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s="52" customFormat="1" ht="21" x14ac:dyDescent="0.55000000000000004">
      <c r="A15" s="51"/>
      <c r="C15" s="52" t="s">
        <v>112</v>
      </c>
      <c r="D15" s="52" t="s">
        <v>113</v>
      </c>
      <c r="E15" s="53" t="s">
        <v>114</v>
      </c>
      <c r="F15" s="52" t="s">
        <v>115</v>
      </c>
      <c r="L15" s="52" t="s">
        <v>116</v>
      </c>
      <c r="P15" s="52" t="s">
        <v>117</v>
      </c>
      <c r="Q15" s="52" t="s">
        <v>118</v>
      </c>
      <c r="R15" s="52" t="s">
        <v>119</v>
      </c>
      <c r="T15" s="53" t="s">
        <v>120</v>
      </c>
      <c r="U15" s="53" t="s">
        <v>121</v>
      </c>
      <c r="V15" s="52" t="s">
        <v>122</v>
      </c>
      <c r="Y15" s="53" t="s">
        <v>123</v>
      </c>
      <c r="Z15" s="54" t="s">
        <v>124</v>
      </c>
      <c r="AF15" s="53" t="s">
        <v>125</v>
      </c>
      <c r="AH15" s="53" t="s">
        <v>126</v>
      </c>
      <c r="AI15" s="53" t="s">
        <v>127</v>
      </c>
    </row>
    <row r="16" spans="1:58" s="74" customFormat="1" x14ac:dyDescent="0.2">
      <c r="A16" s="55" t="s">
        <v>128</v>
      </c>
      <c r="B16" s="56" t="s">
        <v>129</v>
      </c>
      <c r="C16" s="57" t="s">
        <v>130</v>
      </c>
      <c r="D16" s="58" t="s">
        <v>131</v>
      </c>
      <c r="E16" s="59">
        <v>0.997</v>
      </c>
      <c r="F16" s="58" t="s">
        <v>132</v>
      </c>
      <c r="G16" s="57"/>
      <c r="H16" s="60">
        <f>IF(F16="level", 1, VLOOKUP(F16,ActivityStats!$C$4:$D$12,2,FALSE()))</f>
        <v>1</v>
      </c>
      <c r="I16" s="61">
        <f t="shared" ref="I16:I43" si="0">365*24*60</f>
        <v>525600</v>
      </c>
      <c r="J16" s="61">
        <f t="shared" ref="J16:J47" si="1">H16*I16</f>
        <v>525600</v>
      </c>
      <c r="K16" s="62">
        <f t="shared" ref="K16:K47" si="2">J16/I16</f>
        <v>1</v>
      </c>
      <c r="L16" s="63" t="b">
        <f t="shared" ref="L16:L47" si="3">IF(F16="level",FALSE(), TRUE())</f>
        <v>0</v>
      </c>
      <c r="M16" s="37">
        <f>IF(L16 = FALSE(),1,ActivityStats!$D$12)</f>
        <v>1</v>
      </c>
      <c r="N16" s="64">
        <f t="shared" ref="N16:N47" si="4">M16*I16</f>
        <v>525600</v>
      </c>
      <c r="O16" s="62">
        <f t="shared" ref="O16:O47" si="5">K16/M16</f>
        <v>1</v>
      </c>
      <c r="P16" s="65">
        <v>130</v>
      </c>
      <c r="Q16" s="66">
        <v>0</v>
      </c>
      <c r="R16" s="66" t="b">
        <f t="shared" ref="R16:R47" si="6">IF(Q16&gt;0, TRUE(), FALSE())</f>
        <v>0</v>
      </c>
      <c r="S16" s="67">
        <f t="shared" ref="S16:S43" si="7">P16*T16/(60*1000)</f>
        <v>3.9E-2</v>
      </c>
      <c r="T16" s="66">
        <v>18</v>
      </c>
      <c r="U16" s="57">
        <f>2*T16</f>
        <v>36</v>
      </c>
      <c r="V16" s="57">
        <v>0</v>
      </c>
      <c r="W16" s="68">
        <f t="shared" ref="W16:W43" si="8">V16*I16/(60*1000)</f>
        <v>0</v>
      </c>
      <c r="X16" s="69">
        <v>297.10000000000002</v>
      </c>
      <c r="Y16" s="68">
        <f t="shared" ref="Y16:Y47" si="9">X16-W16</f>
        <v>297.10000000000002</v>
      </c>
      <c r="Z16" s="70">
        <f>Y16/((P16-V16)*T16)*60*1000</f>
        <v>7617.9487179487187</v>
      </c>
      <c r="AA16" s="71">
        <f t="shared" ref="AA16:AA47" si="10">Z16*T16</f>
        <v>137123.07692307694</v>
      </c>
      <c r="AB16" s="71">
        <f t="shared" ref="AB16:AB47" si="11">Z16*U16</f>
        <v>274246.15384615387</v>
      </c>
      <c r="AC16" s="72">
        <f t="shared" ref="AC16:AC47" si="12">N16-AA16-AB16</f>
        <v>114230.76923076919</v>
      </c>
      <c r="AD16" s="72">
        <f t="shared" ref="AD16:AD47" si="13">AC16*O16</f>
        <v>114230.76923076919</v>
      </c>
      <c r="AE16" s="72">
        <f>AD16/Z16</f>
        <v>14.994951194883871</v>
      </c>
      <c r="AF16" s="73">
        <f>1/AE16</f>
        <v>6.6689113355780053E-2</v>
      </c>
      <c r="AG16" s="72">
        <f t="shared" ref="AG16:AG42" si="14">X16*E16</f>
        <v>296.20870000000002</v>
      </c>
      <c r="AH16" s="67">
        <v>0.8</v>
      </c>
      <c r="AI16" s="67">
        <v>1</v>
      </c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</row>
    <row r="17" spans="1:58" x14ac:dyDescent="0.2">
      <c r="A17" s="20"/>
      <c r="B17" s="75" t="s">
        <v>129</v>
      </c>
      <c r="C17" s="76" t="s">
        <v>133</v>
      </c>
      <c r="D17" s="77" t="s">
        <v>131</v>
      </c>
      <c r="E17" s="78">
        <v>0.23300000000000001</v>
      </c>
      <c r="F17" s="77" t="s">
        <v>132</v>
      </c>
      <c r="G17" s="76"/>
      <c r="H17" s="34">
        <f>IF(F17="level", 1, VLOOKUP(F17,ActivityStats!$C$4:$D$12,2,FALSE()))</f>
        <v>1</v>
      </c>
      <c r="I17" s="40">
        <f t="shared" si="0"/>
        <v>525600</v>
      </c>
      <c r="J17" s="40">
        <f t="shared" si="1"/>
        <v>525600</v>
      </c>
      <c r="K17" s="37">
        <f t="shared" si="2"/>
        <v>1</v>
      </c>
      <c r="L17" s="79" t="b">
        <f t="shared" si="3"/>
        <v>0</v>
      </c>
      <c r="M17" s="37">
        <f>IF(L17 = FALSE(),1,ActivityStats!$D$12)</f>
        <v>1</v>
      </c>
      <c r="N17" s="80">
        <f t="shared" si="4"/>
        <v>525600</v>
      </c>
      <c r="O17" s="37">
        <f t="shared" si="5"/>
        <v>1</v>
      </c>
      <c r="P17" s="81">
        <v>130</v>
      </c>
      <c r="Q17" s="82">
        <v>0</v>
      </c>
      <c r="R17" s="82" t="b">
        <f t="shared" si="6"/>
        <v>0</v>
      </c>
      <c r="S17" s="18">
        <f t="shared" si="7"/>
        <v>3.9E-2</v>
      </c>
      <c r="T17" s="82">
        <v>18</v>
      </c>
      <c r="U17" s="76">
        <f>2*T17</f>
        <v>36</v>
      </c>
      <c r="V17" s="76">
        <v>0</v>
      </c>
      <c r="W17" s="42">
        <f t="shared" si="8"/>
        <v>0</v>
      </c>
      <c r="X17" s="83">
        <v>297.10000000000002</v>
      </c>
      <c r="Y17" s="42">
        <f t="shared" si="9"/>
        <v>297.10000000000002</v>
      </c>
      <c r="Z17" s="84">
        <f>Y17/((P17-V17)*T17)*60*1000</f>
        <v>7617.9487179487187</v>
      </c>
      <c r="AA17" s="85">
        <f t="shared" si="10"/>
        <v>137123.07692307694</v>
      </c>
      <c r="AB17" s="85">
        <f t="shared" si="11"/>
        <v>274246.15384615387</v>
      </c>
      <c r="AC17" s="43">
        <f t="shared" si="12"/>
        <v>114230.76923076919</v>
      </c>
      <c r="AD17" s="43">
        <f t="shared" si="13"/>
        <v>114230.76923076919</v>
      </c>
      <c r="AE17" s="43">
        <f>AD17/Z17</f>
        <v>14.994951194883871</v>
      </c>
      <c r="AF17" s="86">
        <f>1/AE17</f>
        <v>6.6689113355780053E-2</v>
      </c>
      <c r="AG17" s="43">
        <f t="shared" si="14"/>
        <v>69.224300000000014</v>
      </c>
      <c r="AH17" s="18">
        <v>0.8</v>
      </c>
      <c r="AI17" s="18">
        <v>1</v>
      </c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2"/>
      <c r="AX17" s="18"/>
      <c r="AY17" s="18"/>
      <c r="AZ17" s="18"/>
      <c r="BA17" s="18"/>
      <c r="BB17" s="18"/>
      <c r="BC17" s="18"/>
      <c r="BD17" s="18"/>
      <c r="BE17" s="2"/>
      <c r="BF17" s="18"/>
    </row>
    <row r="18" spans="1:58" x14ac:dyDescent="0.2">
      <c r="A18" s="87"/>
      <c r="B18" s="75" t="s">
        <v>134</v>
      </c>
      <c r="C18" s="76" t="s">
        <v>135</v>
      </c>
      <c r="D18" s="77" t="s">
        <v>136</v>
      </c>
      <c r="E18" s="78">
        <v>0.48199999999999998</v>
      </c>
      <c r="F18" s="77" t="s">
        <v>132</v>
      </c>
      <c r="G18" s="76"/>
      <c r="H18" s="34">
        <f>IF(F18="level", 1, VLOOKUP(F18,ActivityStats!$C$4:$D$12,2,FALSE()))</f>
        <v>1</v>
      </c>
      <c r="I18" s="40">
        <f t="shared" si="0"/>
        <v>525600</v>
      </c>
      <c r="J18" s="40">
        <f t="shared" si="1"/>
        <v>525600</v>
      </c>
      <c r="K18" s="37">
        <f t="shared" si="2"/>
        <v>1</v>
      </c>
      <c r="L18" s="79" t="b">
        <f t="shared" si="3"/>
        <v>0</v>
      </c>
      <c r="M18" s="37">
        <f>IF(L18 = FALSE(),1,ActivityStats!$D$12)</f>
        <v>1</v>
      </c>
      <c r="N18" s="80">
        <f t="shared" si="4"/>
        <v>525600</v>
      </c>
      <c r="O18" s="37">
        <f t="shared" si="5"/>
        <v>1</v>
      </c>
      <c r="P18" s="81">
        <v>220</v>
      </c>
      <c r="Q18" s="82">
        <v>0</v>
      </c>
      <c r="R18" s="82" t="b">
        <f t="shared" si="6"/>
        <v>0</v>
      </c>
      <c r="S18" s="18">
        <f t="shared" si="7"/>
        <v>8.0666666666666664E-2</v>
      </c>
      <c r="T18" s="76">
        <v>22</v>
      </c>
      <c r="U18" s="76">
        <f>2*T18</f>
        <v>44</v>
      </c>
      <c r="V18" s="76">
        <v>0</v>
      </c>
      <c r="W18" s="42">
        <f t="shared" si="8"/>
        <v>0</v>
      </c>
      <c r="X18" s="83">
        <v>407</v>
      </c>
      <c r="Y18" s="42">
        <f t="shared" si="9"/>
        <v>407</v>
      </c>
      <c r="Z18" s="84">
        <f>Y18/((P18-V18)*T18)*60*1000</f>
        <v>5045.454545454546</v>
      </c>
      <c r="AA18" s="85">
        <f t="shared" si="10"/>
        <v>111000.00000000001</v>
      </c>
      <c r="AB18" s="85">
        <f t="shared" si="11"/>
        <v>222000.00000000003</v>
      </c>
      <c r="AC18" s="43">
        <f t="shared" si="12"/>
        <v>192599.99999999997</v>
      </c>
      <c r="AD18" s="43">
        <f t="shared" si="13"/>
        <v>192599.99999999997</v>
      </c>
      <c r="AE18" s="43">
        <f>AD18/Z18</f>
        <v>38.172972972972964</v>
      </c>
      <c r="AF18" s="86">
        <f>1/AE18</f>
        <v>2.619654488813368E-2</v>
      </c>
      <c r="AG18" s="43">
        <f t="shared" si="14"/>
        <v>196.17400000000001</v>
      </c>
      <c r="AH18" s="18">
        <v>0.8</v>
      </c>
      <c r="AI18" s="24">
        <v>1</v>
      </c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2"/>
      <c r="AX18" s="18"/>
      <c r="AY18" s="18"/>
      <c r="AZ18" s="18"/>
      <c r="BA18" s="18"/>
      <c r="BB18" s="18"/>
      <c r="BC18" s="18"/>
      <c r="BD18" s="18"/>
      <c r="BE18" s="2"/>
      <c r="BF18" s="18"/>
    </row>
    <row r="19" spans="1:58" x14ac:dyDescent="0.2">
      <c r="A19" s="87"/>
      <c r="B19" s="75" t="s">
        <v>134</v>
      </c>
      <c r="C19" s="76" t="s">
        <v>137</v>
      </c>
      <c r="D19" s="77" t="s">
        <v>136</v>
      </c>
      <c r="E19" s="78">
        <v>5.7000000000000002E-2</v>
      </c>
      <c r="F19" s="77" t="s">
        <v>132</v>
      </c>
      <c r="G19" s="76"/>
      <c r="H19" s="34">
        <f>IF(F19="level", 1, VLOOKUP(F19,ActivityStats!$C$4:$D$12,2,FALSE()))</f>
        <v>1</v>
      </c>
      <c r="I19" s="40">
        <f t="shared" si="0"/>
        <v>525600</v>
      </c>
      <c r="J19" s="40">
        <f t="shared" si="1"/>
        <v>525600</v>
      </c>
      <c r="K19" s="37">
        <f t="shared" si="2"/>
        <v>1</v>
      </c>
      <c r="L19" s="79" t="b">
        <f t="shared" si="3"/>
        <v>0</v>
      </c>
      <c r="M19" s="37">
        <f>IF(L19 = FALSE(),1,ActivityStats!$D$12)</f>
        <v>1</v>
      </c>
      <c r="N19" s="80">
        <f t="shared" si="4"/>
        <v>525600</v>
      </c>
      <c r="O19" s="37">
        <f t="shared" si="5"/>
        <v>1</v>
      </c>
      <c r="P19" s="81">
        <v>220</v>
      </c>
      <c r="Q19" s="82">
        <v>0</v>
      </c>
      <c r="R19" s="82" t="b">
        <f t="shared" si="6"/>
        <v>0</v>
      </c>
      <c r="S19" s="18">
        <f t="shared" si="7"/>
        <v>8.0666666666666664E-2</v>
      </c>
      <c r="T19" s="76">
        <v>22</v>
      </c>
      <c r="U19" s="76">
        <f>2*T19</f>
        <v>44</v>
      </c>
      <c r="V19" s="76">
        <v>0</v>
      </c>
      <c r="W19" s="42">
        <f t="shared" si="8"/>
        <v>0</v>
      </c>
      <c r="X19" s="83">
        <v>407</v>
      </c>
      <c r="Y19" s="42">
        <f t="shared" si="9"/>
        <v>407</v>
      </c>
      <c r="Z19" s="84">
        <f>Y19/((P19-V19)*T19)*60*1000</f>
        <v>5045.454545454546</v>
      </c>
      <c r="AA19" s="85">
        <f t="shared" si="10"/>
        <v>111000.00000000001</v>
      </c>
      <c r="AB19" s="85">
        <f t="shared" si="11"/>
        <v>222000.00000000003</v>
      </c>
      <c r="AC19" s="43">
        <f t="shared" si="12"/>
        <v>192599.99999999997</v>
      </c>
      <c r="AD19" s="43">
        <f t="shared" si="13"/>
        <v>192599.99999999997</v>
      </c>
      <c r="AE19" s="43">
        <f>AD19/Z19</f>
        <v>38.172972972972964</v>
      </c>
      <c r="AF19" s="86">
        <f>1/AE19</f>
        <v>2.619654488813368E-2</v>
      </c>
      <c r="AG19" s="43">
        <f t="shared" si="14"/>
        <v>23.199000000000002</v>
      </c>
      <c r="AH19" s="18">
        <v>0.8</v>
      </c>
      <c r="AI19" s="24">
        <v>1</v>
      </c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2"/>
      <c r="AX19" s="18"/>
      <c r="AY19" s="18"/>
      <c r="AZ19" s="18"/>
      <c r="BA19" s="18"/>
      <c r="BB19" s="18"/>
      <c r="BC19" s="18"/>
      <c r="BD19" s="18"/>
      <c r="BE19" s="2"/>
      <c r="BF19" s="18"/>
    </row>
    <row r="20" spans="1:58" x14ac:dyDescent="0.2">
      <c r="A20" s="87" t="s">
        <v>138</v>
      </c>
      <c r="B20" s="75" t="s">
        <v>139</v>
      </c>
      <c r="C20" s="76" t="s">
        <v>140</v>
      </c>
      <c r="D20" s="77" t="s">
        <v>141</v>
      </c>
      <c r="E20" s="78">
        <v>0.84899999999999998</v>
      </c>
      <c r="F20" s="77" t="s">
        <v>142</v>
      </c>
      <c r="G20" s="76">
        <v>612</v>
      </c>
      <c r="H20" s="34">
        <f>IF(F20="level", 1, VLOOKUP(F20,ActivityStats!$C$4:$D$12,2,FALSE()))</f>
        <v>0.47775902852124003</v>
      </c>
      <c r="I20" s="40">
        <f t="shared" si="0"/>
        <v>525600</v>
      </c>
      <c r="J20" s="40">
        <f t="shared" si="1"/>
        <v>251110.14539076376</v>
      </c>
      <c r="K20" s="37">
        <f t="shared" si="2"/>
        <v>0.47775902852124003</v>
      </c>
      <c r="L20" s="79" t="b">
        <f t="shared" si="3"/>
        <v>1</v>
      </c>
      <c r="M20" s="37">
        <f>IF(L20 = FALSE(),1,ActivityStats!$D$12)</f>
        <v>0.47775902852124003</v>
      </c>
      <c r="N20" s="80">
        <f t="shared" si="4"/>
        <v>251110.14539076376</v>
      </c>
      <c r="O20" s="37">
        <f t="shared" si="5"/>
        <v>1</v>
      </c>
      <c r="P20" s="82">
        <v>2</v>
      </c>
      <c r="Q20" s="82">
        <v>0</v>
      </c>
      <c r="R20" s="82" t="b">
        <f t="shared" si="6"/>
        <v>0</v>
      </c>
      <c r="S20" s="18">
        <f t="shared" si="7"/>
        <v>0</v>
      </c>
      <c r="T20" s="76">
        <v>0</v>
      </c>
      <c r="U20" s="76">
        <v>0</v>
      </c>
      <c r="V20" s="76">
        <v>1</v>
      </c>
      <c r="W20" s="42">
        <f t="shared" si="8"/>
        <v>8.76</v>
      </c>
      <c r="X20" s="86">
        <v>8.76</v>
      </c>
      <c r="Y20" s="42">
        <f t="shared" si="9"/>
        <v>0</v>
      </c>
      <c r="Z20" s="84">
        <v>0</v>
      </c>
      <c r="AA20" s="85">
        <f t="shared" si="10"/>
        <v>0</v>
      </c>
      <c r="AB20" s="85">
        <f t="shared" si="11"/>
        <v>0</v>
      </c>
      <c r="AC20" s="43">
        <f t="shared" si="12"/>
        <v>251110.14539076376</v>
      </c>
      <c r="AD20" s="43">
        <f t="shared" si="13"/>
        <v>251110.14539076376</v>
      </c>
      <c r="AE20" s="43">
        <v>0</v>
      </c>
      <c r="AF20" s="86">
        <v>1</v>
      </c>
      <c r="AG20" s="43">
        <f t="shared" si="14"/>
        <v>7.4372399999999992</v>
      </c>
      <c r="AH20" s="18">
        <v>1</v>
      </c>
      <c r="AI20" s="24">
        <v>1</v>
      </c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2"/>
      <c r="AX20" s="18"/>
      <c r="AY20" s="18"/>
      <c r="AZ20" s="18"/>
      <c r="BA20" s="18"/>
      <c r="BB20" s="18"/>
      <c r="BC20" s="18"/>
      <c r="BD20" s="18"/>
      <c r="BE20" s="2"/>
      <c r="BF20" s="18"/>
    </row>
    <row r="21" spans="1:58" x14ac:dyDescent="0.2">
      <c r="A21" s="87"/>
      <c r="B21" s="20" t="s">
        <v>143</v>
      </c>
      <c r="C21" s="76" t="s">
        <v>144</v>
      </c>
      <c r="D21" s="77" t="s">
        <v>145</v>
      </c>
      <c r="E21" s="88">
        <v>0.9</v>
      </c>
      <c r="F21" s="77" t="s">
        <v>146</v>
      </c>
      <c r="G21" s="76">
        <v>432</v>
      </c>
      <c r="H21" s="34">
        <f>IF(F21="LEVEL", 1, VLOOKUP(F21,ActivityStats!$C$4:$D$12,2,FALSE()))</f>
        <v>8.0929579327932693E-3</v>
      </c>
      <c r="I21" s="40">
        <f t="shared" si="0"/>
        <v>525600</v>
      </c>
      <c r="J21" s="40">
        <f t="shared" si="1"/>
        <v>4253.6586894761422</v>
      </c>
      <c r="K21" s="37">
        <f t="shared" si="2"/>
        <v>8.0929579327932693E-3</v>
      </c>
      <c r="L21" s="79" t="b">
        <f t="shared" si="3"/>
        <v>1</v>
      </c>
      <c r="M21" s="37">
        <f>IF(L21 = FALSE(),1,ActivityStats!$D$12)</f>
        <v>0.47775902852124003</v>
      </c>
      <c r="N21" s="80">
        <f t="shared" si="4"/>
        <v>251110.14539076376</v>
      </c>
      <c r="O21" s="37">
        <f t="shared" si="5"/>
        <v>1.6939413908812141E-2</v>
      </c>
      <c r="P21" s="82">
        <v>1000</v>
      </c>
      <c r="Q21" s="82">
        <v>0</v>
      </c>
      <c r="R21" s="82" t="b">
        <f t="shared" si="6"/>
        <v>0</v>
      </c>
      <c r="S21" s="18">
        <f t="shared" si="7"/>
        <v>0.5</v>
      </c>
      <c r="T21" s="76">
        <v>30</v>
      </c>
      <c r="U21" s="76">
        <v>0</v>
      </c>
      <c r="V21" s="76">
        <v>0</v>
      </c>
      <c r="W21" s="89">
        <f t="shared" si="8"/>
        <v>0</v>
      </c>
      <c r="X21" s="90">
        <v>17.7297346053873</v>
      </c>
      <c r="Y21" s="89">
        <f t="shared" si="9"/>
        <v>17.7297346053873</v>
      </c>
      <c r="Z21" s="84">
        <f t="shared" ref="Z21:Z34" si="15">Y21/((P21-V21)*T21)*60*1000</f>
        <v>35.4594692107746</v>
      </c>
      <c r="AA21" s="85">
        <f t="shared" si="10"/>
        <v>1063.784076323238</v>
      </c>
      <c r="AB21" s="85">
        <f t="shared" si="11"/>
        <v>0</v>
      </c>
      <c r="AC21" s="43">
        <f t="shared" si="12"/>
        <v>250046.36131444052</v>
      </c>
      <c r="AD21" s="43">
        <f t="shared" si="13"/>
        <v>4235.6388106977001</v>
      </c>
      <c r="AE21" s="43">
        <f t="shared" ref="AE21:AE34" si="16">AD21/Z21</f>
        <v>119.45014702619046</v>
      </c>
      <c r="AF21" s="86">
        <f t="shared" ref="AF21:AF34" si="17">1/AE21</f>
        <v>8.3716933373111837E-3</v>
      </c>
      <c r="AG21" s="43">
        <f t="shared" si="14"/>
        <v>15.956761144848571</v>
      </c>
      <c r="AH21" s="18">
        <v>1</v>
      </c>
      <c r="AI21" s="24">
        <v>1</v>
      </c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2"/>
      <c r="AX21" s="18"/>
      <c r="AY21" s="18"/>
      <c r="AZ21" s="18"/>
      <c r="BA21" s="18"/>
      <c r="BB21" s="18"/>
      <c r="BC21" s="18"/>
      <c r="BD21" s="18"/>
      <c r="BE21" s="2"/>
      <c r="BF21" s="18"/>
    </row>
    <row r="22" spans="1:58" x14ac:dyDescent="0.2">
      <c r="A22" s="87"/>
      <c r="B22" s="20" t="s">
        <v>147</v>
      </c>
      <c r="C22" s="76" t="s">
        <v>148</v>
      </c>
      <c r="D22" s="77" t="s">
        <v>149</v>
      </c>
      <c r="E22" s="88">
        <v>0.93700000000000006</v>
      </c>
      <c r="F22" s="77" t="s">
        <v>150</v>
      </c>
      <c r="G22" s="76">
        <v>421</v>
      </c>
      <c r="H22" s="34">
        <f>IF(F22="LEVEL", 1, VLOOKUP(F22,ActivityStats!$C$4:$D$12,2,FALSE()))</f>
        <v>5.2950486618739599E-2</v>
      </c>
      <c r="I22" s="40">
        <f t="shared" si="0"/>
        <v>525600</v>
      </c>
      <c r="J22" s="40">
        <f t="shared" si="1"/>
        <v>27830.775766809533</v>
      </c>
      <c r="K22" s="37">
        <f t="shared" si="2"/>
        <v>5.2950486618739599E-2</v>
      </c>
      <c r="L22" s="79" t="b">
        <f t="shared" si="3"/>
        <v>1</v>
      </c>
      <c r="M22" s="37">
        <f>IF(L22 = FALSE(),1,ActivityStats!$D$12)</f>
        <v>0.47775902852124003</v>
      </c>
      <c r="N22" s="80">
        <f t="shared" si="4"/>
        <v>251110.14539076376</v>
      </c>
      <c r="O22" s="37">
        <f t="shared" si="5"/>
        <v>0.11083094919761531</v>
      </c>
      <c r="P22" s="82">
        <v>2000</v>
      </c>
      <c r="Q22" s="82">
        <v>0</v>
      </c>
      <c r="R22" s="82" t="b">
        <f t="shared" si="6"/>
        <v>0</v>
      </c>
      <c r="S22" s="18">
        <f t="shared" si="7"/>
        <v>0.66666666666666663</v>
      </c>
      <c r="T22" s="76">
        <v>20</v>
      </c>
      <c r="U22" s="76">
        <v>0</v>
      </c>
      <c r="V22" s="76">
        <v>0</v>
      </c>
      <c r="W22" s="89">
        <f t="shared" si="8"/>
        <v>0</v>
      </c>
      <c r="X22" s="90">
        <v>73.578398612357503</v>
      </c>
      <c r="Y22" s="89">
        <f t="shared" si="9"/>
        <v>73.578398612357503</v>
      </c>
      <c r="Z22" s="84">
        <f t="shared" si="15"/>
        <v>110.36759791853625</v>
      </c>
      <c r="AA22" s="85">
        <f t="shared" si="10"/>
        <v>2207.3519583707248</v>
      </c>
      <c r="AB22" s="85">
        <f t="shared" si="11"/>
        <v>0</v>
      </c>
      <c r="AC22" s="43">
        <f t="shared" si="12"/>
        <v>248902.79343239302</v>
      </c>
      <c r="AD22" s="43">
        <f t="shared" si="13"/>
        <v>27586.132854050091</v>
      </c>
      <c r="AE22" s="43">
        <f t="shared" si="16"/>
        <v>249.94775073760121</v>
      </c>
      <c r="AF22" s="86">
        <f t="shared" si="17"/>
        <v>4.0008361629539713E-3</v>
      </c>
      <c r="AG22" s="43">
        <f t="shared" si="14"/>
        <v>68.942959499778979</v>
      </c>
      <c r="AH22" s="18">
        <v>1</v>
      </c>
      <c r="AI22" s="24">
        <v>0.7</v>
      </c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2"/>
      <c r="AX22" s="18"/>
      <c r="AY22" s="18"/>
      <c r="AZ22" s="18"/>
      <c r="BA22" s="18"/>
      <c r="BB22" s="18"/>
      <c r="BC22" s="18"/>
      <c r="BD22" s="18"/>
      <c r="BE22" s="2"/>
      <c r="BF22" s="18"/>
    </row>
    <row r="23" spans="1:58" x14ac:dyDescent="0.2">
      <c r="A23" s="87"/>
      <c r="B23" s="75" t="s">
        <v>151</v>
      </c>
      <c r="C23" s="76" t="s">
        <v>152</v>
      </c>
      <c r="D23" s="77" t="s">
        <v>153</v>
      </c>
      <c r="E23" s="78">
        <v>0.442</v>
      </c>
      <c r="F23" s="77" t="s">
        <v>154</v>
      </c>
      <c r="G23" s="76">
        <v>84</v>
      </c>
      <c r="H23" s="34">
        <f>IF(F23="LEVEL", 1, VLOOKUP(F23,ActivityStats!$C$4:$D$12,2,FALSE()))</f>
        <v>4.5650719455293802E-2</v>
      </c>
      <c r="I23" s="40">
        <f t="shared" si="0"/>
        <v>525600</v>
      </c>
      <c r="J23" s="40">
        <f t="shared" si="1"/>
        <v>23994.018145702423</v>
      </c>
      <c r="K23" s="37">
        <f t="shared" si="2"/>
        <v>4.5650719455293802E-2</v>
      </c>
      <c r="L23" s="79" t="b">
        <f t="shared" si="3"/>
        <v>1</v>
      </c>
      <c r="M23" s="37">
        <f>IF(L23 = FALSE(),1,ActivityStats!$D$12)</f>
        <v>0.47775902852124003</v>
      </c>
      <c r="N23" s="80">
        <f t="shared" si="4"/>
        <v>251110.14539076376</v>
      </c>
      <c r="O23" s="37">
        <f t="shared" si="5"/>
        <v>9.5551767167209645E-2</v>
      </c>
      <c r="P23" s="82">
        <v>140.69999999999999</v>
      </c>
      <c r="Q23" s="82">
        <v>0</v>
      </c>
      <c r="R23" s="82" t="b">
        <f t="shared" si="6"/>
        <v>0</v>
      </c>
      <c r="S23" s="18">
        <f t="shared" si="7"/>
        <v>0.42209999999999992</v>
      </c>
      <c r="T23" s="91">
        <v>180</v>
      </c>
      <c r="U23" s="76">
        <v>0</v>
      </c>
      <c r="V23" s="76">
        <v>5</v>
      </c>
      <c r="W23" s="42">
        <f t="shared" si="8"/>
        <v>43.8</v>
      </c>
      <c r="X23" s="90">
        <v>348</v>
      </c>
      <c r="Y23" s="42">
        <f t="shared" si="9"/>
        <v>304.2</v>
      </c>
      <c r="Z23" s="84">
        <f t="shared" si="15"/>
        <v>747.23655121591753</v>
      </c>
      <c r="AA23" s="85">
        <f t="shared" si="10"/>
        <v>134502.57921886517</v>
      </c>
      <c r="AB23" s="85">
        <f t="shared" si="11"/>
        <v>0</v>
      </c>
      <c r="AC23" s="43">
        <f t="shared" si="12"/>
        <v>116607.56617189859</v>
      </c>
      <c r="AD23" s="43">
        <f t="shared" si="13"/>
        <v>11142.059012792246</v>
      </c>
      <c r="AE23" s="43">
        <f t="shared" si="16"/>
        <v>14.91101980311546</v>
      </c>
      <c r="AF23" s="86">
        <f t="shared" si="17"/>
        <v>6.7064494126086754E-2</v>
      </c>
      <c r="AG23" s="43">
        <f t="shared" si="14"/>
        <v>153.816</v>
      </c>
      <c r="AH23" s="18">
        <v>0.9</v>
      </c>
      <c r="AI23" s="24">
        <v>1</v>
      </c>
      <c r="AJ23" s="18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2"/>
      <c r="AX23" s="18"/>
      <c r="AY23" s="42"/>
      <c r="AZ23" s="42"/>
      <c r="BA23" s="42"/>
      <c r="BB23" s="42"/>
      <c r="BC23" s="42"/>
      <c r="BD23" s="42"/>
      <c r="BE23" s="2"/>
      <c r="BF23" s="18"/>
    </row>
    <row r="24" spans="1:58" x14ac:dyDescent="0.2">
      <c r="A24" s="87"/>
      <c r="B24" s="75" t="s">
        <v>151</v>
      </c>
      <c r="C24" s="76" t="s">
        <v>155</v>
      </c>
      <c r="D24" s="77" t="s">
        <v>153</v>
      </c>
      <c r="E24" s="78">
        <v>0.10199999999999999</v>
      </c>
      <c r="F24" s="77" t="s">
        <v>154</v>
      </c>
      <c r="G24" s="76">
        <v>84</v>
      </c>
      <c r="H24" s="34">
        <f>IF(F24="LEVEL", 1, VLOOKUP(F24,ActivityStats!$C$4:$D$12,2,FALSE()))</f>
        <v>4.5650719455293802E-2</v>
      </c>
      <c r="I24" s="40">
        <f t="shared" si="0"/>
        <v>525600</v>
      </c>
      <c r="J24" s="40">
        <f t="shared" si="1"/>
        <v>23994.018145702423</v>
      </c>
      <c r="K24" s="37">
        <f t="shared" si="2"/>
        <v>4.5650719455293802E-2</v>
      </c>
      <c r="L24" s="79" t="b">
        <f t="shared" si="3"/>
        <v>1</v>
      </c>
      <c r="M24" s="37">
        <f>IF(L24 = FALSE(),1,ActivityStats!$D$12)</f>
        <v>0.47775902852124003</v>
      </c>
      <c r="N24" s="80">
        <f t="shared" si="4"/>
        <v>251110.14539076376</v>
      </c>
      <c r="O24" s="37">
        <f t="shared" si="5"/>
        <v>9.5551767167209645E-2</v>
      </c>
      <c r="P24" s="82">
        <v>140.69999999999999</v>
      </c>
      <c r="Q24" s="82">
        <v>0</v>
      </c>
      <c r="R24" s="82" t="b">
        <f t="shared" si="6"/>
        <v>0</v>
      </c>
      <c r="S24" s="18">
        <f t="shared" si="7"/>
        <v>0.42209999999999992</v>
      </c>
      <c r="T24" s="91">
        <v>180</v>
      </c>
      <c r="U24" s="76">
        <v>0</v>
      </c>
      <c r="V24" s="76">
        <v>5</v>
      </c>
      <c r="W24" s="42">
        <f t="shared" si="8"/>
        <v>43.8</v>
      </c>
      <c r="X24" s="90">
        <v>348</v>
      </c>
      <c r="Y24" s="42">
        <f t="shared" si="9"/>
        <v>304.2</v>
      </c>
      <c r="Z24" s="84">
        <f t="shared" si="15"/>
        <v>747.23655121591753</v>
      </c>
      <c r="AA24" s="85">
        <f t="shared" si="10"/>
        <v>134502.57921886517</v>
      </c>
      <c r="AB24" s="85">
        <f t="shared" si="11"/>
        <v>0</v>
      </c>
      <c r="AC24" s="43">
        <f t="shared" si="12"/>
        <v>116607.56617189859</v>
      </c>
      <c r="AD24" s="43">
        <f t="shared" si="13"/>
        <v>11142.059012792246</v>
      </c>
      <c r="AE24" s="43">
        <f t="shared" si="16"/>
        <v>14.91101980311546</v>
      </c>
      <c r="AF24" s="86">
        <f t="shared" si="17"/>
        <v>6.7064494126086754E-2</v>
      </c>
      <c r="AG24" s="43">
        <f t="shared" si="14"/>
        <v>35.495999999999995</v>
      </c>
      <c r="AH24" s="18">
        <v>0.9</v>
      </c>
      <c r="AI24" s="24">
        <v>1</v>
      </c>
      <c r="AJ24" s="18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2"/>
      <c r="AX24" s="18"/>
      <c r="AY24" s="42"/>
      <c r="AZ24" s="42"/>
      <c r="BA24" s="42"/>
      <c r="BB24" s="42"/>
      <c r="BC24" s="42"/>
      <c r="BD24" s="42"/>
      <c r="BE24" s="2"/>
      <c r="BF24" s="18"/>
    </row>
    <row r="25" spans="1:58" x14ac:dyDescent="0.2">
      <c r="A25" s="87"/>
      <c r="B25" s="75" t="s">
        <v>156</v>
      </c>
      <c r="C25" s="76" t="s">
        <v>157</v>
      </c>
      <c r="D25" s="77" t="s">
        <v>158</v>
      </c>
      <c r="E25" s="78">
        <v>0.73899999999999999</v>
      </c>
      <c r="F25" s="77" t="s">
        <v>154</v>
      </c>
      <c r="G25" s="76">
        <v>84</v>
      </c>
      <c r="H25" s="34">
        <f>IF(F25="LEVEL", 1, VLOOKUP(F25,ActivityStats!$C$4:$D$12,2,FALSE()))</f>
        <v>4.5650719455293802E-2</v>
      </c>
      <c r="I25" s="40">
        <f t="shared" si="0"/>
        <v>525600</v>
      </c>
      <c r="J25" s="40">
        <f t="shared" si="1"/>
        <v>23994.018145702423</v>
      </c>
      <c r="K25" s="37">
        <f t="shared" si="2"/>
        <v>4.5650719455293802E-2</v>
      </c>
      <c r="L25" s="79" t="b">
        <f t="shared" si="3"/>
        <v>1</v>
      </c>
      <c r="M25" s="37">
        <f>IF(L25 = FALSE(),1,ActivityStats!$D$12)</f>
        <v>0.47775902852124003</v>
      </c>
      <c r="N25" s="80">
        <f t="shared" si="4"/>
        <v>251110.14539076376</v>
      </c>
      <c r="O25" s="37">
        <f t="shared" si="5"/>
        <v>9.5551767167209645E-2</v>
      </c>
      <c r="P25" s="92">
        <v>60</v>
      </c>
      <c r="Q25" s="82">
        <v>0</v>
      </c>
      <c r="R25" s="82" t="b">
        <f t="shared" si="6"/>
        <v>0</v>
      </c>
      <c r="S25" s="18">
        <f t="shared" si="7"/>
        <v>0.13</v>
      </c>
      <c r="T25" s="93">
        <v>130</v>
      </c>
      <c r="U25" s="93">
        <v>360</v>
      </c>
      <c r="V25" s="94">
        <v>1</v>
      </c>
      <c r="W25" s="42">
        <f t="shared" si="8"/>
        <v>8.76</v>
      </c>
      <c r="X25" s="83">
        <v>69.2</v>
      </c>
      <c r="Y25" s="42">
        <f t="shared" si="9"/>
        <v>60.440000000000005</v>
      </c>
      <c r="Z25" s="84">
        <f t="shared" si="15"/>
        <v>472.80312907431562</v>
      </c>
      <c r="AA25" s="85">
        <f t="shared" si="10"/>
        <v>61464.406779661032</v>
      </c>
      <c r="AB25" s="85">
        <f t="shared" si="11"/>
        <v>170209.12646675363</v>
      </c>
      <c r="AC25" s="43">
        <f t="shared" si="12"/>
        <v>19436.612144349114</v>
      </c>
      <c r="AD25" s="43">
        <f t="shared" si="13"/>
        <v>1857.2026381362059</v>
      </c>
      <c r="AE25" s="43">
        <f t="shared" si="16"/>
        <v>3.9280675696295764</v>
      </c>
      <c r="AF25" s="86">
        <f t="shared" si="17"/>
        <v>0.25457810546123111</v>
      </c>
      <c r="AG25" s="43">
        <f t="shared" si="14"/>
        <v>51.138800000000003</v>
      </c>
      <c r="AH25" s="18">
        <v>0.9</v>
      </c>
      <c r="AI25" s="24">
        <v>1</v>
      </c>
      <c r="AJ25" s="18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2"/>
      <c r="AX25" s="18"/>
      <c r="AY25" s="42"/>
      <c r="AZ25" s="42"/>
      <c r="BA25" s="42"/>
      <c r="BB25" s="42"/>
      <c r="BC25" s="42"/>
      <c r="BD25" s="42"/>
      <c r="BE25" s="2"/>
      <c r="BF25" s="18"/>
    </row>
    <row r="26" spans="1:58" x14ac:dyDescent="0.2">
      <c r="A26" s="87"/>
      <c r="B26" s="75" t="s">
        <v>156</v>
      </c>
      <c r="C26" s="76" t="s">
        <v>159</v>
      </c>
      <c r="D26" s="77" t="s">
        <v>158</v>
      </c>
      <c r="E26" s="78">
        <v>0.33200000000000002</v>
      </c>
      <c r="F26" s="77" t="s">
        <v>154</v>
      </c>
      <c r="G26" s="76">
        <v>84</v>
      </c>
      <c r="H26" s="34">
        <f>IF(F26="LEVEL", 1, VLOOKUP(F26,ActivityStats!$C$4:$D$12,2,FALSE()))</f>
        <v>4.5650719455293802E-2</v>
      </c>
      <c r="I26" s="40">
        <f t="shared" si="0"/>
        <v>525600</v>
      </c>
      <c r="J26" s="40">
        <f t="shared" si="1"/>
        <v>23994.018145702423</v>
      </c>
      <c r="K26" s="37">
        <f t="shared" si="2"/>
        <v>4.5650719455293802E-2</v>
      </c>
      <c r="L26" s="79" t="b">
        <f t="shared" si="3"/>
        <v>1</v>
      </c>
      <c r="M26" s="37">
        <f>IF(L26 = FALSE(),1,ActivityStats!$D$12)</f>
        <v>0.47775902852124003</v>
      </c>
      <c r="N26" s="80">
        <f t="shared" si="4"/>
        <v>251110.14539076376</v>
      </c>
      <c r="O26" s="37">
        <f t="shared" si="5"/>
        <v>9.5551767167209645E-2</v>
      </c>
      <c r="P26" s="92">
        <v>60</v>
      </c>
      <c r="Q26" s="82">
        <v>0</v>
      </c>
      <c r="R26" s="82" t="b">
        <f t="shared" si="6"/>
        <v>0</v>
      </c>
      <c r="S26" s="18">
        <f t="shared" si="7"/>
        <v>0.13</v>
      </c>
      <c r="T26" s="93">
        <v>130</v>
      </c>
      <c r="U26" s="93">
        <v>360</v>
      </c>
      <c r="V26" s="94">
        <v>1</v>
      </c>
      <c r="W26" s="42">
        <f t="shared" si="8"/>
        <v>8.76</v>
      </c>
      <c r="X26" s="83">
        <v>69.2</v>
      </c>
      <c r="Y26" s="42">
        <f t="shared" si="9"/>
        <v>60.440000000000005</v>
      </c>
      <c r="Z26" s="84">
        <f t="shared" si="15"/>
        <v>472.80312907431562</v>
      </c>
      <c r="AA26" s="85">
        <f t="shared" si="10"/>
        <v>61464.406779661032</v>
      </c>
      <c r="AB26" s="85">
        <f t="shared" si="11"/>
        <v>170209.12646675363</v>
      </c>
      <c r="AC26" s="43">
        <f t="shared" si="12"/>
        <v>19436.612144349114</v>
      </c>
      <c r="AD26" s="43">
        <f t="shared" si="13"/>
        <v>1857.2026381362059</v>
      </c>
      <c r="AE26" s="43">
        <f t="shared" si="16"/>
        <v>3.9280675696295764</v>
      </c>
      <c r="AF26" s="86">
        <f t="shared" si="17"/>
        <v>0.25457810546123111</v>
      </c>
      <c r="AG26" s="43">
        <f t="shared" si="14"/>
        <v>22.974400000000003</v>
      </c>
      <c r="AH26" s="18">
        <v>0.9</v>
      </c>
      <c r="AI26" s="24">
        <v>1</v>
      </c>
      <c r="AJ26" s="18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2"/>
      <c r="AX26" s="18"/>
      <c r="AY26" s="42"/>
      <c r="AZ26" s="42"/>
      <c r="BA26" s="42"/>
      <c r="BB26" s="42"/>
      <c r="BC26" s="42"/>
      <c r="BD26" s="42"/>
      <c r="BE26" s="2"/>
      <c r="BF26" s="18"/>
    </row>
    <row r="27" spans="1:58" x14ac:dyDescent="0.2">
      <c r="A27" s="87"/>
      <c r="B27" s="75" t="s">
        <v>160</v>
      </c>
      <c r="C27" s="76" t="s">
        <v>161</v>
      </c>
      <c r="D27" s="77" t="s">
        <v>162</v>
      </c>
      <c r="E27" s="78">
        <v>0.47499999999999998</v>
      </c>
      <c r="F27" s="77" t="s">
        <v>154</v>
      </c>
      <c r="G27" s="76">
        <v>84</v>
      </c>
      <c r="H27" s="34">
        <f>IF(F27="LEVEL", 1, VLOOKUP(F27,ActivityStats!$C$4:$D$12,2,FALSE()))</f>
        <v>4.5650719455293802E-2</v>
      </c>
      <c r="I27" s="40">
        <f t="shared" si="0"/>
        <v>525600</v>
      </c>
      <c r="J27" s="40">
        <f t="shared" si="1"/>
        <v>23994.018145702423</v>
      </c>
      <c r="K27" s="37">
        <f t="shared" si="2"/>
        <v>4.5650719455293802E-2</v>
      </c>
      <c r="L27" s="79" t="b">
        <f t="shared" si="3"/>
        <v>1</v>
      </c>
      <c r="M27" s="37">
        <f>IF(L27 = FALSE(),1,ActivityStats!$D$12)</f>
        <v>0.47775902852124003</v>
      </c>
      <c r="N27" s="80">
        <f t="shared" si="4"/>
        <v>251110.14539076376</v>
      </c>
      <c r="O27" s="37">
        <f t="shared" si="5"/>
        <v>9.5551767167209645E-2</v>
      </c>
      <c r="P27" s="92">
        <v>12</v>
      </c>
      <c r="Q27" s="82">
        <v>0</v>
      </c>
      <c r="R27" s="82" t="b">
        <f t="shared" si="6"/>
        <v>0</v>
      </c>
      <c r="S27" s="18">
        <f t="shared" si="7"/>
        <v>2.4E-2</v>
      </c>
      <c r="T27" s="93">
        <v>120</v>
      </c>
      <c r="U27" s="93">
        <v>360</v>
      </c>
      <c r="V27" s="94">
        <v>1</v>
      </c>
      <c r="W27" s="42">
        <f t="shared" si="8"/>
        <v>8.76</v>
      </c>
      <c r="X27" s="95">
        <v>12</v>
      </c>
      <c r="Y27" s="42">
        <f t="shared" si="9"/>
        <v>3.24</v>
      </c>
      <c r="Z27" s="84">
        <f t="shared" si="15"/>
        <v>147.27272727272731</v>
      </c>
      <c r="AA27" s="85">
        <f t="shared" si="10"/>
        <v>17672.727272727276</v>
      </c>
      <c r="AB27" s="85">
        <f t="shared" si="11"/>
        <v>53018.181818181831</v>
      </c>
      <c r="AC27" s="43">
        <f t="shared" si="12"/>
        <v>180419.23629985467</v>
      </c>
      <c r="AD27" s="43">
        <f t="shared" si="13"/>
        <v>17239.376859409491</v>
      </c>
      <c r="AE27" s="43">
        <f t="shared" si="16"/>
        <v>117.0574971935212</v>
      </c>
      <c r="AF27" s="86">
        <f t="shared" si="17"/>
        <v>8.5428103622169974E-3</v>
      </c>
      <c r="AG27" s="43">
        <f t="shared" si="14"/>
        <v>5.6999999999999993</v>
      </c>
      <c r="AH27" s="18">
        <v>0.9</v>
      </c>
      <c r="AI27" s="24">
        <v>1</v>
      </c>
      <c r="AJ27" s="18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2"/>
      <c r="AX27" s="18"/>
      <c r="AY27" s="42"/>
      <c r="AZ27" s="42"/>
      <c r="BA27" s="42"/>
      <c r="BB27" s="42"/>
      <c r="BC27" s="42"/>
      <c r="BD27" s="42"/>
      <c r="BE27" s="2"/>
      <c r="BF27" s="18"/>
    </row>
    <row r="28" spans="1:58" x14ac:dyDescent="0.2">
      <c r="A28" s="87"/>
      <c r="B28" s="75" t="s">
        <v>163</v>
      </c>
      <c r="C28" s="76" t="s">
        <v>164</v>
      </c>
      <c r="D28" s="77" t="s">
        <v>165</v>
      </c>
      <c r="E28" s="78">
        <v>0.752</v>
      </c>
      <c r="F28" s="77" t="s">
        <v>154</v>
      </c>
      <c r="G28" s="76">
        <v>849</v>
      </c>
      <c r="H28" s="34">
        <f>IF(F28="LEVEL", 1, VLOOKUP(F28,ActivityStats!$C$4:$D$12,2,FALSE()))</f>
        <v>4.5650719455293802E-2</v>
      </c>
      <c r="I28" s="40">
        <f t="shared" si="0"/>
        <v>525600</v>
      </c>
      <c r="J28" s="40">
        <f t="shared" si="1"/>
        <v>23994.018145702423</v>
      </c>
      <c r="K28" s="37">
        <f t="shared" si="2"/>
        <v>4.5650719455293802E-2</v>
      </c>
      <c r="L28" s="79" t="b">
        <f t="shared" si="3"/>
        <v>1</v>
      </c>
      <c r="M28" s="37">
        <f>IF(L28 = FALSE(),1,ActivityStats!$D$12)</f>
        <v>0.47775902852124003</v>
      </c>
      <c r="N28" s="80">
        <f t="shared" si="4"/>
        <v>251110.14539076376</v>
      </c>
      <c r="O28" s="37">
        <f t="shared" si="5"/>
        <v>9.5551767167209645E-2</v>
      </c>
      <c r="P28" s="82">
        <v>335.2</v>
      </c>
      <c r="Q28" s="82">
        <v>0</v>
      </c>
      <c r="R28" s="82" t="b">
        <f t="shared" si="6"/>
        <v>0</v>
      </c>
      <c r="S28" s="18">
        <f t="shared" si="7"/>
        <v>2.2346666666666667E-2</v>
      </c>
      <c r="T28" s="76">
        <v>4</v>
      </c>
      <c r="U28" s="76">
        <v>0</v>
      </c>
      <c r="V28" s="76">
        <v>4</v>
      </c>
      <c r="W28" s="42">
        <f t="shared" si="8"/>
        <v>35.04</v>
      </c>
      <c r="X28" s="86">
        <v>49.499661152891001</v>
      </c>
      <c r="Y28" s="42">
        <f t="shared" si="9"/>
        <v>14.459661152891002</v>
      </c>
      <c r="Z28" s="84">
        <f t="shared" si="15"/>
        <v>654.87595801136786</v>
      </c>
      <c r="AA28" s="85">
        <f t="shared" si="10"/>
        <v>2619.5038320454714</v>
      </c>
      <c r="AB28" s="85">
        <f t="shared" si="11"/>
        <v>0</v>
      </c>
      <c r="AC28" s="43">
        <f t="shared" si="12"/>
        <v>248490.64155871829</v>
      </c>
      <c r="AD28" s="43">
        <f t="shared" si="13"/>
        <v>23743.719925449197</v>
      </c>
      <c r="AE28" s="43">
        <f t="shared" si="16"/>
        <v>36.256820295481113</v>
      </c>
      <c r="AF28" s="86">
        <f t="shared" si="17"/>
        <v>2.7581017636139359E-2</v>
      </c>
      <c r="AG28" s="43">
        <f t="shared" si="14"/>
        <v>37.223745186974035</v>
      </c>
      <c r="AH28" s="18">
        <v>0.9</v>
      </c>
      <c r="AI28" s="24">
        <v>1</v>
      </c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2"/>
      <c r="AX28" s="18"/>
      <c r="AY28" s="18"/>
      <c r="AZ28" s="18"/>
      <c r="BA28" s="18"/>
      <c r="BB28" s="18"/>
      <c r="BC28" s="18"/>
      <c r="BD28" s="18"/>
      <c r="BE28" s="2"/>
      <c r="BF28" s="18"/>
    </row>
    <row r="29" spans="1:58" x14ac:dyDescent="0.2">
      <c r="A29" s="87"/>
      <c r="B29" s="75" t="s">
        <v>166</v>
      </c>
      <c r="C29" s="76" t="s">
        <v>167</v>
      </c>
      <c r="D29" s="77" t="s">
        <v>168</v>
      </c>
      <c r="E29" s="78">
        <v>0.94299999999999995</v>
      </c>
      <c r="F29" s="77" t="s">
        <v>169</v>
      </c>
      <c r="G29" s="76">
        <v>820</v>
      </c>
      <c r="H29" s="34">
        <f>IF(F29="LEVEL", 1, VLOOKUP(F29,ActivityStats!$C$4:$D$12,2,FALSE()))</f>
        <v>0.22854942117493601</v>
      </c>
      <c r="I29" s="40">
        <f t="shared" si="0"/>
        <v>525600</v>
      </c>
      <c r="J29" s="40">
        <f t="shared" si="1"/>
        <v>120125.57576954637</v>
      </c>
      <c r="K29" s="37">
        <f t="shared" si="2"/>
        <v>0.22854942117493601</v>
      </c>
      <c r="L29" s="79" t="b">
        <f t="shared" si="3"/>
        <v>1</v>
      </c>
      <c r="M29" s="37">
        <f>IF(L29 = FALSE(),1,ActivityStats!$D$12)</f>
        <v>0.47775902852124003</v>
      </c>
      <c r="N29" s="80">
        <f t="shared" si="4"/>
        <v>251110.14539076376</v>
      </c>
      <c r="O29" s="37">
        <f t="shared" si="5"/>
        <v>0.47837802643383276</v>
      </c>
      <c r="P29" s="82">
        <v>124</v>
      </c>
      <c r="Q29" s="82">
        <v>0</v>
      </c>
      <c r="R29" s="82" t="b">
        <f t="shared" si="6"/>
        <v>0</v>
      </c>
      <c r="S29" s="18">
        <f t="shared" si="7"/>
        <v>0.15086666666666668</v>
      </c>
      <c r="T29" s="76">
        <v>73</v>
      </c>
      <c r="U29" s="76">
        <v>0</v>
      </c>
      <c r="V29" s="76">
        <v>3</v>
      </c>
      <c r="W29" s="42">
        <f t="shared" si="8"/>
        <v>26.28</v>
      </c>
      <c r="X29" s="83">
        <v>129.61000000000001</v>
      </c>
      <c r="Y29" s="42">
        <f t="shared" si="9"/>
        <v>103.33000000000001</v>
      </c>
      <c r="Z29" s="84">
        <f t="shared" si="15"/>
        <v>701.89063738254288</v>
      </c>
      <c r="AA29" s="85">
        <f t="shared" si="10"/>
        <v>51238.016528925633</v>
      </c>
      <c r="AB29" s="85">
        <f t="shared" si="11"/>
        <v>0</v>
      </c>
      <c r="AC29" s="43">
        <f t="shared" si="12"/>
        <v>199872.12886183814</v>
      </c>
      <c r="AD29" s="43">
        <f t="shared" si="13"/>
        <v>95614.434544054835</v>
      </c>
      <c r="AE29" s="43">
        <f t="shared" si="16"/>
        <v>136.22412018575378</v>
      </c>
      <c r="AF29" s="86">
        <f t="shared" si="17"/>
        <v>7.3408438875318888E-3</v>
      </c>
      <c r="AG29" s="43">
        <f t="shared" si="14"/>
        <v>122.22223000000001</v>
      </c>
      <c r="AH29" s="18">
        <v>1</v>
      </c>
      <c r="AI29" s="24">
        <v>1</v>
      </c>
      <c r="AJ29" s="18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2"/>
      <c r="AX29" s="18"/>
      <c r="AY29" s="42"/>
      <c r="AZ29" s="42"/>
      <c r="BA29" s="42"/>
      <c r="BB29" s="42"/>
      <c r="BC29" s="42"/>
      <c r="BD29" s="42"/>
      <c r="BE29" s="2"/>
      <c r="BF29" s="18"/>
    </row>
    <row r="30" spans="1:58" x14ac:dyDescent="0.2">
      <c r="A30" s="87"/>
      <c r="B30" s="75" t="s">
        <v>166</v>
      </c>
      <c r="C30" s="76" t="s">
        <v>170</v>
      </c>
      <c r="D30" s="77" t="s">
        <v>168</v>
      </c>
      <c r="E30" s="78">
        <v>0.61799999999999999</v>
      </c>
      <c r="F30" s="77" t="s">
        <v>169</v>
      </c>
      <c r="G30" s="76">
        <v>820</v>
      </c>
      <c r="H30" s="34">
        <f>IF(F30="LEVEL", 1, VLOOKUP(F30,ActivityStats!$C$4:$D$12,2,FALSE()))</f>
        <v>0.22854942117493601</v>
      </c>
      <c r="I30" s="40">
        <f t="shared" si="0"/>
        <v>525600</v>
      </c>
      <c r="J30" s="40">
        <f t="shared" si="1"/>
        <v>120125.57576954637</v>
      </c>
      <c r="K30" s="37">
        <f t="shared" si="2"/>
        <v>0.22854942117493601</v>
      </c>
      <c r="L30" s="79" t="b">
        <f t="shared" si="3"/>
        <v>1</v>
      </c>
      <c r="M30" s="37">
        <f>IF(L30 = FALSE(),1,ActivityStats!$D$12)</f>
        <v>0.47775902852124003</v>
      </c>
      <c r="N30" s="80">
        <f t="shared" si="4"/>
        <v>251110.14539076376</v>
      </c>
      <c r="O30" s="37">
        <f t="shared" si="5"/>
        <v>0.47837802643383276</v>
      </c>
      <c r="P30" s="82">
        <v>124</v>
      </c>
      <c r="Q30" s="82">
        <v>0</v>
      </c>
      <c r="R30" s="82" t="b">
        <f t="shared" si="6"/>
        <v>0</v>
      </c>
      <c r="S30" s="18">
        <f t="shared" si="7"/>
        <v>0.15086666666666668</v>
      </c>
      <c r="T30" s="76">
        <v>73</v>
      </c>
      <c r="U30" s="76">
        <v>0</v>
      </c>
      <c r="V30" s="76">
        <v>3</v>
      </c>
      <c r="W30" s="42">
        <f t="shared" si="8"/>
        <v>26.28</v>
      </c>
      <c r="X30" s="83">
        <v>129.61000000000001</v>
      </c>
      <c r="Y30" s="42">
        <f t="shared" si="9"/>
        <v>103.33000000000001</v>
      </c>
      <c r="Z30" s="84">
        <f t="shared" si="15"/>
        <v>701.89063738254288</v>
      </c>
      <c r="AA30" s="85">
        <f t="shared" si="10"/>
        <v>51238.016528925633</v>
      </c>
      <c r="AB30" s="85">
        <f t="shared" si="11"/>
        <v>0</v>
      </c>
      <c r="AC30" s="43">
        <f t="shared" si="12"/>
        <v>199872.12886183814</v>
      </c>
      <c r="AD30" s="43">
        <f t="shared" si="13"/>
        <v>95614.434544054835</v>
      </c>
      <c r="AE30" s="43">
        <f t="shared" si="16"/>
        <v>136.22412018575378</v>
      </c>
      <c r="AF30" s="86">
        <f t="shared" si="17"/>
        <v>7.3408438875318888E-3</v>
      </c>
      <c r="AG30" s="43">
        <f t="shared" si="14"/>
        <v>80.098980000000012</v>
      </c>
      <c r="AH30" s="18">
        <v>1</v>
      </c>
      <c r="AI30" s="24">
        <v>1</v>
      </c>
      <c r="AJ30" s="18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2"/>
      <c r="AX30" s="18"/>
      <c r="AY30" s="42"/>
      <c r="AZ30" s="42"/>
      <c r="BA30" s="42"/>
      <c r="BB30" s="42"/>
      <c r="BC30" s="42"/>
      <c r="BD30" s="42"/>
      <c r="BE30" s="2"/>
      <c r="BF30" s="18"/>
    </row>
    <row r="31" spans="1:58" x14ac:dyDescent="0.2">
      <c r="A31" s="87"/>
      <c r="B31" s="75" t="s">
        <v>171</v>
      </c>
      <c r="C31" s="76" t="s">
        <v>172</v>
      </c>
      <c r="D31" s="77" t="s">
        <v>173</v>
      </c>
      <c r="E31" s="78">
        <v>0.60699999999999998</v>
      </c>
      <c r="F31" s="77" t="s">
        <v>169</v>
      </c>
      <c r="G31" s="76">
        <v>820</v>
      </c>
      <c r="H31" s="34">
        <f>IF(F31="LEVEL", 1, VLOOKUP(F31,ActivityStats!$C$4:$D$12,2,FALSE()))</f>
        <v>0.22854942117493601</v>
      </c>
      <c r="I31" s="40">
        <f t="shared" si="0"/>
        <v>525600</v>
      </c>
      <c r="J31" s="40">
        <f t="shared" si="1"/>
        <v>120125.57576954637</v>
      </c>
      <c r="K31" s="37">
        <f t="shared" si="2"/>
        <v>0.22854942117493601</v>
      </c>
      <c r="L31" s="79" t="b">
        <f t="shared" si="3"/>
        <v>1</v>
      </c>
      <c r="M31" s="37">
        <f>IF(L31 = FALSE(),1,ActivityStats!$D$12)</f>
        <v>0.47775902852124003</v>
      </c>
      <c r="N31" s="80">
        <f t="shared" si="4"/>
        <v>251110.14539076376</v>
      </c>
      <c r="O31" s="37">
        <f t="shared" si="5"/>
        <v>0.47837802643383276</v>
      </c>
      <c r="P31" s="82">
        <v>33.552197352914298</v>
      </c>
      <c r="Q31" s="82">
        <v>0</v>
      </c>
      <c r="R31" s="82" t="b">
        <f t="shared" si="6"/>
        <v>0</v>
      </c>
      <c r="S31" s="18">
        <f t="shared" si="7"/>
        <v>4.0821840112712393E-2</v>
      </c>
      <c r="T31" s="76">
        <v>73</v>
      </c>
      <c r="U31" s="76">
        <v>0</v>
      </c>
      <c r="V31" s="76">
        <v>2</v>
      </c>
      <c r="W31" s="42">
        <f t="shared" si="8"/>
        <v>17.52</v>
      </c>
      <c r="X31" s="86">
        <v>73.7310058969084</v>
      </c>
      <c r="Y31" s="42">
        <f t="shared" si="9"/>
        <v>56.211005896908404</v>
      </c>
      <c r="Z31" s="84">
        <f t="shared" si="15"/>
        <v>1464.2665373768316</v>
      </c>
      <c r="AA31" s="85">
        <f t="shared" si="10"/>
        <v>106891.45722850871</v>
      </c>
      <c r="AB31" s="85">
        <f t="shared" si="11"/>
        <v>0</v>
      </c>
      <c r="AC31" s="43">
        <f t="shared" si="12"/>
        <v>144218.68816225504</v>
      </c>
      <c r="AD31" s="43">
        <f t="shared" si="13"/>
        <v>68991.051417935931</v>
      </c>
      <c r="AE31" s="43">
        <f t="shared" si="16"/>
        <v>47.116457049910004</v>
      </c>
      <c r="AF31" s="86">
        <f t="shared" si="17"/>
        <v>2.1224006697717311E-2</v>
      </c>
      <c r="AG31" s="43">
        <f t="shared" si="14"/>
        <v>44.754720579423399</v>
      </c>
      <c r="AH31" s="18">
        <v>1</v>
      </c>
      <c r="AI31" s="24">
        <v>1</v>
      </c>
      <c r="AJ31" s="18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2"/>
      <c r="AX31" s="18"/>
      <c r="AY31" s="42"/>
      <c r="AZ31" s="42"/>
      <c r="BA31" s="42"/>
      <c r="BB31" s="42"/>
      <c r="BC31" s="42"/>
      <c r="BD31" s="42"/>
      <c r="BE31" s="2"/>
      <c r="BF31" s="18"/>
    </row>
    <row r="32" spans="1:58" x14ac:dyDescent="0.2">
      <c r="A32" s="87"/>
      <c r="B32" s="20" t="s">
        <v>174</v>
      </c>
      <c r="C32" s="76" t="s">
        <v>175</v>
      </c>
      <c r="D32" s="77" t="s">
        <v>176</v>
      </c>
      <c r="E32" s="78">
        <v>0.92700000000000005</v>
      </c>
      <c r="F32" s="77" t="s">
        <v>169</v>
      </c>
      <c r="G32" s="76">
        <v>820</v>
      </c>
      <c r="H32" s="34">
        <f>IF(F32="LEVEL", 1, VLOOKUP(F32,ActivityStats!$C$4:$D$12,2,FALSE()))</f>
        <v>0.22854942117493601</v>
      </c>
      <c r="I32" s="40">
        <f t="shared" si="0"/>
        <v>525600</v>
      </c>
      <c r="J32" s="40">
        <f t="shared" si="1"/>
        <v>120125.57576954637</v>
      </c>
      <c r="K32" s="37">
        <f t="shared" si="2"/>
        <v>0.22854942117493601</v>
      </c>
      <c r="L32" s="79" t="b">
        <f t="shared" si="3"/>
        <v>1</v>
      </c>
      <c r="M32" s="37">
        <f>IF(L32 = FALSE(),1,ActivityStats!$D$12)</f>
        <v>0.47775902852124003</v>
      </c>
      <c r="N32" s="80">
        <f t="shared" si="4"/>
        <v>251110.14539076376</v>
      </c>
      <c r="O32" s="37">
        <f t="shared" si="5"/>
        <v>0.47837802643383276</v>
      </c>
      <c r="P32" s="82">
        <v>26.8237423726735</v>
      </c>
      <c r="Q32" s="82">
        <v>0</v>
      </c>
      <c r="R32" s="82" t="b">
        <f t="shared" si="6"/>
        <v>0</v>
      </c>
      <c r="S32" s="18">
        <f t="shared" si="7"/>
        <v>3.2635553220086093E-2</v>
      </c>
      <c r="T32" s="76">
        <v>73</v>
      </c>
      <c r="U32" s="76">
        <v>0</v>
      </c>
      <c r="V32" s="76">
        <v>15</v>
      </c>
      <c r="W32" s="42">
        <f t="shared" si="8"/>
        <v>131.4</v>
      </c>
      <c r="X32" s="86">
        <v>152.46428420182599</v>
      </c>
      <c r="Y32" s="42">
        <f t="shared" si="9"/>
        <v>21.064284201825984</v>
      </c>
      <c r="Z32" s="84">
        <f t="shared" si="15"/>
        <v>1464.2665373768589</v>
      </c>
      <c r="AA32" s="85">
        <f t="shared" si="10"/>
        <v>106891.4572285107</v>
      </c>
      <c r="AB32" s="85">
        <f t="shared" si="11"/>
        <v>0</v>
      </c>
      <c r="AC32" s="43">
        <f t="shared" si="12"/>
        <v>144218.68816225306</v>
      </c>
      <c r="AD32" s="43">
        <f t="shared" si="13"/>
        <v>68991.051417934985</v>
      </c>
      <c r="AE32" s="43">
        <f t="shared" si="16"/>
        <v>47.116457049908483</v>
      </c>
      <c r="AF32" s="86">
        <f t="shared" si="17"/>
        <v>2.1224006697717998E-2</v>
      </c>
      <c r="AG32" s="43">
        <f t="shared" si="14"/>
        <v>141.33439145509269</v>
      </c>
      <c r="AH32" s="18">
        <v>1</v>
      </c>
      <c r="AI32" s="24">
        <v>1</v>
      </c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2"/>
      <c r="AX32" s="18"/>
      <c r="AY32" s="18"/>
      <c r="AZ32" s="18"/>
      <c r="BA32" s="18"/>
      <c r="BB32" s="18"/>
      <c r="BC32" s="18"/>
      <c r="BD32" s="18"/>
      <c r="BE32" s="2"/>
      <c r="BF32" s="18"/>
    </row>
    <row r="33" spans="1:58" x14ac:dyDescent="0.2">
      <c r="A33" s="87"/>
      <c r="B33" s="75" t="s">
        <v>177</v>
      </c>
      <c r="C33" s="76" t="s">
        <v>178</v>
      </c>
      <c r="D33" s="77" t="s">
        <v>179</v>
      </c>
      <c r="E33" s="78">
        <v>0.29699999999999999</v>
      </c>
      <c r="F33" s="77" t="s">
        <v>154</v>
      </c>
      <c r="G33" s="76">
        <v>763</v>
      </c>
      <c r="H33" s="34">
        <f>IF(F33="LEVEL", 1, VLOOKUP(F33,ActivityStats!$C$4:$D$12,2,FALSE()))</f>
        <v>4.5650719455293802E-2</v>
      </c>
      <c r="I33" s="40">
        <f t="shared" si="0"/>
        <v>525600</v>
      </c>
      <c r="J33" s="40">
        <f t="shared" si="1"/>
        <v>23994.018145702423</v>
      </c>
      <c r="K33" s="37">
        <f t="shared" si="2"/>
        <v>4.5650719455293802E-2</v>
      </c>
      <c r="L33" s="79" t="b">
        <f t="shared" si="3"/>
        <v>1</v>
      </c>
      <c r="M33" s="37">
        <f>IF(L33 = FALSE(),1,ActivityStats!$D$12)</f>
        <v>0.47775902852124003</v>
      </c>
      <c r="N33" s="80">
        <f t="shared" si="4"/>
        <v>251110.14539076376</v>
      </c>
      <c r="O33" s="37">
        <f t="shared" si="5"/>
        <v>9.5551767167209645E-2</v>
      </c>
      <c r="P33" s="92">
        <v>84</v>
      </c>
      <c r="Q33" s="82">
        <v>0</v>
      </c>
      <c r="R33" s="82" t="b">
        <f t="shared" si="6"/>
        <v>0</v>
      </c>
      <c r="S33" s="18">
        <f t="shared" si="7"/>
        <v>0.1134</v>
      </c>
      <c r="T33" s="96">
        <v>81</v>
      </c>
      <c r="U33" s="76">
        <v>0</v>
      </c>
      <c r="V33" s="94">
        <v>14</v>
      </c>
      <c r="W33" s="42">
        <f t="shared" si="8"/>
        <v>122.64</v>
      </c>
      <c r="X33" s="97">
        <v>210</v>
      </c>
      <c r="Y33" s="42">
        <f t="shared" si="9"/>
        <v>87.36</v>
      </c>
      <c r="Z33" s="84">
        <f t="shared" si="15"/>
        <v>924.44444444444446</v>
      </c>
      <c r="AA33" s="85">
        <f t="shared" si="10"/>
        <v>74880</v>
      </c>
      <c r="AB33" s="85">
        <f t="shared" si="11"/>
        <v>0</v>
      </c>
      <c r="AC33" s="43">
        <f t="shared" si="12"/>
        <v>176230.14539076376</v>
      </c>
      <c r="AD33" s="43">
        <f t="shared" si="13"/>
        <v>16839.101820221764</v>
      </c>
      <c r="AE33" s="43">
        <f t="shared" si="16"/>
        <v>18.215374565143733</v>
      </c>
      <c r="AF33" s="86">
        <f t="shared" si="17"/>
        <v>5.4898678938700665E-2</v>
      </c>
      <c r="AG33" s="43">
        <f t="shared" si="14"/>
        <v>62.37</v>
      </c>
      <c r="AH33" s="18">
        <v>1</v>
      </c>
      <c r="AI33" s="24">
        <v>1</v>
      </c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2"/>
      <c r="AX33" s="18"/>
      <c r="AY33" s="18"/>
      <c r="AZ33" s="18"/>
      <c r="BA33" s="18"/>
      <c r="BB33" s="18"/>
      <c r="BC33" s="18"/>
      <c r="BD33" s="18"/>
      <c r="BE33" s="2"/>
      <c r="BF33" s="18"/>
    </row>
    <row r="34" spans="1:58" x14ac:dyDescent="0.2">
      <c r="A34" s="87" t="s">
        <v>180</v>
      </c>
      <c r="B34" s="75" t="s">
        <v>181</v>
      </c>
      <c r="C34" s="76" t="s">
        <v>182</v>
      </c>
      <c r="D34" s="77" t="s">
        <v>183</v>
      </c>
      <c r="E34" s="78">
        <v>0.94</v>
      </c>
      <c r="F34" s="77" t="s">
        <v>184</v>
      </c>
      <c r="G34" s="76">
        <v>412</v>
      </c>
      <c r="H34" s="34">
        <f>IF(F34="LEVEL", 1, VLOOKUP(F34,ActivityStats!$C$4:$D$12,2,FALSE()))</f>
        <v>6.06130677183567E-2</v>
      </c>
      <c r="I34" s="40">
        <f t="shared" si="0"/>
        <v>525600</v>
      </c>
      <c r="J34" s="40">
        <f t="shared" si="1"/>
        <v>31858.22839276828</v>
      </c>
      <c r="K34" s="37">
        <f t="shared" si="2"/>
        <v>6.06130677183567E-2</v>
      </c>
      <c r="L34" s="79" t="b">
        <f t="shared" si="3"/>
        <v>1</v>
      </c>
      <c r="M34" s="37">
        <f>IF(L34 = FALSE(),1,ActivityStats!$D$12)</f>
        <v>0.47775902852124003</v>
      </c>
      <c r="N34" s="80">
        <f t="shared" si="4"/>
        <v>251110.14539076376</v>
      </c>
      <c r="O34" s="37">
        <f t="shared" si="5"/>
        <v>0.12686953903512049</v>
      </c>
      <c r="P34" s="82">
        <v>2400</v>
      </c>
      <c r="Q34" s="82">
        <v>0</v>
      </c>
      <c r="R34" s="82" t="b">
        <f t="shared" si="6"/>
        <v>0</v>
      </c>
      <c r="S34" s="18">
        <f t="shared" si="7"/>
        <v>0.64</v>
      </c>
      <c r="T34" s="76">
        <v>16</v>
      </c>
      <c r="U34" s="76">
        <v>0</v>
      </c>
      <c r="V34" s="76">
        <v>1</v>
      </c>
      <c r="W34" s="42">
        <f t="shared" si="8"/>
        <v>8.76</v>
      </c>
      <c r="X34" s="86">
        <v>276.10584413587497</v>
      </c>
      <c r="Y34" s="42">
        <f t="shared" si="9"/>
        <v>267.34584413587498</v>
      </c>
      <c r="Z34" s="84">
        <f t="shared" si="15"/>
        <v>417.90200729867911</v>
      </c>
      <c r="AA34" s="85">
        <f t="shared" si="10"/>
        <v>6686.4321167788657</v>
      </c>
      <c r="AB34" s="85">
        <f t="shared" si="11"/>
        <v>0</v>
      </c>
      <c r="AC34" s="43">
        <f t="shared" si="12"/>
        <v>244423.7132739849</v>
      </c>
      <c r="AD34" s="43">
        <f t="shared" si="13"/>
        <v>31009.923832322926</v>
      </c>
      <c r="AE34" s="43">
        <f t="shared" si="16"/>
        <v>74.203816422828993</v>
      </c>
      <c r="AF34" s="86">
        <f t="shared" si="17"/>
        <v>1.3476395800207756E-2</v>
      </c>
      <c r="AG34" s="43">
        <f t="shared" si="14"/>
        <v>259.53949348772244</v>
      </c>
      <c r="AH34" s="18">
        <v>1</v>
      </c>
      <c r="AI34" s="24">
        <v>0.3</v>
      </c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2"/>
      <c r="AX34" s="18"/>
      <c r="AY34" s="18"/>
      <c r="AZ34" s="18"/>
      <c r="BA34" s="18"/>
      <c r="BB34" s="18"/>
      <c r="BC34" s="18"/>
      <c r="BD34" s="18"/>
      <c r="BE34" s="2"/>
      <c r="BF34" s="18"/>
    </row>
    <row r="35" spans="1:58" x14ac:dyDescent="0.2">
      <c r="A35" s="87"/>
      <c r="B35" s="75" t="s">
        <v>185</v>
      </c>
      <c r="C35" s="76" t="s">
        <v>186</v>
      </c>
      <c r="D35" s="77" t="s">
        <v>187</v>
      </c>
      <c r="E35" s="78">
        <v>6.0999999999999999E-2</v>
      </c>
      <c r="F35" s="77" t="s">
        <v>184</v>
      </c>
      <c r="G35" s="76">
        <v>412</v>
      </c>
      <c r="H35" s="34">
        <f>IF(F35="LEVEL", 1, VLOOKUP(F35,ActivityStats!$C$4:$D$12,2,FALSE()))</f>
        <v>6.06130677183567E-2</v>
      </c>
      <c r="I35" s="40">
        <f t="shared" si="0"/>
        <v>525600</v>
      </c>
      <c r="J35" s="40">
        <f t="shared" si="1"/>
        <v>31858.22839276828</v>
      </c>
      <c r="K35" s="37">
        <f t="shared" si="2"/>
        <v>6.06130677183567E-2</v>
      </c>
      <c r="L35" s="79" t="b">
        <f t="shared" si="3"/>
        <v>1</v>
      </c>
      <c r="M35" s="37">
        <f>IF(L35 = FALSE(),1,ActivityStats!$D$12)</f>
        <v>0.47775902852124003</v>
      </c>
      <c r="N35" s="80">
        <f t="shared" si="4"/>
        <v>251110.14539076376</v>
      </c>
      <c r="O35" s="37">
        <f t="shared" si="5"/>
        <v>0.12686953903512049</v>
      </c>
      <c r="P35" s="81">
        <v>0</v>
      </c>
      <c r="Q35" s="82">
        <v>0</v>
      </c>
      <c r="R35" s="82" t="b">
        <f t="shared" si="6"/>
        <v>0</v>
      </c>
      <c r="S35" s="18">
        <f t="shared" si="7"/>
        <v>0</v>
      </c>
      <c r="T35" s="76">
        <v>16</v>
      </c>
      <c r="U35" s="76">
        <v>0</v>
      </c>
      <c r="V35" s="91">
        <v>0</v>
      </c>
      <c r="W35" s="42">
        <f t="shared" si="8"/>
        <v>0</v>
      </c>
      <c r="X35" s="95">
        <v>0</v>
      </c>
      <c r="Y35" s="42">
        <f t="shared" si="9"/>
        <v>0</v>
      </c>
      <c r="Z35" s="84">
        <v>0</v>
      </c>
      <c r="AA35" s="85">
        <f t="shared" si="10"/>
        <v>0</v>
      </c>
      <c r="AB35" s="85">
        <f t="shared" si="11"/>
        <v>0</v>
      </c>
      <c r="AC35" s="43">
        <f t="shared" si="12"/>
        <v>251110.14539076376</v>
      </c>
      <c r="AD35" s="43">
        <f t="shared" si="13"/>
        <v>31858.228392768284</v>
      </c>
      <c r="AE35" s="43">
        <v>0</v>
      </c>
      <c r="AF35" s="86">
        <v>0</v>
      </c>
      <c r="AG35" s="43">
        <f t="shared" si="14"/>
        <v>0</v>
      </c>
      <c r="AH35" s="18">
        <v>1</v>
      </c>
      <c r="AI35" s="24">
        <v>0.3</v>
      </c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2"/>
      <c r="AX35" s="18"/>
      <c r="AY35" s="18"/>
      <c r="AZ35" s="18"/>
      <c r="BA35" s="18"/>
      <c r="BB35" s="18"/>
      <c r="BC35" s="18"/>
      <c r="BD35" s="18"/>
      <c r="BE35" s="2"/>
      <c r="BF35" s="18"/>
    </row>
    <row r="36" spans="1:58" x14ac:dyDescent="0.2">
      <c r="A36" s="87"/>
      <c r="B36" s="20" t="s">
        <v>188</v>
      </c>
      <c r="C36" s="76" t="s">
        <v>189</v>
      </c>
      <c r="D36" s="77" t="s">
        <v>190</v>
      </c>
      <c r="E36" s="98">
        <v>0.61599999999999999</v>
      </c>
      <c r="F36" s="77" t="s">
        <v>184</v>
      </c>
      <c r="G36" s="76">
        <v>412</v>
      </c>
      <c r="H36" s="34">
        <f>IF(F36="LEVEL", 1, VLOOKUP(F36,ActivityStats!$C$4:$D$12,2,FALSE()))</f>
        <v>6.06130677183567E-2</v>
      </c>
      <c r="I36" s="40">
        <f t="shared" si="0"/>
        <v>525600</v>
      </c>
      <c r="J36" s="40">
        <f t="shared" si="1"/>
        <v>31858.22839276828</v>
      </c>
      <c r="K36" s="37">
        <f t="shared" si="2"/>
        <v>6.06130677183567E-2</v>
      </c>
      <c r="L36" s="79" t="b">
        <f t="shared" si="3"/>
        <v>1</v>
      </c>
      <c r="M36" s="37">
        <f>IF(L36 = FALSE(),1,ActivityStats!$D$12)</f>
        <v>0.47775902852124003</v>
      </c>
      <c r="N36" s="80">
        <f t="shared" si="4"/>
        <v>251110.14539076376</v>
      </c>
      <c r="O36" s="37">
        <f t="shared" si="5"/>
        <v>0.12686953903512049</v>
      </c>
      <c r="P36" s="82">
        <v>2125</v>
      </c>
      <c r="Q36" s="82">
        <v>0</v>
      </c>
      <c r="R36" s="82" t="b">
        <f t="shared" si="6"/>
        <v>0</v>
      </c>
      <c r="S36" s="18">
        <f t="shared" si="7"/>
        <v>0.95625000000000004</v>
      </c>
      <c r="T36" s="76">
        <v>27</v>
      </c>
      <c r="U36" s="76">
        <v>0</v>
      </c>
      <c r="V36" s="76">
        <v>3</v>
      </c>
      <c r="W36" s="42">
        <f t="shared" si="8"/>
        <v>26.28</v>
      </c>
      <c r="X36" s="83">
        <v>49.26</v>
      </c>
      <c r="Y36" s="42">
        <f t="shared" si="9"/>
        <v>22.979999999999997</v>
      </c>
      <c r="Z36" s="84">
        <f t="shared" ref="Z36:Z43" si="18">Y36/((P36-V36)*T36)*60*1000</f>
        <v>24.065347156770336</v>
      </c>
      <c r="AA36" s="85">
        <f t="shared" si="10"/>
        <v>649.76437323279913</v>
      </c>
      <c r="AB36" s="85">
        <f t="shared" si="11"/>
        <v>0</v>
      </c>
      <c r="AC36" s="43">
        <f t="shared" si="12"/>
        <v>250460.38101753098</v>
      </c>
      <c r="AD36" s="43">
        <f t="shared" si="13"/>
        <v>31775.793086254798</v>
      </c>
      <c r="AE36" s="43">
        <f t="shared" ref="AE36:AE47" si="19">AD36/Z36</f>
        <v>1320.3962061821026</v>
      </c>
      <c r="AF36" s="86">
        <f t="shared" ref="AF36:AF47" si="20">1/AE36</f>
        <v>7.5734843474859609E-4</v>
      </c>
      <c r="AG36" s="43">
        <f t="shared" si="14"/>
        <v>30.344159999999999</v>
      </c>
      <c r="AH36" s="18">
        <v>1</v>
      </c>
      <c r="AI36" s="24">
        <v>0.6</v>
      </c>
      <c r="AJ36" s="18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2"/>
      <c r="AX36" s="18"/>
      <c r="AY36" s="42"/>
      <c r="AZ36" s="42"/>
      <c r="BA36" s="42"/>
      <c r="BB36" s="42"/>
      <c r="BC36" s="42"/>
      <c r="BD36" s="42"/>
      <c r="BE36" s="2"/>
      <c r="BF36" s="18"/>
    </row>
    <row r="37" spans="1:58" x14ac:dyDescent="0.2">
      <c r="A37" s="87"/>
      <c r="B37" s="75" t="s">
        <v>191</v>
      </c>
      <c r="C37" s="76" t="s">
        <v>192</v>
      </c>
      <c r="D37" s="77" t="s">
        <v>193</v>
      </c>
      <c r="E37" s="78">
        <v>0.71299999999999997</v>
      </c>
      <c r="F37" s="77" t="s">
        <v>184</v>
      </c>
      <c r="G37" s="76">
        <v>412</v>
      </c>
      <c r="H37" s="34">
        <f>IF(F37="LEVEL", 1, VLOOKUP(F37,ActivityStats!$C$4:$D$12,2,FALSE()))</f>
        <v>6.06130677183567E-2</v>
      </c>
      <c r="I37" s="40">
        <f t="shared" si="0"/>
        <v>525600</v>
      </c>
      <c r="J37" s="40">
        <f t="shared" si="1"/>
        <v>31858.22839276828</v>
      </c>
      <c r="K37" s="37">
        <f t="shared" si="2"/>
        <v>6.06130677183567E-2</v>
      </c>
      <c r="L37" s="79" t="b">
        <f t="shared" si="3"/>
        <v>1</v>
      </c>
      <c r="M37" s="37">
        <f>IF(L37 = FALSE(),1,ActivityStats!$D$12)</f>
        <v>0.47775902852124003</v>
      </c>
      <c r="N37" s="80">
        <f t="shared" si="4"/>
        <v>251110.14539076376</v>
      </c>
      <c r="O37" s="37">
        <f t="shared" si="5"/>
        <v>0.12686953903512049</v>
      </c>
      <c r="P37" s="82">
        <v>1250</v>
      </c>
      <c r="Q37" s="82">
        <v>0</v>
      </c>
      <c r="R37" s="82" t="b">
        <f t="shared" si="6"/>
        <v>0</v>
      </c>
      <c r="S37" s="18">
        <f t="shared" si="7"/>
        <v>0.625</v>
      </c>
      <c r="T37" s="76">
        <v>30</v>
      </c>
      <c r="U37" s="76">
        <v>0</v>
      </c>
      <c r="V37" s="76">
        <v>2</v>
      </c>
      <c r="W37" s="42">
        <f t="shared" si="8"/>
        <v>17.52</v>
      </c>
      <c r="X37" s="86">
        <v>76.562457182122799</v>
      </c>
      <c r="Y37" s="42">
        <f t="shared" si="9"/>
        <v>59.042457182122803</v>
      </c>
      <c r="Z37" s="84">
        <f t="shared" si="18"/>
        <v>94.619322407248092</v>
      </c>
      <c r="AA37" s="85">
        <f t="shared" si="10"/>
        <v>2838.5796722174427</v>
      </c>
      <c r="AB37" s="85">
        <f t="shared" si="11"/>
        <v>0</v>
      </c>
      <c r="AC37" s="43">
        <f t="shared" si="12"/>
        <v>248271.56571854631</v>
      </c>
      <c r="AD37" s="43">
        <f t="shared" si="13"/>
        <v>31498.099098239592</v>
      </c>
      <c r="AE37" s="43">
        <f t="shared" si="19"/>
        <v>332.89288378825626</v>
      </c>
      <c r="AF37" s="86">
        <f t="shared" si="20"/>
        <v>3.0039692907225727E-3</v>
      </c>
      <c r="AG37" s="43">
        <f t="shared" si="14"/>
        <v>54.589031970853554</v>
      </c>
      <c r="AH37" s="18">
        <v>1</v>
      </c>
      <c r="AI37" s="24">
        <v>1</v>
      </c>
      <c r="AJ37" s="18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2"/>
      <c r="AX37" s="18"/>
      <c r="AY37" s="42"/>
      <c r="AZ37" s="42"/>
      <c r="BA37" s="42"/>
      <c r="BB37" s="42"/>
      <c r="BC37" s="42"/>
      <c r="BD37" s="42"/>
      <c r="BE37" s="2"/>
      <c r="BF37" s="18"/>
    </row>
    <row r="38" spans="1:58" x14ac:dyDescent="0.2">
      <c r="A38" s="87"/>
      <c r="B38" s="20" t="s">
        <v>194</v>
      </c>
      <c r="C38" s="76" t="s">
        <v>195</v>
      </c>
      <c r="D38" s="77" t="s">
        <v>196</v>
      </c>
      <c r="E38" s="98">
        <v>0.97499999999999998</v>
      </c>
      <c r="F38" s="77" t="s">
        <v>142</v>
      </c>
      <c r="G38" s="76">
        <v>419</v>
      </c>
      <c r="H38" s="34">
        <f>IF(F38="LEVEL", 1, VLOOKUP(F38,ActivityStats!$C$4:$D$12,2,FALSE()))</f>
        <v>0.47775902852124003</v>
      </c>
      <c r="I38" s="40">
        <f t="shared" si="0"/>
        <v>525600</v>
      </c>
      <c r="J38" s="40">
        <f t="shared" si="1"/>
        <v>251110.14539076376</v>
      </c>
      <c r="K38" s="37">
        <f t="shared" si="2"/>
        <v>0.47775902852124003</v>
      </c>
      <c r="L38" s="79" t="b">
        <f t="shared" si="3"/>
        <v>1</v>
      </c>
      <c r="M38" s="37">
        <f>IF(L38 = FALSE(),1,ActivityStats!$D$12)</f>
        <v>0.47775902852124003</v>
      </c>
      <c r="N38" s="80">
        <f t="shared" si="4"/>
        <v>251110.14539076376</v>
      </c>
      <c r="O38" s="37">
        <f t="shared" si="5"/>
        <v>1</v>
      </c>
      <c r="P38" s="82">
        <v>2000</v>
      </c>
      <c r="Q38" s="82">
        <v>0</v>
      </c>
      <c r="R38" s="82" t="b">
        <f t="shared" si="6"/>
        <v>0</v>
      </c>
      <c r="S38" s="18">
        <f t="shared" si="7"/>
        <v>0.1</v>
      </c>
      <c r="T38" s="76">
        <v>3</v>
      </c>
      <c r="U38" s="76">
        <v>0</v>
      </c>
      <c r="V38" s="76">
        <v>1</v>
      </c>
      <c r="W38" s="42">
        <f t="shared" si="8"/>
        <v>8.76</v>
      </c>
      <c r="X38" s="86">
        <v>160.666295473334</v>
      </c>
      <c r="Y38" s="42">
        <f t="shared" si="9"/>
        <v>151.90629547333401</v>
      </c>
      <c r="Z38" s="84">
        <f t="shared" si="18"/>
        <v>1519.8228661664232</v>
      </c>
      <c r="AA38" s="85">
        <f t="shared" si="10"/>
        <v>4559.4685984992693</v>
      </c>
      <c r="AB38" s="85">
        <f t="shared" si="11"/>
        <v>0</v>
      </c>
      <c r="AC38" s="43">
        <f t="shared" si="12"/>
        <v>246550.67679226448</v>
      </c>
      <c r="AD38" s="43">
        <f t="shared" si="13"/>
        <v>246550.67679226448</v>
      </c>
      <c r="AE38" s="43">
        <f t="shared" si="19"/>
        <v>162.2232973860697</v>
      </c>
      <c r="AF38" s="86">
        <f t="shared" si="20"/>
        <v>6.1643427060919251E-3</v>
      </c>
      <c r="AG38" s="43">
        <f t="shared" si="14"/>
        <v>156.64963808650066</v>
      </c>
      <c r="AH38" s="18">
        <v>1</v>
      </c>
      <c r="AI38" s="24">
        <v>1</v>
      </c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2"/>
      <c r="AX38" s="18"/>
      <c r="AY38" s="18"/>
      <c r="AZ38" s="18"/>
      <c r="BA38" s="18"/>
      <c r="BB38" s="18"/>
      <c r="BC38" s="18"/>
      <c r="BD38" s="18"/>
      <c r="BE38" s="2"/>
      <c r="BF38" s="18"/>
    </row>
    <row r="39" spans="1:58" x14ac:dyDescent="0.2">
      <c r="A39" s="87"/>
      <c r="B39" s="45" t="s">
        <v>197</v>
      </c>
      <c r="C39" s="76" t="s">
        <v>198</v>
      </c>
      <c r="D39" s="77" t="s">
        <v>199</v>
      </c>
      <c r="E39" s="98">
        <v>1</v>
      </c>
      <c r="F39" s="77" t="s">
        <v>184</v>
      </c>
      <c r="G39" s="76">
        <v>412</v>
      </c>
      <c r="H39" s="34">
        <f>IF(F39="LEVEL", 1, VLOOKUP(F39,ActivityStats!$C$4:$D$12,2,FALSE()))</f>
        <v>6.06130677183567E-2</v>
      </c>
      <c r="I39" s="40">
        <f t="shared" si="0"/>
        <v>525600</v>
      </c>
      <c r="J39" s="40">
        <f t="shared" si="1"/>
        <v>31858.22839276828</v>
      </c>
      <c r="K39" s="37">
        <f t="shared" si="2"/>
        <v>6.06130677183567E-2</v>
      </c>
      <c r="L39" s="79" t="b">
        <f t="shared" si="3"/>
        <v>1</v>
      </c>
      <c r="M39" s="37">
        <f>IF(L39 = FALSE(),1,ActivityStats!$D$12)</f>
        <v>0.47775902852124003</v>
      </c>
      <c r="N39" s="80">
        <f t="shared" si="4"/>
        <v>251110.14539076376</v>
      </c>
      <c r="O39" s="37">
        <f t="shared" si="5"/>
        <v>0.12686953903512049</v>
      </c>
      <c r="P39" s="82">
        <v>1000</v>
      </c>
      <c r="Q39" s="82">
        <v>0</v>
      </c>
      <c r="R39" s="82" t="b">
        <f t="shared" si="6"/>
        <v>0</v>
      </c>
      <c r="S39" s="18">
        <f t="shared" si="7"/>
        <v>0.05</v>
      </c>
      <c r="T39" s="76">
        <v>3</v>
      </c>
      <c r="U39" s="76">
        <v>0</v>
      </c>
      <c r="V39" s="76">
        <v>2</v>
      </c>
      <c r="W39" s="42">
        <f t="shared" si="8"/>
        <v>17.52</v>
      </c>
      <c r="X39" s="86">
        <v>32.1070785796487</v>
      </c>
      <c r="Y39" s="42">
        <f t="shared" si="9"/>
        <v>14.587078579648701</v>
      </c>
      <c r="Z39" s="84">
        <f t="shared" si="18"/>
        <v>292.32622404105615</v>
      </c>
      <c r="AA39" s="85">
        <f t="shared" si="10"/>
        <v>876.97867212316851</v>
      </c>
      <c r="AB39" s="85">
        <f t="shared" si="11"/>
        <v>0</v>
      </c>
      <c r="AC39" s="43">
        <f t="shared" si="12"/>
        <v>250233.1667186406</v>
      </c>
      <c r="AD39" s="43">
        <f t="shared" si="13"/>
        <v>31746.966512892388</v>
      </c>
      <c r="AE39" s="43">
        <f t="shared" si="19"/>
        <v>108.60115823352763</v>
      </c>
      <c r="AF39" s="86">
        <f t="shared" si="20"/>
        <v>9.2080049261507556E-3</v>
      </c>
      <c r="AG39" s="43">
        <f t="shared" si="14"/>
        <v>32.1070785796487</v>
      </c>
      <c r="AH39" s="18">
        <v>1</v>
      </c>
      <c r="AI39" s="24">
        <v>0.6</v>
      </c>
      <c r="AJ39" s="18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2"/>
      <c r="AX39" s="18"/>
      <c r="AY39" s="42"/>
      <c r="AZ39" s="42"/>
      <c r="BA39" s="42"/>
      <c r="BB39" s="42"/>
      <c r="BC39" s="42"/>
      <c r="BD39" s="42"/>
      <c r="BE39" s="2"/>
      <c r="BF39" s="18"/>
    </row>
    <row r="40" spans="1:58" x14ac:dyDescent="0.2">
      <c r="A40" s="87" t="s">
        <v>200</v>
      </c>
      <c r="B40" s="75" t="s">
        <v>201</v>
      </c>
      <c r="C40" s="76" t="s">
        <v>202</v>
      </c>
      <c r="D40" s="77" t="s">
        <v>203</v>
      </c>
      <c r="E40" s="78">
        <v>0.71899999999999997</v>
      </c>
      <c r="F40" s="77" t="s">
        <v>204</v>
      </c>
      <c r="G40" s="76">
        <v>413</v>
      </c>
      <c r="H40" s="34">
        <f>IF(F40="LEVEL", 1, VLOOKUP(F40,ActivityStats!$C$4:$D$12,2,FALSE()))</f>
        <v>2.1676122395387899E-2</v>
      </c>
      <c r="I40" s="40">
        <f t="shared" si="0"/>
        <v>525600</v>
      </c>
      <c r="J40" s="40">
        <f t="shared" si="1"/>
        <v>11392.969931015879</v>
      </c>
      <c r="K40" s="37">
        <f t="shared" si="2"/>
        <v>2.1676122395387899E-2</v>
      </c>
      <c r="L40" s="79" t="b">
        <f t="shared" si="3"/>
        <v>1</v>
      </c>
      <c r="M40" s="37">
        <f>IF(L40 = FALSE(),1,ActivityStats!$D$12)</f>
        <v>0.47775902852124003</v>
      </c>
      <c r="N40" s="80">
        <f t="shared" si="4"/>
        <v>251110.14539076376</v>
      </c>
      <c r="O40" s="37">
        <f t="shared" si="5"/>
        <v>4.5370408723577331E-2</v>
      </c>
      <c r="P40" s="82">
        <v>1130.61224489796</v>
      </c>
      <c r="Q40" s="82">
        <v>0</v>
      </c>
      <c r="R40" s="82" t="b">
        <f t="shared" si="6"/>
        <v>0</v>
      </c>
      <c r="S40" s="18">
        <f t="shared" si="7"/>
        <v>1.1306122448979601</v>
      </c>
      <c r="T40" s="76">
        <v>60</v>
      </c>
      <c r="U40" s="76">
        <v>0</v>
      </c>
      <c r="V40" s="76">
        <v>0</v>
      </c>
      <c r="W40" s="42">
        <f t="shared" si="8"/>
        <v>0</v>
      </c>
      <c r="X40" s="86">
        <v>273.01616986258</v>
      </c>
      <c r="Y40" s="42">
        <f t="shared" si="9"/>
        <v>273.01616986258</v>
      </c>
      <c r="Z40" s="84">
        <f t="shared" si="18"/>
        <v>241.4763957268305</v>
      </c>
      <c r="AA40" s="85">
        <f t="shared" si="10"/>
        <v>14488.58374360983</v>
      </c>
      <c r="AB40" s="85">
        <f t="shared" si="11"/>
        <v>0</v>
      </c>
      <c r="AC40" s="43">
        <f t="shared" si="12"/>
        <v>236621.56164715393</v>
      </c>
      <c r="AD40" s="43">
        <f t="shared" si="13"/>
        <v>10735.616964742523</v>
      </c>
      <c r="AE40" s="43">
        <f t="shared" si="19"/>
        <v>44.458245835701305</v>
      </c>
      <c r="AF40" s="86">
        <f t="shared" si="20"/>
        <v>2.2493015214670706E-2</v>
      </c>
      <c r="AG40" s="43">
        <f t="shared" si="14"/>
        <v>196.29862613119502</v>
      </c>
      <c r="AH40" s="18">
        <v>0.8</v>
      </c>
      <c r="AI40" s="24">
        <v>0.2</v>
      </c>
      <c r="AJ40" s="18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2"/>
      <c r="AX40" s="18"/>
      <c r="AY40" s="18"/>
      <c r="AZ40" s="18"/>
      <c r="BA40" s="18"/>
      <c r="BB40" s="18"/>
      <c r="BC40" s="18"/>
      <c r="BD40" s="18"/>
      <c r="BE40" s="2"/>
      <c r="BF40" s="18"/>
    </row>
    <row r="41" spans="1:58" x14ac:dyDescent="0.2">
      <c r="A41" s="87"/>
      <c r="B41" s="75" t="s">
        <v>205</v>
      </c>
      <c r="C41" s="76" t="s">
        <v>206</v>
      </c>
      <c r="D41" s="77" t="s">
        <v>207</v>
      </c>
      <c r="E41" s="78">
        <v>0.42299999999999999</v>
      </c>
      <c r="F41" s="77" t="s">
        <v>208</v>
      </c>
      <c r="G41" s="76">
        <v>431</v>
      </c>
      <c r="H41" s="34">
        <f>IF(F41="LEVEL", 1, VLOOKUP(F41,ActivityStats!$C$4:$D$12,2,FALSE()))</f>
        <v>1.40074682496996E-2</v>
      </c>
      <c r="I41" s="40">
        <f t="shared" si="0"/>
        <v>525600</v>
      </c>
      <c r="J41" s="40">
        <f t="shared" si="1"/>
        <v>7362.3253120421095</v>
      </c>
      <c r="K41" s="37">
        <f t="shared" si="2"/>
        <v>1.40074682496996E-2</v>
      </c>
      <c r="L41" s="79" t="b">
        <f t="shared" si="3"/>
        <v>1</v>
      </c>
      <c r="M41" s="37">
        <f>IF(L41 = FALSE(),1,ActivityStats!$D$12)</f>
        <v>0.47775902852124003</v>
      </c>
      <c r="N41" s="80">
        <f t="shared" si="4"/>
        <v>251110.14539076376</v>
      </c>
      <c r="O41" s="37">
        <f t="shared" si="5"/>
        <v>2.9319107360577825E-2</v>
      </c>
      <c r="P41" s="82">
        <v>2500</v>
      </c>
      <c r="Q41" s="82">
        <v>0</v>
      </c>
      <c r="R41" s="82" t="b">
        <f t="shared" si="6"/>
        <v>0</v>
      </c>
      <c r="S41" s="18">
        <f t="shared" si="7"/>
        <v>2.5</v>
      </c>
      <c r="T41" s="76">
        <v>60</v>
      </c>
      <c r="U41" s="76">
        <v>0</v>
      </c>
      <c r="V41" s="76">
        <v>1</v>
      </c>
      <c r="W41" s="42">
        <f t="shared" si="8"/>
        <v>8.76</v>
      </c>
      <c r="X41" s="86">
        <v>313.82021642995602</v>
      </c>
      <c r="Y41" s="42">
        <f t="shared" si="9"/>
        <v>305.06021642995603</v>
      </c>
      <c r="Z41" s="84">
        <f t="shared" si="18"/>
        <v>122.0729157382777</v>
      </c>
      <c r="AA41" s="85">
        <f t="shared" si="10"/>
        <v>7324.3749442966619</v>
      </c>
      <c r="AB41" s="85">
        <f t="shared" si="11"/>
        <v>0</v>
      </c>
      <c r="AC41" s="43">
        <f t="shared" si="12"/>
        <v>243785.7704464671</v>
      </c>
      <c r="AD41" s="43">
        <f t="shared" si="13"/>
        <v>7147.5811767011492</v>
      </c>
      <c r="AE41" s="43">
        <f t="shared" si="19"/>
        <v>58.551736341134379</v>
      </c>
      <c r="AF41" s="86">
        <f t="shared" si="20"/>
        <v>1.707891281265846E-2</v>
      </c>
      <c r="AG41" s="43">
        <f t="shared" si="14"/>
        <v>132.74595154987139</v>
      </c>
      <c r="AH41" s="18">
        <v>0.8</v>
      </c>
      <c r="AI41" s="24">
        <v>0.2</v>
      </c>
      <c r="AJ41" s="18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2"/>
      <c r="AX41" s="18"/>
      <c r="AY41" s="18"/>
      <c r="AZ41" s="18"/>
      <c r="BA41" s="18"/>
      <c r="BB41" s="18"/>
      <c r="BC41" s="18"/>
      <c r="BD41" s="18"/>
      <c r="BE41" s="2"/>
      <c r="BF41" s="18"/>
    </row>
    <row r="42" spans="1:58" x14ac:dyDescent="0.2">
      <c r="A42" s="87"/>
      <c r="B42" s="75" t="s">
        <v>209</v>
      </c>
      <c r="C42" s="76" t="s">
        <v>210</v>
      </c>
      <c r="D42" s="77" t="s">
        <v>211</v>
      </c>
      <c r="E42" s="78">
        <v>0.95</v>
      </c>
      <c r="F42" s="77" t="s">
        <v>208</v>
      </c>
      <c r="G42" s="76">
        <v>431</v>
      </c>
      <c r="H42" s="34">
        <f>IF(F42="LEVEL", 1, VLOOKUP(F42,ActivityStats!$C$4:$D$12,2,FALSE()))</f>
        <v>1.40074682496996E-2</v>
      </c>
      <c r="I42" s="40">
        <f t="shared" si="0"/>
        <v>525600</v>
      </c>
      <c r="J42" s="40">
        <f t="shared" si="1"/>
        <v>7362.3253120421095</v>
      </c>
      <c r="K42" s="37">
        <f t="shared" si="2"/>
        <v>1.40074682496996E-2</v>
      </c>
      <c r="L42" s="79" t="b">
        <f t="shared" si="3"/>
        <v>1</v>
      </c>
      <c r="M42" s="37">
        <f>IF(L42 = FALSE(),1,ActivityStats!$D$12)</f>
        <v>0.47775902852124003</v>
      </c>
      <c r="N42" s="80">
        <f t="shared" si="4"/>
        <v>251110.14539076376</v>
      </c>
      <c r="O42" s="37">
        <f t="shared" si="5"/>
        <v>2.9319107360577825E-2</v>
      </c>
      <c r="P42" s="82">
        <v>405.54347826087002</v>
      </c>
      <c r="Q42" s="82">
        <v>0</v>
      </c>
      <c r="R42" s="82" t="b">
        <f t="shared" si="6"/>
        <v>0</v>
      </c>
      <c r="S42" s="18">
        <f t="shared" si="7"/>
        <v>0.93275000000000108</v>
      </c>
      <c r="T42" s="76">
        <v>138</v>
      </c>
      <c r="U42" s="76">
        <v>0</v>
      </c>
      <c r="V42" s="76">
        <v>1</v>
      </c>
      <c r="W42" s="42">
        <f t="shared" si="8"/>
        <v>8.76</v>
      </c>
      <c r="X42" s="86">
        <v>191.04129212309601</v>
      </c>
      <c r="Y42" s="42">
        <f t="shared" si="9"/>
        <v>182.28129212309602</v>
      </c>
      <c r="Z42" s="84">
        <f t="shared" si="18"/>
        <v>195.90659586554443</v>
      </c>
      <c r="AA42" s="85">
        <f t="shared" si="10"/>
        <v>27035.11022944513</v>
      </c>
      <c r="AB42" s="85">
        <f t="shared" si="11"/>
        <v>0</v>
      </c>
      <c r="AC42" s="43">
        <f t="shared" si="12"/>
        <v>224075.03516131864</v>
      </c>
      <c r="AD42" s="43">
        <f t="shared" si="13"/>
        <v>6569.6800127199522</v>
      </c>
      <c r="AE42" s="43">
        <f t="shared" si="19"/>
        <v>33.534756620593249</v>
      </c>
      <c r="AF42" s="86">
        <f t="shared" si="20"/>
        <v>2.9819807888091642E-2</v>
      </c>
      <c r="AG42" s="43">
        <f t="shared" si="14"/>
        <v>181.48922751694121</v>
      </c>
      <c r="AH42" s="18">
        <v>0.8</v>
      </c>
      <c r="AI42" s="24">
        <v>0.2</v>
      </c>
      <c r="AJ42" s="18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2"/>
      <c r="AX42" s="18"/>
      <c r="AY42" s="42"/>
      <c r="AZ42" s="42"/>
      <c r="BA42" s="42"/>
      <c r="BB42" s="42"/>
      <c r="BC42" s="42"/>
      <c r="BD42" s="42"/>
      <c r="BE42" s="2"/>
      <c r="BF42" s="18"/>
    </row>
    <row r="43" spans="1:58" x14ac:dyDescent="0.2">
      <c r="A43" s="87"/>
      <c r="B43" s="20" t="s">
        <v>212</v>
      </c>
      <c r="C43" s="76" t="s">
        <v>213</v>
      </c>
      <c r="D43" s="77" t="s">
        <v>214</v>
      </c>
      <c r="E43" s="98">
        <v>0.153</v>
      </c>
      <c r="F43" s="77" t="s">
        <v>208</v>
      </c>
      <c r="G43" s="76">
        <v>431</v>
      </c>
      <c r="H43" s="34">
        <f>IF(F43="LEVEL", 1, VLOOKUP(F43,ActivityStats!$C$4:$D$12,2,FALSE()))</f>
        <v>1.40074682496996E-2</v>
      </c>
      <c r="I43" s="40">
        <f t="shared" si="0"/>
        <v>525600</v>
      </c>
      <c r="J43" s="40">
        <f t="shared" si="1"/>
        <v>7362.3253120421095</v>
      </c>
      <c r="K43" s="37">
        <f t="shared" si="2"/>
        <v>1.40074682496996E-2</v>
      </c>
      <c r="L43" s="79" t="b">
        <f t="shared" si="3"/>
        <v>1</v>
      </c>
      <c r="M43" s="37">
        <f>IF(L43 = FALSE(),1,ActivityStats!$D$12)</f>
        <v>0.47775902852124003</v>
      </c>
      <c r="N43" s="80">
        <f t="shared" si="4"/>
        <v>251110.14539076376</v>
      </c>
      <c r="O43" s="37">
        <f t="shared" si="5"/>
        <v>2.9319107360577825E-2</v>
      </c>
      <c r="P43" s="82">
        <v>792.03478605766395</v>
      </c>
      <c r="Q43" s="82">
        <v>0</v>
      </c>
      <c r="R43" s="82" t="b">
        <f t="shared" si="6"/>
        <v>0</v>
      </c>
      <c r="S43" s="18">
        <f t="shared" si="7"/>
        <v>2.6137147939902912</v>
      </c>
      <c r="T43" s="76">
        <v>198</v>
      </c>
      <c r="U43" s="76">
        <v>0</v>
      </c>
      <c r="V43" s="76">
        <v>1</v>
      </c>
      <c r="W43" s="42">
        <f t="shared" si="8"/>
        <v>8.76</v>
      </c>
      <c r="X43" s="86">
        <v>520.15747608769504</v>
      </c>
      <c r="Y43" s="42">
        <f t="shared" si="9"/>
        <v>511.39747608769505</v>
      </c>
      <c r="Z43" s="84">
        <f t="shared" si="18"/>
        <v>195.90659586554469</v>
      </c>
      <c r="AA43" s="85">
        <f t="shared" si="10"/>
        <v>38789.50598137785</v>
      </c>
      <c r="AB43" s="85">
        <f t="shared" si="11"/>
        <v>0</v>
      </c>
      <c r="AC43" s="43">
        <f t="shared" si="12"/>
        <v>212320.63940938591</v>
      </c>
      <c r="AD43" s="43">
        <f t="shared" si="13"/>
        <v>6225.0516217103168</v>
      </c>
      <c r="AE43" s="43">
        <f t="shared" si="19"/>
        <v>31.77561017895853</v>
      </c>
      <c r="AF43" s="86">
        <f t="shared" si="20"/>
        <v>3.1470678119729367E-2</v>
      </c>
      <c r="AG43" s="43">
        <f>X43*E41</f>
        <v>220.02661238509501</v>
      </c>
      <c r="AH43" s="18">
        <v>0.8</v>
      </c>
      <c r="AI43" s="24">
        <v>0.2</v>
      </c>
      <c r="AJ43" s="18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2"/>
      <c r="AX43" s="18"/>
      <c r="AY43" s="43"/>
      <c r="AZ43" s="43"/>
      <c r="BA43" s="43"/>
      <c r="BB43" s="43"/>
      <c r="BC43" s="43"/>
      <c r="BD43" s="43"/>
      <c r="BE43" s="2"/>
      <c r="BF43" s="18"/>
    </row>
    <row r="44" spans="1:58" x14ac:dyDescent="0.2">
      <c r="A44" s="11"/>
      <c r="B44" s="12" t="s">
        <v>215</v>
      </c>
      <c r="C44" s="15" t="s">
        <v>216</v>
      </c>
      <c r="D44" s="77" t="s">
        <v>217</v>
      </c>
      <c r="E44" s="99">
        <v>0.99399999999999999</v>
      </c>
      <c r="F44" s="77" t="s">
        <v>218</v>
      </c>
      <c r="G44" s="15"/>
      <c r="H44" s="34">
        <f>IF(F44="LEVEL", 1, VLOOKUP(F44,ActivityStats!$C$4:$D$12,2,FALSE()))</f>
        <v>0.13357766860620099</v>
      </c>
      <c r="I44" s="36">
        <f>24*60</f>
        <v>1440</v>
      </c>
      <c r="J44" s="36">
        <f t="shared" si="1"/>
        <v>192.35184279292943</v>
      </c>
      <c r="K44" s="37">
        <f t="shared" si="2"/>
        <v>0.13357766860620099</v>
      </c>
      <c r="L44" s="79" t="b">
        <f t="shared" si="3"/>
        <v>1</v>
      </c>
      <c r="M44" s="37">
        <f>IF(L44 = FALSE(),1,ActivityStats!$D$12)</f>
        <v>0.47775902852124003</v>
      </c>
      <c r="N44" s="80">
        <f t="shared" si="4"/>
        <v>687.97300107058561</v>
      </c>
      <c r="O44" s="37">
        <f t="shared" si="5"/>
        <v>0.27959213878103079</v>
      </c>
      <c r="P44" s="100">
        <v>0</v>
      </c>
      <c r="Q44" s="100">
        <v>3.54</v>
      </c>
      <c r="R44" s="101" t="b">
        <f t="shared" si="6"/>
        <v>1</v>
      </c>
      <c r="S44" s="15">
        <f>[1]WaterUsage!D5</f>
        <v>0</v>
      </c>
      <c r="T44" s="100">
        <f>S44/Q44</f>
        <v>0</v>
      </c>
      <c r="U44" s="15">
        <v>0</v>
      </c>
      <c r="V44" s="100">
        <v>0</v>
      </c>
      <c r="W44" s="15">
        <f>V44*I44</f>
        <v>0</v>
      </c>
      <c r="X44" s="38">
        <v>22</v>
      </c>
      <c r="Y44" s="38">
        <f t="shared" si="9"/>
        <v>22</v>
      </c>
      <c r="Z44" s="102" t="e">
        <f>Y44/((Q44-V44)*T44)</f>
        <v>#DIV/0!</v>
      </c>
      <c r="AA44" s="85" t="e">
        <f t="shared" si="10"/>
        <v>#DIV/0!</v>
      </c>
      <c r="AB44" s="85" t="e">
        <f t="shared" si="11"/>
        <v>#DIV/0!</v>
      </c>
      <c r="AC44" s="43" t="e">
        <f t="shared" si="12"/>
        <v>#DIV/0!</v>
      </c>
      <c r="AD44" s="43" t="e">
        <f t="shared" si="13"/>
        <v>#DIV/0!</v>
      </c>
      <c r="AE44" s="43" t="e">
        <f t="shared" si="19"/>
        <v>#DIV/0!</v>
      </c>
      <c r="AF44" s="42" t="e">
        <f t="shared" si="20"/>
        <v>#DIV/0!</v>
      </c>
      <c r="AG44" s="38">
        <f>X44*E44</f>
        <v>21.867999999999999</v>
      </c>
      <c r="AH44" s="15"/>
      <c r="AI44" s="103">
        <v>0</v>
      </c>
      <c r="AJ44" s="18"/>
      <c r="AK44" s="43"/>
      <c r="AL44" s="43"/>
      <c r="AM44" s="43"/>
      <c r="AN44" s="43"/>
      <c r="AO44" s="18"/>
      <c r="AP44" s="18"/>
      <c r="AQ44" s="18"/>
      <c r="AR44" s="18"/>
      <c r="AS44" s="18"/>
      <c r="AT44" s="18"/>
      <c r="AU44" s="18"/>
      <c r="AV44" s="18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1:58" x14ac:dyDescent="0.2">
      <c r="A45" s="87"/>
      <c r="B45" s="20" t="s">
        <v>219</v>
      </c>
      <c r="C45" s="18" t="s">
        <v>220</v>
      </c>
      <c r="D45" s="77" t="s">
        <v>221</v>
      </c>
      <c r="E45" s="104">
        <v>1</v>
      </c>
      <c r="F45" s="77" t="s">
        <v>184</v>
      </c>
      <c r="G45" s="18"/>
      <c r="H45" s="34">
        <f>IF(F45="LEVEL", 1, VLOOKUP(F45,ActivityStats!$C$4:$D$12,2,FALSE()))</f>
        <v>6.06130677183567E-2</v>
      </c>
      <c r="I45" s="40">
        <f>24*60</f>
        <v>1440</v>
      </c>
      <c r="J45" s="40">
        <f t="shared" si="1"/>
        <v>87.282817514433646</v>
      </c>
      <c r="K45" s="37">
        <f t="shared" si="2"/>
        <v>6.06130677183567E-2</v>
      </c>
      <c r="L45" s="79" t="b">
        <f t="shared" si="3"/>
        <v>1</v>
      </c>
      <c r="M45" s="37">
        <f>IF(L45 = FALSE(),1,ActivityStats!$D$12)</f>
        <v>0.47775902852124003</v>
      </c>
      <c r="N45" s="80">
        <f t="shared" si="4"/>
        <v>687.97300107058561</v>
      </c>
      <c r="O45" s="37">
        <f t="shared" si="5"/>
        <v>0.12686953903512049</v>
      </c>
      <c r="P45" s="105">
        <v>0</v>
      </c>
      <c r="Q45" s="105">
        <v>3.54</v>
      </c>
      <c r="R45" s="101" t="b">
        <f t="shared" si="6"/>
        <v>1</v>
      </c>
      <c r="S45" s="18">
        <f>[1]WaterUsage!D5</f>
        <v>0</v>
      </c>
      <c r="T45" s="100">
        <f>S45/Q45</f>
        <v>0</v>
      </c>
      <c r="U45" s="18">
        <v>0</v>
      </c>
      <c r="V45" s="105">
        <v>0</v>
      </c>
      <c r="W45" s="18">
        <f>V45*I45</f>
        <v>0</v>
      </c>
      <c r="X45" s="43">
        <f>AVERAGE(22,40)</f>
        <v>31</v>
      </c>
      <c r="Y45" s="43">
        <f t="shared" si="9"/>
        <v>31</v>
      </c>
      <c r="Z45" s="102" t="e">
        <f>Y45/((Q45-V45)*T45)</f>
        <v>#DIV/0!</v>
      </c>
      <c r="AA45" s="85" t="e">
        <f t="shared" si="10"/>
        <v>#DIV/0!</v>
      </c>
      <c r="AB45" s="85" t="e">
        <f t="shared" si="11"/>
        <v>#DIV/0!</v>
      </c>
      <c r="AC45" s="43" t="e">
        <f t="shared" si="12"/>
        <v>#DIV/0!</v>
      </c>
      <c r="AD45" s="43" t="e">
        <f t="shared" si="13"/>
        <v>#DIV/0!</v>
      </c>
      <c r="AE45" s="43" t="e">
        <f t="shared" si="19"/>
        <v>#DIV/0!</v>
      </c>
      <c r="AF45" s="42" t="e">
        <f t="shared" si="20"/>
        <v>#DIV/0!</v>
      </c>
      <c r="AG45" s="43">
        <f>X45*E45</f>
        <v>31</v>
      </c>
      <c r="AH45" s="18"/>
      <c r="AI45" s="46">
        <v>0</v>
      </c>
      <c r="AJ45" s="18"/>
      <c r="AK45" s="43"/>
      <c r="AL45" s="43"/>
      <c r="AM45" s="43"/>
      <c r="AN45" s="43"/>
      <c r="AO45" s="18"/>
      <c r="AP45" s="18"/>
      <c r="AQ45" s="18"/>
      <c r="AR45" s="18"/>
      <c r="AS45" s="18"/>
      <c r="AT45" s="18"/>
      <c r="AU45" s="18"/>
      <c r="AV45" s="18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1:58" x14ac:dyDescent="0.2">
      <c r="A46" s="87"/>
      <c r="B46" s="20" t="s">
        <v>222</v>
      </c>
      <c r="C46" s="18" t="s">
        <v>223</v>
      </c>
      <c r="D46" s="77" t="s">
        <v>224</v>
      </c>
      <c r="E46" s="104">
        <v>0.997</v>
      </c>
      <c r="F46" s="77" t="s">
        <v>218</v>
      </c>
      <c r="G46" s="18"/>
      <c r="H46" s="34">
        <f>IF(F46="LEVEL", 1, VLOOKUP(F46,ActivityStats!$C$4:$D$12,2,FALSE()))</f>
        <v>0.13357766860620099</v>
      </c>
      <c r="I46" s="40">
        <f>24*60</f>
        <v>1440</v>
      </c>
      <c r="J46" s="40">
        <f t="shared" si="1"/>
        <v>192.35184279292943</v>
      </c>
      <c r="K46" s="37">
        <f t="shared" si="2"/>
        <v>0.13357766860620099</v>
      </c>
      <c r="L46" s="79" t="b">
        <f t="shared" si="3"/>
        <v>1</v>
      </c>
      <c r="M46" s="37">
        <f>IF(L46 = FALSE(),1,ActivityStats!$D$12)</f>
        <v>0.47775902852124003</v>
      </c>
      <c r="N46" s="80">
        <f t="shared" si="4"/>
        <v>687.97300107058561</v>
      </c>
      <c r="O46" s="37">
        <f t="shared" si="5"/>
        <v>0.27959213878103079</v>
      </c>
      <c r="P46" s="105">
        <v>0</v>
      </c>
      <c r="Q46" s="105">
        <v>9.26</v>
      </c>
      <c r="R46" s="101" t="b">
        <f t="shared" si="6"/>
        <v>1</v>
      </c>
      <c r="S46" s="18">
        <f>[1]WaterUsage!E5</f>
        <v>0</v>
      </c>
      <c r="T46" s="100">
        <f>S46/Q46</f>
        <v>0</v>
      </c>
      <c r="U46" s="18">
        <v>0</v>
      </c>
      <c r="V46" s="105">
        <v>0</v>
      </c>
      <c r="W46" s="18">
        <f>V46*I46</f>
        <v>0</v>
      </c>
      <c r="X46" s="43">
        <f>0.6*[1]ActivityStats!C19*[1]WaterUsage!E5</f>
        <v>0</v>
      </c>
      <c r="Y46" s="43">
        <f t="shared" si="9"/>
        <v>0</v>
      </c>
      <c r="Z46" s="102" t="e">
        <f>Y46/((Q46-V46)*T46)</f>
        <v>#DIV/0!</v>
      </c>
      <c r="AA46" s="85" t="e">
        <f t="shared" si="10"/>
        <v>#DIV/0!</v>
      </c>
      <c r="AB46" s="85" t="e">
        <f t="shared" si="11"/>
        <v>#DIV/0!</v>
      </c>
      <c r="AC46" s="43" t="e">
        <f t="shared" si="12"/>
        <v>#DIV/0!</v>
      </c>
      <c r="AD46" s="43" t="e">
        <f t="shared" si="13"/>
        <v>#DIV/0!</v>
      </c>
      <c r="AE46" s="43" t="e">
        <f t="shared" si="19"/>
        <v>#DIV/0!</v>
      </c>
      <c r="AF46" s="42" t="e">
        <f t="shared" si="20"/>
        <v>#DIV/0!</v>
      </c>
      <c r="AG46" s="43">
        <f>X46*E46</f>
        <v>0</v>
      </c>
      <c r="AH46" s="18"/>
      <c r="AI46" s="46">
        <v>0</v>
      </c>
      <c r="AJ46" s="18"/>
      <c r="AK46" s="43"/>
      <c r="AL46" s="43"/>
      <c r="AM46" s="43"/>
      <c r="AN46" s="43"/>
      <c r="AO46" s="18"/>
      <c r="AP46" s="18"/>
      <c r="AQ46" s="18"/>
      <c r="AR46" s="18"/>
      <c r="AS46" s="18"/>
      <c r="AT46" s="18"/>
      <c r="AU46" s="18"/>
      <c r="AV46" s="18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1:58" x14ac:dyDescent="0.2">
      <c r="A47" s="26"/>
      <c r="B47" s="27" t="s">
        <v>225</v>
      </c>
      <c r="C47" s="28" t="s">
        <v>226</v>
      </c>
      <c r="D47" s="77" t="s">
        <v>227</v>
      </c>
      <c r="E47" s="106">
        <v>0.91600000000000004</v>
      </c>
      <c r="F47" s="77" t="s">
        <v>218</v>
      </c>
      <c r="G47" s="28"/>
      <c r="H47" s="34">
        <f>IF(F47="LEVEL", 1, VLOOKUP(F47,ActivityStats!$C$4:$D$12,2,FALSE()))</f>
        <v>0.13357766860620099</v>
      </c>
      <c r="I47" s="107">
        <f>24*60</f>
        <v>1440</v>
      </c>
      <c r="J47" s="107">
        <f t="shared" si="1"/>
        <v>192.35184279292943</v>
      </c>
      <c r="K47" s="108">
        <f t="shared" si="2"/>
        <v>0.13357766860620099</v>
      </c>
      <c r="L47" s="79" t="b">
        <f t="shared" si="3"/>
        <v>1</v>
      </c>
      <c r="M47" s="37">
        <f>IF(L47 = FALSE(),1,ActivityStats!$D$12)</f>
        <v>0.47775902852124003</v>
      </c>
      <c r="N47" s="109">
        <f t="shared" si="4"/>
        <v>687.97300107058561</v>
      </c>
      <c r="O47" s="108">
        <f t="shared" si="5"/>
        <v>0.27959213878103079</v>
      </c>
      <c r="P47" s="110">
        <v>0</v>
      </c>
      <c r="Q47" s="110">
        <v>9.26</v>
      </c>
      <c r="R47" s="101" t="b">
        <f t="shared" si="6"/>
        <v>1</v>
      </c>
      <c r="S47" s="28">
        <f>[1]WaterUsage!F5</f>
        <v>0</v>
      </c>
      <c r="T47" s="100">
        <f>S47/Q47</f>
        <v>0</v>
      </c>
      <c r="U47" s="28">
        <v>20</v>
      </c>
      <c r="V47" s="110">
        <v>0</v>
      </c>
      <c r="W47" s="28">
        <f>V47*I47</f>
        <v>0</v>
      </c>
      <c r="X47" s="111">
        <v>38</v>
      </c>
      <c r="Y47" s="111">
        <f t="shared" si="9"/>
        <v>38</v>
      </c>
      <c r="Z47" s="102" t="e">
        <f>Y47/((Q47-V47)*T47)</f>
        <v>#DIV/0!</v>
      </c>
      <c r="AA47" s="112" t="e">
        <f t="shared" si="10"/>
        <v>#DIV/0!</v>
      </c>
      <c r="AB47" s="112" t="e">
        <f t="shared" si="11"/>
        <v>#DIV/0!</v>
      </c>
      <c r="AC47" s="111" t="e">
        <f t="shared" si="12"/>
        <v>#DIV/0!</v>
      </c>
      <c r="AD47" s="111" t="e">
        <f t="shared" si="13"/>
        <v>#DIV/0!</v>
      </c>
      <c r="AE47" s="111" t="e">
        <f t="shared" si="19"/>
        <v>#DIV/0!</v>
      </c>
      <c r="AF47" s="113" t="e">
        <f t="shared" si="20"/>
        <v>#DIV/0!</v>
      </c>
      <c r="AG47" s="111">
        <f>X47*E47</f>
        <v>34.808</v>
      </c>
      <c r="AH47" s="28"/>
      <c r="AI47" s="50">
        <v>0</v>
      </c>
      <c r="AJ47" s="18"/>
      <c r="AK47" s="43"/>
      <c r="AL47" s="43"/>
      <c r="AM47" s="43"/>
      <c r="AN47" s="43"/>
      <c r="AO47" s="18"/>
      <c r="AP47" s="18"/>
      <c r="AQ47" s="18"/>
      <c r="AR47" s="18"/>
      <c r="AS47" s="18"/>
      <c r="AT47" s="18"/>
      <c r="AU47" s="18"/>
      <c r="AV47" s="18"/>
      <c r="AW47" s="2"/>
      <c r="AX47" s="2"/>
      <c r="AY47" s="2"/>
      <c r="AZ47" s="2"/>
      <c r="BA47" s="2"/>
      <c r="BB47" s="2"/>
      <c r="BC47" s="2"/>
      <c r="BD47" s="2"/>
      <c r="BE47" s="2"/>
      <c r="BF47" s="2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zoomScale="120" zoomScaleNormal="120" workbookViewId="0">
      <selection activeCell="C19" sqref="C19"/>
    </sheetView>
  </sheetViews>
  <sheetFormatPr defaultColWidth="11.5703125" defaultRowHeight="12.75" x14ac:dyDescent="0.2"/>
  <cols>
    <col min="1" max="1" width="2.140625" customWidth="1"/>
    <col min="3" max="3" width="18.140625" customWidth="1"/>
    <col min="4" max="4" width="17.42578125" customWidth="1"/>
  </cols>
  <sheetData>
    <row r="1" spans="1:4" ht="15.75" x14ac:dyDescent="0.25">
      <c r="A1" s="2"/>
      <c r="B1" s="1" t="s">
        <v>228</v>
      </c>
      <c r="C1" s="2"/>
      <c r="D1" s="2"/>
    </row>
    <row r="2" spans="1:4" ht="15.75" x14ac:dyDescent="0.25">
      <c r="A2" s="2"/>
      <c r="B2" s="1"/>
      <c r="C2" s="2"/>
      <c r="D2" s="2"/>
    </row>
    <row r="3" spans="1:4" ht="78.75" x14ac:dyDescent="0.2">
      <c r="A3" s="114"/>
      <c r="B3" s="115" t="s">
        <v>229</v>
      </c>
      <c r="C3" s="116" t="s">
        <v>230</v>
      </c>
      <c r="D3" s="117" t="s">
        <v>231</v>
      </c>
    </row>
    <row r="4" spans="1:4" ht="22.5" x14ac:dyDescent="0.2">
      <c r="A4" s="114"/>
      <c r="B4" s="118" t="s">
        <v>232</v>
      </c>
      <c r="C4" s="77" t="s">
        <v>169</v>
      </c>
      <c r="D4" s="119">
        <v>0.22854942117493601</v>
      </c>
    </row>
    <row r="5" spans="1:4" ht="33.75" x14ac:dyDescent="0.2">
      <c r="A5" s="114"/>
      <c r="B5" s="118" t="s">
        <v>233</v>
      </c>
      <c r="C5" s="77" t="s">
        <v>184</v>
      </c>
      <c r="D5" s="119">
        <v>6.06130677183567E-2</v>
      </c>
    </row>
    <row r="6" spans="1:4" x14ac:dyDescent="0.2">
      <c r="A6" s="114"/>
      <c r="B6" s="118" t="s">
        <v>234</v>
      </c>
      <c r="C6" s="77" t="s">
        <v>208</v>
      </c>
      <c r="D6" s="119">
        <v>1.40074682496996E-2</v>
      </c>
    </row>
    <row r="7" spans="1:4" ht="22.5" x14ac:dyDescent="0.2">
      <c r="A7" s="114"/>
      <c r="B7" s="118" t="s">
        <v>235</v>
      </c>
      <c r="C7" s="77" t="s">
        <v>218</v>
      </c>
      <c r="D7" s="119">
        <v>0.13357766860620099</v>
      </c>
    </row>
    <row r="8" spans="1:4" x14ac:dyDescent="0.2">
      <c r="A8" s="114"/>
      <c r="B8" s="118" t="s">
        <v>236</v>
      </c>
      <c r="C8" s="77" t="s">
        <v>146</v>
      </c>
      <c r="D8" s="119">
        <v>8.0929579327932693E-3</v>
      </c>
    </row>
    <row r="9" spans="1:4" ht="22.5" x14ac:dyDescent="0.2">
      <c r="A9" s="114"/>
      <c r="B9" s="118" t="s">
        <v>237</v>
      </c>
      <c r="C9" s="77" t="s">
        <v>150</v>
      </c>
      <c r="D9" s="119">
        <v>5.2950486618739599E-2</v>
      </c>
    </row>
    <row r="10" spans="1:4" ht="22.5" x14ac:dyDescent="0.2">
      <c r="A10" s="114"/>
      <c r="B10" s="118" t="s">
        <v>238</v>
      </c>
      <c r="C10" s="77" t="s">
        <v>154</v>
      </c>
      <c r="D10" s="119">
        <v>4.5650719455293802E-2</v>
      </c>
    </row>
    <row r="11" spans="1:4" ht="22.5" x14ac:dyDescent="0.2">
      <c r="A11" s="114"/>
      <c r="B11" s="118" t="s">
        <v>239</v>
      </c>
      <c r="C11" s="77" t="s">
        <v>204</v>
      </c>
      <c r="D11" s="119">
        <v>2.1676122395387899E-2</v>
      </c>
    </row>
    <row r="12" spans="1:4" ht="22.5" x14ac:dyDescent="0.2">
      <c r="A12" s="114"/>
      <c r="B12" s="120" t="s">
        <v>27</v>
      </c>
      <c r="C12" s="77" t="s">
        <v>142</v>
      </c>
      <c r="D12" s="119">
        <v>0.47775902852124003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29FCF"/>
  </sheetPr>
  <dimension ref="A1:S79"/>
  <sheetViews>
    <sheetView topLeftCell="A34" zoomScale="120" zoomScaleNormal="120" workbookViewId="0">
      <selection activeCell="H71" sqref="H71"/>
    </sheetView>
  </sheetViews>
  <sheetFormatPr defaultColWidth="11.5703125" defaultRowHeight="12.75" x14ac:dyDescent="0.2"/>
  <cols>
    <col min="3" max="3" width="26.5703125" customWidth="1"/>
    <col min="4" max="4" width="22.42578125" customWidth="1"/>
  </cols>
  <sheetData>
    <row r="1" spans="1:19" ht="15.75" x14ac:dyDescent="0.25">
      <c r="A1" s="121"/>
      <c r="B1" s="1" t="s">
        <v>240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</row>
    <row r="2" spans="1:19" x14ac:dyDescent="0.2">
      <c r="A2" s="121"/>
      <c r="B2" s="1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spans="1:19" x14ac:dyDescent="0.2">
      <c r="A3" s="121"/>
      <c r="B3" s="122" t="s">
        <v>241</v>
      </c>
      <c r="C3" s="121"/>
      <c r="D3" s="121"/>
      <c r="E3" s="121"/>
      <c r="F3" s="121" t="s">
        <v>242</v>
      </c>
      <c r="G3" s="121" t="s">
        <v>243</v>
      </c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</row>
    <row r="4" spans="1:19" x14ac:dyDescent="0.2">
      <c r="A4" s="121"/>
      <c r="B4" s="122"/>
      <c r="C4" s="121"/>
      <c r="D4" s="123" t="s">
        <v>244</v>
      </c>
      <c r="E4" s="124"/>
      <c r="F4" s="125">
        <v>60</v>
      </c>
      <c r="G4" s="125">
        <v>10</v>
      </c>
      <c r="H4" s="121" t="s">
        <v>245</v>
      </c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</row>
    <row r="5" spans="1:19" x14ac:dyDescent="0.2">
      <c r="A5" s="121"/>
      <c r="B5" s="122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</row>
    <row r="6" spans="1:19" x14ac:dyDescent="0.2">
      <c r="A6" s="121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</row>
    <row r="7" spans="1:19" x14ac:dyDescent="0.2">
      <c r="A7" s="121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2" t="s">
        <v>246</v>
      </c>
      <c r="S7" s="122" t="s">
        <v>247</v>
      </c>
    </row>
    <row r="8" spans="1:19" x14ac:dyDescent="0.2">
      <c r="A8" s="121"/>
      <c r="B8" s="122" t="s">
        <v>248</v>
      </c>
      <c r="C8" s="121"/>
      <c r="D8" s="121" t="s">
        <v>249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2"/>
      <c r="S8" s="122" t="s">
        <v>250</v>
      </c>
    </row>
    <row r="9" spans="1:19" x14ac:dyDescent="0.2">
      <c r="A9" s="121"/>
      <c r="B9" s="122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2"/>
      <c r="S9" s="122"/>
    </row>
    <row r="10" spans="1:19" x14ac:dyDescent="0.2">
      <c r="A10" s="121"/>
      <c r="B10" s="122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>
        <v>0.01</v>
      </c>
      <c r="S10" s="121">
        <v>4.60517018598809</v>
      </c>
    </row>
    <row r="11" spans="1:19" x14ac:dyDescent="0.2">
      <c r="A11" s="121"/>
      <c r="B11" s="122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>
        <v>0.05</v>
      </c>
      <c r="S11" s="121">
        <v>2.99573227355399</v>
      </c>
    </row>
    <row r="12" spans="1:19" x14ac:dyDescent="0.2">
      <c r="A12" s="121"/>
      <c r="B12" s="122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>
        <v>0.1</v>
      </c>
      <c r="S12" s="121">
        <v>2.3025850929940499</v>
      </c>
    </row>
    <row r="13" spans="1:19" x14ac:dyDescent="0.2">
      <c r="A13" s="121"/>
      <c r="B13" s="122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>
        <v>0.15</v>
      </c>
      <c r="S13" s="121">
        <v>1.89711998488588</v>
      </c>
    </row>
    <row r="14" spans="1:19" x14ac:dyDescent="0.2">
      <c r="A14" s="121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>
        <v>0.2</v>
      </c>
      <c r="S14" s="121">
        <v>1.6094379124341001</v>
      </c>
    </row>
    <row r="15" spans="1:19" x14ac:dyDescent="0.2">
      <c r="A15" s="121"/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>
        <v>0.25</v>
      </c>
      <c r="S15" s="121">
        <v>1.3862943611198899</v>
      </c>
    </row>
    <row r="16" spans="1:19" x14ac:dyDescent="0.2">
      <c r="A16" s="121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>
        <v>0.3</v>
      </c>
      <c r="S16" s="121">
        <v>1.2039728043259399</v>
      </c>
    </row>
    <row r="17" spans="1:19" x14ac:dyDescent="0.2">
      <c r="A17" s="121"/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>
        <v>0.35</v>
      </c>
      <c r="S17" s="121">
        <v>1.0498221244986801</v>
      </c>
    </row>
    <row r="18" spans="1:19" x14ac:dyDescent="0.2">
      <c r="A18" s="121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>
        <v>0.4</v>
      </c>
      <c r="S18" s="121">
        <v>0.916290731874155</v>
      </c>
    </row>
    <row r="19" spans="1:19" x14ac:dyDescent="0.2">
      <c r="A19" s="121"/>
      <c r="B19" s="121"/>
      <c r="C19" s="121"/>
      <c r="D19" s="121" t="s">
        <v>251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>
        <v>0.45</v>
      </c>
      <c r="S19" s="121">
        <v>0.79850769621777196</v>
      </c>
    </row>
    <row r="20" spans="1:19" x14ac:dyDescent="0.2">
      <c r="A20" s="121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>
        <v>0.5</v>
      </c>
      <c r="S20" s="121">
        <v>0.69314718055994495</v>
      </c>
    </row>
    <row r="21" spans="1:19" x14ac:dyDescent="0.2">
      <c r="A21" s="121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>
        <v>0.55000000000000004</v>
      </c>
      <c r="S21" s="121">
        <v>0.59783700075561996</v>
      </c>
    </row>
    <row r="22" spans="1:19" x14ac:dyDescent="0.2">
      <c r="A22" s="121"/>
      <c r="B22" s="122" t="s">
        <v>252</v>
      </c>
      <c r="C22" s="121"/>
      <c r="D22" s="121" t="s">
        <v>253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>
        <v>0.6</v>
      </c>
      <c r="S22" s="121">
        <v>0.51082562376599105</v>
      </c>
    </row>
    <row r="23" spans="1:19" x14ac:dyDescent="0.2">
      <c r="A23" s="121"/>
      <c r="B23" s="121"/>
      <c r="C23" s="121"/>
      <c r="D23" s="121"/>
      <c r="E23" s="122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>
        <v>0.65</v>
      </c>
      <c r="S23" s="121">
        <v>0.430782916092454</v>
      </c>
    </row>
    <row r="24" spans="1:19" x14ac:dyDescent="0.2">
      <c r="A24" s="121"/>
      <c r="B24" s="121"/>
      <c r="C24" s="121"/>
      <c r="D24" s="122" t="s">
        <v>254</v>
      </c>
      <c r="E24" s="126" t="s">
        <v>255</v>
      </c>
      <c r="F24" s="125">
        <v>8.1536863966770508E-3</v>
      </c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>
        <v>0.7</v>
      </c>
      <c r="S24" s="121">
        <v>0.356674943938732</v>
      </c>
    </row>
    <row r="25" spans="1:19" x14ac:dyDescent="0.2">
      <c r="A25" s="121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>
        <v>0.75</v>
      </c>
      <c r="S25" s="121">
        <v>0.28768207245178101</v>
      </c>
    </row>
    <row r="26" spans="1:19" x14ac:dyDescent="0.2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>
        <v>0.8</v>
      </c>
      <c r="S26" s="121">
        <v>0.22314355131420999</v>
      </c>
    </row>
    <row r="27" spans="1:19" x14ac:dyDescent="0.2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>
        <v>0.85</v>
      </c>
      <c r="S27" s="121">
        <v>0.16251892949777499</v>
      </c>
    </row>
    <row r="28" spans="1:19" x14ac:dyDescent="0.2">
      <c r="A28" s="121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>
        <v>0.9</v>
      </c>
      <c r="S28" s="121">
        <v>0.105360515657826</v>
      </c>
    </row>
    <row r="29" spans="1:19" x14ac:dyDescent="0.2">
      <c r="A29" s="121"/>
      <c r="B29" s="122" t="s">
        <v>256</v>
      </c>
      <c r="C29" s="121"/>
      <c r="D29" s="121" t="s">
        <v>257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>
        <v>0.95</v>
      </c>
      <c r="S29" s="121">
        <v>5.1293294387550599E-2</v>
      </c>
    </row>
    <row r="30" spans="1:19" x14ac:dyDescent="0.2">
      <c r="A30" s="121"/>
      <c r="B30" s="122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>
        <v>1</v>
      </c>
      <c r="S30" s="121">
        <v>0</v>
      </c>
    </row>
    <row r="31" spans="1:19" x14ac:dyDescent="0.2">
      <c r="A31" s="121"/>
      <c r="B31" s="122"/>
      <c r="C31" s="121"/>
      <c r="D31" s="121" t="s">
        <v>258</v>
      </c>
      <c r="E31" s="121" t="s">
        <v>259</v>
      </c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</row>
    <row r="32" spans="1:19" x14ac:dyDescent="0.2">
      <c r="A32" s="121"/>
      <c r="B32" s="122"/>
      <c r="C32" s="121"/>
      <c r="D32" s="121"/>
      <c r="E32" s="121" t="s">
        <v>260</v>
      </c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</row>
    <row r="33" spans="1:19" x14ac:dyDescent="0.2">
      <c r="A33" s="121"/>
      <c r="B33" s="122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</row>
    <row r="34" spans="1:19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</row>
    <row r="35" spans="1:19" x14ac:dyDescent="0.2">
      <c r="A35" s="121"/>
      <c r="B35" s="121"/>
      <c r="C35" s="121"/>
      <c r="D35" s="127" t="s">
        <v>261</v>
      </c>
      <c r="E35" s="127" t="s">
        <v>262</v>
      </c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</row>
    <row r="36" spans="1:19" x14ac:dyDescent="0.2">
      <c r="A36" s="121"/>
      <c r="B36" s="121"/>
      <c r="C36" s="121"/>
      <c r="D36" s="128" t="s">
        <v>263</v>
      </c>
      <c r="E36" s="128" t="s">
        <v>90</v>
      </c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</row>
    <row r="37" spans="1:19" x14ac:dyDescent="0.2">
      <c r="A37" s="121"/>
      <c r="B37" s="121"/>
      <c r="C37" s="121"/>
      <c r="D37" s="129">
        <v>0</v>
      </c>
      <c r="E37" s="130">
        <v>0</v>
      </c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</row>
    <row r="38" spans="1:19" x14ac:dyDescent="0.2">
      <c r="A38" s="121"/>
      <c r="B38" s="121"/>
      <c r="C38" s="121"/>
      <c r="D38" s="126">
        <v>1</v>
      </c>
      <c r="E38" s="130">
        <v>1</v>
      </c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</row>
    <row r="39" spans="1:19" x14ac:dyDescent="0.2">
      <c r="A39" s="121"/>
      <c r="B39" s="121"/>
      <c r="C39" s="121"/>
      <c r="D39" s="126">
        <v>2</v>
      </c>
      <c r="E39" s="130">
        <v>1.5281456953642401</v>
      </c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</row>
    <row r="40" spans="1:19" x14ac:dyDescent="0.2">
      <c r="A40" s="121"/>
      <c r="B40" s="121"/>
      <c r="C40" s="121"/>
      <c r="D40" s="126">
        <v>3</v>
      </c>
      <c r="E40" s="130">
        <v>1.6937086092715199</v>
      </c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</row>
    <row r="41" spans="1:19" x14ac:dyDescent="0.2">
      <c r="A41" s="121"/>
      <c r="B41" s="121"/>
      <c r="C41" s="121"/>
      <c r="D41" s="126">
        <v>4</v>
      </c>
      <c r="E41" s="130">
        <v>1.98344370860927</v>
      </c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</row>
    <row r="42" spans="1:19" x14ac:dyDescent="0.2">
      <c r="A42" s="121"/>
      <c r="B42" s="121"/>
      <c r="C42" s="121"/>
      <c r="D42" s="126">
        <v>5</v>
      </c>
      <c r="E42" s="130">
        <v>2.0943708609271501</v>
      </c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</row>
    <row r="43" spans="1:19" x14ac:dyDescent="0.2">
      <c r="A43" s="121"/>
      <c r="B43" s="121"/>
      <c r="C43" s="77"/>
      <c r="D43" s="13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</row>
    <row r="44" spans="1:19" x14ac:dyDescent="0.2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</row>
    <row r="45" spans="1:19" x14ac:dyDescent="0.2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</row>
    <row r="46" spans="1:19" x14ac:dyDescent="0.2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</row>
    <row r="47" spans="1:19" x14ac:dyDescent="0.2">
      <c r="A47" s="121"/>
      <c r="B47" s="122" t="s">
        <v>264</v>
      </c>
      <c r="C47" s="121"/>
      <c r="D47" s="121" t="s">
        <v>265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</row>
    <row r="48" spans="1:19" x14ac:dyDescent="0.2">
      <c r="A48" s="121"/>
      <c r="B48" s="122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</row>
    <row r="49" spans="1:19" x14ac:dyDescent="0.2">
      <c r="A49" s="121"/>
      <c r="B49" s="122"/>
      <c r="C49" s="121"/>
      <c r="D49" s="121" t="s">
        <v>266</v>
      </c>
      <c r="E49" s="121" t="s">
        <v>267</v>
      </c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</row>
    <row r="50" spans="1:19" x14ac:dyDescent="0.2">
      <c r="A50" s="121"/>
      <c r="B50" s="122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</row>
    <row r="51" spans="1:19" x14ac:dyDescent="0.2">
      <c r="A51" s="121"/>
      <c r="B51" s="122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</row>
    <row r="52" spans="1:19" x14ac:dyDescent="0.2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</row>
    <row r="53" spans="1:19" x14ac:dyDescent="0.2">
      <c r="A53" s="121"/>
      <c r="B53" s="127" t="s">
        <v>268</v>
      </c>
      <c r="C53" s="127" t="s">
        <v>269</v>
      </c>
      <c r="D53" s="127" t="s">
        <v>270</v>
      </c>
      <c r="E53" s="127" t="s">
        <v>271</v>
      </c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</row>
    <row r="54" spans="1:19" x14ac:dyDescent="0.2">
      <c r="A54" s="121"/>
      <c r="B54" s="128" t="s">
        <v>272</v>
      </c>
      <c r="C54" s="128" t="s">
        <v>273</v>
      </c>
      <c r="D54" s="128" t="s">
        <v>273</v>
      </c>
      <c r="E54" s="128" t="s">
        <v>72</v>
      </c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</row>
    <row r="55" spans="1:19" x14ac:dyDescent="0.2">
      <c r="A55" s="121"/>
      <c r="B55" s="126">
        <v>1</v>
      </c>
      <c r="C55" s="125">
        <v>1</v>
      </c>
      <c r="D55" s="125">
        <v>1</v>
      </c>
      <c r="E55" s="126">
        <v>0.11111111111111099</v>
      </c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</row>
    <row r="56" spans="1:19" x14ac:dyDescent="0.2">
      <c r="A56" s="121"/>
      <c r="B56" s="126">
        <v>2</v>
      </c>
      <c r="C56" s="125">
        <v>2</v>
      </c>
      <c r="D56" s="125">
        <v>2</v>
      </c>
      <c r="E56" s="126">
        <v>0.22222222222222199</v>
      </c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</row>
    <row r="57" spans="1:19" x14ac:dyDescent="0.2">
      <c r="A57" s="121"/>
      <c r="B57" s="126">
        <v>3</v>
      </c>
      <c r="C57" s="125">
        <v>3</v>
      </c>
      <c r="D57" s="125">
        <v>4</v>
      </c>
      <c r="E57" s="126">
        <v>0.33333333333333298</v>
      </c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</row>
    <row r="58" spans="1:19" x14ac:dyDescent="0.2">
      <c r="A58" s="121"/>
      <c r="B58" s="126">
        <v>4</v>
      </c>
      <c r="C58" s="125">
        <v>5</v>
      </c>
      <c r="D58" s="125">
        <v>8</v>
      </c>
      <c r="E58" s="126">
        <v>0.44444444444444398</v>
      </c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</row>
    <row r="59" spans="1:19" x14ac:dyDescent="0.2">
      <c r="A59" s="121"/>
      <c r="B59" s="126">
        <v>5</v>
      </c>
      <c r="C59" s="125">
        <v>9</v>
      </c>
      <c r="D59" s="125">
        <v>16</v>
      </c>
      <c r="E59" s="126">
        <v>0.55555555555555602</v>
      </c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</row>
    <row r="60" spans="1:19" x14ac:dyDescent="0.2">
      <c r="A60" s="121"/>
      <c r="B60" s="126">
        <v>6</v>
      </c>
      <c r="C60" s="125">
        <v>17</v>
      </c>
      <c r="D60" s="125">
        <v>27</v>
      </c>
      <c r="E60" s="126">
        <v>0.66666666666666696</v>
      </c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</row>
    <row r="61" spans="1:19" x14ac:dyDescent="0.2">
      <c r="A61" s="121"/>
      <c r="B61" s="126">
        <v>7</v>
      </c>
      <c r="C61" s="125">
        <v>28</v>
      </c>
      <c r="D61" s="125">
        <v>49</v>
      </c>
      <c r="E61" s="126">
        <v>0.77777777777777801</v>
      </c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</row>
    <row r="62" spans="1:19" x14ac:dyDescent="0.2">
      <c r="A62" s="121"/>
      <c r="B62" s="126">
        <v>8</v>
      </c>
      <c r="C62" s="125">
        <v>50</v>
      </c>
      <c r="D62" s="125">
        <v>91</v>
      </c>
      <c r="E62" s="126">
        <v>0.88888888888888895</v>
      </c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</row>
    <row r="63" spans="1:19" x14ac:dyDescent="0.2">
      <c r="A63" s="121"/>
      <c r="B63" s="126">
        <v>9</v>
      </c>
      <c r="C63" s="125">
        <v>92</v>
      </c>
      <c r="D63" s="125">
        <v>259</v>
      </c>
      <c r="E63" s="126">
        <v>1</v>
      </c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</row>
    <row r="64" spans="1:19" x14ac:dyDescent="0.2">
      <c r="A64" s="121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</row>
    <row r="65" spans="1:19" x14ac:dyDescent="0.2">
      <c r="A65" s="121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</row>
    <row r="67" spans="1:19" x14ac:dyDescent="0.2">
      <c r="B67" s="122" t="s">
        <v>274</v>
      </c>
      <c r="D67" t="s">
        <v>275</v>
      </c>
    </row>
    <row r="68" spans="1:19" x14ac:dyDescent="0.2">
      <c r="G68" t="s">
        <v>276</v>
      </c>
    </row>
    <row r="70" spans="1:19" x14ac:dyDescent="0.2">
      <c r="C70" t="s">
        <v>277</v>
      </c>
      <c r="D70">
        <v>25.11</v>
      </c>
    </row>
    <row r="71" spans="1:19" x14ac:dyDescent="0.2">
      <c r="C71" t="s">
        <v>278</v>
      </c>
      <c r="D71" s="132">
        <v>15.92</v>
      </c>
    </row>
    <row r="74" spans="1:19" x14ac:dyDescent="0.2">
      <c r="B74" s="122" t="s">
        <v>279</v>
      </c>
      <c r="D74" t="s">
        <v>280</v>
      </c>
    </row>
    <row r="76" spans="1:19" x14ac:dyDescent="0.2">
      <c r="D76" t="s">
        <v>281</v>
      </c>
      <c r="E76" t="s">
        <v>282</v>
      </c>
    </row>
    <row r="77" spans="1:19" x14ac:dyDescent="0.2">
      <c r="C77" t="s">
        <v>283</v>
      </c>
      <c r="D77">
        <v>0.65</v>
      </c>
      <c r="E77">
        <v>7</v>
      </c>
    </row>
    <row r="78" spans="1:19" x14ac:dyDescent="0.2">
      <c r="C78" t="s">
        <v>284</v>
      </c>
      <c r="D78" s="132">
        <v>0.25</v>
      </c>
      <c r="E78">
        <v>14</v>
      </c>
    </row>
    <row r="79" spans="1:19" x14ac:dyDescent="0.2">
      <c r="C79" t="s">
        <v>285</v>
      </c>
      <c r="D79">
        <v>0.1</v>
      </c>
      <c r="E79">
        <v>60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E480A"/>
  </sheetPr>
  <dimension ref="A1:AMJ11"/>
  <sheetViews>
    <sheetView zoomScale="120" zoomScaleNormal="120" workbookViewId="0">
      <selection activeCell="D16" sqref="D16"/>
    </sheetView>
  </sheetViews>
  <sheetFormatPr defaultColWidth="11.5703125" defaultRowHeight="12.75" x14ac:dyDescent="0.2"/>
  <sheetData>
    <row r="1" spans="1:1024" ht="15.75" x14ac:dyDescent="0.25">
      <c r="A1" s="133" t="s">
        <v>286</v>
      </c>
      <c r="B1" s="133"/>
      <c r="E1" s="134" t="s">
        <v>287</v>
      </c>
      <c r="M1" s="135"/>
      <c r="N1" s="135"/>
    </row>
    <row r="2" spans="1:1024" ht="76.5" x14ac:dyDescent="0.2">
      <c r="A2" s="136" t="s">
        <v>288</v>
      </c>
      <c r="B2" s="136" t="s">
        <v>289</v>
      </c>
      <c r="C2" s="136" t="s">
        <v>290</v>
      </c>
      <c r="D2" s="136" t="s">
        <v>291</v>
      </c>
      <c r="E2" s="136" t="s">
        <v>292</v>
      </c>
      <c r="F2" s="136" t="s">
        <v>293</v>
      </c>
      <c r="G2" s="136" t="s">
        <v>294</v>
      </c>
      <c r="H2" s="136" t="s">
        <v>295</v>
      </c>
      <c r="I2" s="136" t="s">
        <v>296</v>
      </c>
      <c r="J2" s="136" t="s">
        <v>297</v>
      </c>
      <c r="K2" s="136" t="s">
        <v>298</v>
      </c>
      <c r="L2" s="136" t="s">
        <v>299</v>
      </c>
      <c r="M2" s="137" t="s">
        <v>300</v>
      </c>
      <c r="N2" s="137" t="s">
        <v>301</v>
      </c>
      <c r="O2" s="136" t="s">
        <v>302</v>
      </c>
      <c r="P2" s="136" t="s">
        <v>303</v>
      </c>
    </row>
    <row r="3" spans="1:1024" ht="15.75" x14ac:dyDescent="0.3">
      <c r="A3" s="138"/>
      <c r="B3" s="138"/>
      <c r="C3" s="138"/>
      <c r="D3" s="138" t="s">
        <v>304</v>
      </c>
      <c r="E3" s="138"/>
      <c r="F3" s="139" t="s">
        <v>305</v>
      </c>
      <c r="G3" s="139"/>
      <c r="H3" s="139"/>
      <c r="I3" s="139" t="s">
        <v>306</v>
      </c>
      <c r="J3" s="139" t="s">
        <v>307</v>
      </c>
      <c r="K3" s="139" t="s">
        <v>308</v>
      </c>
      <c r="L3" s="139" t="s">
        <v>309</v>
      </c>
      <c r="M3" s="139" t="s">
        <v>310</v>
      </c>
      <c r="N3" s="139" t="s">
        <v>311</v>
      </c>
      <c r="O3" s="139" t="s">
        <v>306</v>
      </c>
      <c r="P3" s="139" t="s">
        <v>307</v>
      </c>
    </row>
    <row r="4" spans="1:1024" ht="14.25" x14ac:dyDescent="0.2">
      <c r="A4" s="140"/>
      <c r="B4" s="140"/>
      <c r="C4" s="140"/>
      <c r="D4" s="140"/>
      <c r="E4" s="141"/>
      <c r="F4" s="140" t="s">
        <v>312</v>
      </c>
      <c r="G4" s="140" t="s">
        <v>313</v>
      </c>
      <c r="H4" s="140" t="s">
        <v>314</v>
      </c>
      <c r="I4" s="140" t="s">
        <v>315</v>
      </c>
      <c r="J4" s="140" t="s">
        <v>314</v>
      </c>
      <c r="K4" s="140" t="s">
        <v>314</v>
      </c>
      <c r="L4" s="140" t="s">
        <v>314</v>
      </c>
      <c r="M4" s="140" t="s">
        <v>316</v>
      </c>
      <c r="N4" s="140" t="s">
        <v>317</v>
      </c>
      <c r="O4" s="140" t="s">
        <v>315</v>
      </c>
      <c r="P4" s="140" t="s">
        <v>314</v>
      </c>
    </row>
    <row r="5" spans="1:1024" s="144" customFormat="1" x14ac:dyDescent="0.2">
      <c r="A5" s="142"/>
      <c r="B5" s="143" t="s">
        <v>114</v>
      </c>
      <c r="C5" s="142" t="s">
        <v>112</v>
      </c>
      <c r="D5" s="142" t="s">
        <v>318</v>
      </c>
      <c r="E5" s="143" t="s">
        <v>319</v>
      </c>
      <c r="F5" s="143" t="s">
        <v>320</v>
      </c>
      <c r="G5" s="142"/>
      <c r="H5" s="143" t="s">
        <v>321</v>
      </c>
      <c r="I5" s="142"/>
      <c r="J5" s="143" t="s">
        <v>322</v>
      </c>
      <c r="K5" s="143" t="s">
        <v>323</v>
      </c>
      <c r="L5" s="143" t="s">
        <v>324</v>
      </c>
      <c r="M5" s="143" t="s">
        <v>325</v>
      </c>
      <c r="N5" s="143" t="s">
        <v>326</v>
      </c>
      <c r="O5" s="142"/>
      <c r="P5" s="143" t="s">
        <v>327</v>
      </c>
      <c r="AMJ5"/>
    </row>
    <row r="6" spans="1:1024" x14ac:dyDescent="0.2">
      <c r="A6">
        <v>1</v>
      </c>
      <c r="B6" s="145">
        <v>0.5</v>
      </c>
      <c r="C6" s="75" t="s">
        <v>328</v>
      </c>
      <c r="D6" s="146" t="b">
        <f>FALSE()</f>
        <v>0</v>
      </c>
      <c r="E6" s="75" t="s">
        <v>329</v>
      </c>
      <c r="F6">
        <v>2.61</v>
      </c>
      <c r="G6">
        <v>40</v>
      </c>
      <c r="H6">
        <f t="shared" ref="H6:H11" si="0">F6/3600*G6*10^6</f>
        <v>28999.999999999996</v>
      </c>
      <c r="I6" s="147">
        <v>0.75</v>
      </c>
      <c r="J6">
        <f t="shared" ref="J6:J11" si="1">H6*I6</f>
        <v>21749.999999999996</v>
      </c>
      <c r="K6">
        <v>10</v>
      </c>
      <c r="L6">
        <v>20</v>
      </c>
      <c r="M6" s="138">
        <v>125</v>
      </c>
      <c r="N6" s="148">
        <v>1.5</v>
      </c>
      <c r="O6" s="147">
        <v>0.75</v>
      </c>
      <c r="P6">
        <f t="shared" ref="P6:P11" si="2">H6*O6</f>
        <v>21749.999999999996</v>
      </c>
    </row>
    <row r="7" spans="1:1024" x14ac:dyDescent="0.2">
      <c r="A7">
        <v>2</v>
      </c>
      <c r="B7" s="145">
        <v>0</v>
      </c>
      <c r="C7" s="75" t="s">
        <v>330</v>
      </c>
      <c r="D7" s="146" t="b">
        <f>TRUE()</f>
        <v>1</v>
      </c>
      <c r="E7" s="75" t="s">
        <v>329</v>
      </c>
      <c r="F7">
        <v>2.61</v>
      </c>
      <c r="G7">
        <v>40</v>
      </c>
      <c r="H7">
        <f t="shared" si="0"/>
        <v>28999.999999999996</v>
      </c>
      <c r="I7" s="147">
        <v>0.75</v>
      </c>
      <c r="J7">
        <f t="shared" si="1"/>
        <v>21749.999999999996</v>
      </c>
      <c r="K7">
        <v>10</v>
      </c>
      <c r="L7">
        <v>20</v>
      </c>
      <c r="M7" s="138">
        <v>5</v>
      </c>
      <c r="N7" s="148">
        <v>0.5</v>
      </c>
      <c r="O7" s="147">
        <v>0.75</v>
      </c>
      <c r="P7">
        <f t="shared" si="2"/>
        <v>21749.999999999996</v>
      </c>
    </row>
    <row r="8" spans="1:1024" x14ac:dyDescent="0.2">
      <c r="A8">
        <v>3</v>
      </c>
      <c r="B8" s="145">
        <v>0</v>
      </c>
      <c r="C8" s="75" t="s">
        <v>331</v>
      </c>
      <c r="D8" s="146" t="b">
        <f>FALSE()</f>
        <v>0</v>
      </c>
      <c r="E8" s="75" t="s">
        <v>329</v>
      </c>
      <c r="F8">
        <v>1.64</v>
      </c>
      <c r="G8">
        <v>40</v>
      </c>
      <c r="H8">
        <f t="shared" si="0"/>
        <v>18222.222222222219</v>
      </c>
      <c r="I8" s="147">
        <v>0.75</v>
      </c>
      <c r="J8">
        <f t="shared" si="1"/>
        <v>13666.666666666664</v>
      </c>
      <c r="K8">
        <v>10</v>
      </c>
      <c r="L8">
        <v>20</v>
      </c>
      <c r="M8" s="138">
        <v>125</v>
      </c>
      <c r="N8" s="148">
        <v>1.5</v>
      </c>
      <c r="O8" s="147">
        <v>0.75</v>
      </c>
      <c r="P8">
        <f t="shared" si="2"/>
        <v>13666.666666666664</v>
      </c>
    </row>
    <row r="9" spans="1:1024" x14ac:dyDescent="0.2">
      <c r="A9">
        <v>4</v>
      </c>
      <c r="B9" s="145">
        <v>0</v>
      </c>
      <c r="C9" s="75" t="s">
        <v>332</v>
      </c>
      <c r="D9" s="146" t="b">
        <f>FALSE()</f>
        <v>0</v>
      </c>
      <c r="E9" s="75" t="s">
        <v>333</v>
      </c>
      <c r="F9" s="149">
        <v>0</v>
      </c>
      <c r="G9" s="149">
        <v>3.6</v>
      </c>
      <c r="H9">
        <f t="shared" si="0"/>
        <v>0</v>
      </c>
      <c r="I9" s="147">
        <v>0</v>
      </c>
      <c r="J9">
        <f t="shared" si="1"/>
        <v>0</v>
      </c>
      <c r="K9" s="149">
        <v>0</v>
      </c>
      <c r="L9" s="149">
        <v>0</v>
      </c>
      <c r="M9" s="138">
        <v>5</v>
      </c>
      <c r="N9" s="148">
        <v>0.5</v>
      </c>
      <c r="O9" s="147">
        <v>0</v>
      </c>
      <c r="P9">
        <f t="shared" si="2"/>
        <v>0</v>
      </c>
    </row>
    <row r="10" spans="1:1024" x14ac:dyDescent="0.2">
      <c r="A10">
        <v>5</v>
      </c>
      <c r="B10" s="150">
        <v>0</v>
      </c>
      <c r="C10" s="75" t="s">
        <v>334</v>
      </c>
      <c r="D10" s="146" t="b">
        <f>FALSE()</f>
        <v>0</v>
      </c>
      <c r="E10" s="75" t="s">
        <v>333</v>
      </c>
      <c r="F10" s="149">
        <v>2</v>
      </c>
      <c r="G10" s="149">
        <v>3.6</v>
      </c>
      <c r="H10">
        <f t="shared" si="0"/>
        <v>2000</v>
      </c>
      <c r="I10">
        <v>1</v>
      </c>
      <c r="J10">
        <f t="shared" si="1"/>
        <v>2000</v>
      </c>
      <c r="K10" s="149">
        <v>0</v>
      </c>
      <c r="L10">
        <v>20</v>
      </c>
      <c r="M10" s="138">
        <v>50</v>
      </c>
      <c r="N10" s="148">
        <v>0.5</v>
      </c>
      <c r="O10">
        <v>1</v>
      </c>
      <c r="P10">
        <f t="shared" si="2"/>
        <v>2000</v>
      </c>
    </row>
    <row r="11" spans="1:1024" x14ac:dyDescent="0.2">
      <c r="A11">
        <v>6</v>
      </c>
      <c r="B11" s="150">
        <v>0.5</v>
      </c>
      <c r="C11" s="75" t="s">
        <v>335</v>
      </c>
      <c r="D11" s="146" t="b">
        <f>FALSE()</f>
        <v>0</v>
      </c>
      <c r="E11" s="75" t="s">
        <v>333</v>
      </c>
      <c r="F11" s="149">
        <v>1.5</v>
      </c>
      <c r="G11" s="149">
        <v>3.6</v>
      </c>
      <c r="H11">
        <f t="shared" si="0"/>
        <v>1500</v>
      </c>
      <c r="I11">
        <v>2.4</v>
      </c>
      <c r="J11">
        <f t="shared" si="1"/>
        <v>3600</v>
      </c>
      <c r="K11" s="149">
        <v>0</v>
      </c>
      <c r="L11">
        <v>20</v>
      </c>
      <c r="M11" s="138">
        <v>50</v>
      </c>
      <c r="N11" s="148">
        <v>0.5</v>
      </c>
      <c r="O11">
        <v>3.95</v>
      </c>
      <c r="P11">
        <f t="shared" si="2"/>
        <v>5925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E480A"/>
  </sheetPr>
  <dimension ref="A1:T13"/>
  <sheetViews>
    <sheetView zoomScale="120" zoomScaleNormal="120" workbookViewId="0">
      <selection activeCell="Q18" sqref="Q18"/>
    </sheetView>
  </sheetViews>
  <sheetFormatPr defaultColWidth="11.5703125" defaultRowHeight="12.75" x14ac:dyDescent="0.2"/>
  <cols>
    <col min="3" max="3" width="15.85546875" customWidth="1"/>
  </cols>
  <sheetData>
    <row r="1" spans="1:20" ht="15.75" x14ac:dyDescent="0.25">
      <c r="A1" s="133" t="s">
        <v>336</v>
      </c>
      <c r="B1" s="133"/>
      <c r="C1" s="133"/>
      <c r="E1" s="134" t="s">
        <v>337</v>
      </c>
    </row>
    <row r="2" spans="1:20" ht="204" x14ac:dyDescent="0.2">
      <c r="A2" s="136" t="s">
        <v>338</v>
      </c>
      <c r="B2" s="136" t="s">
        <v>339</v>
      </c>
      <c r="C2" s="136" t="s">
        <v>340</v>
      </c>
      <c r="D2" s="136" t="s">
        <v>341</v>
      </c>
      <c r="E2" s="136" t="s">
        <v>342</v>
      </c>
      <c r="F2" s="136" t="s">
        <v>343</v>
      </c>
      <c r="G2" s="136" t="s">
        <v>344</v>
      </c>
      <c r="H2" s="136" t="s">
        <v>345</v>
      </c>
      <c r="I2" s="136" t="s">
        <v>346</v>
      </c>
      <c r="J2" s="136" t="s">
        <v>347</v>
      </c>
      <c r="K2" s="136" t="s">
        <v>348</v>
      </c>
      <c r="L2" s="136" t="s">
        <v>349</v>
      </c>
      <c r="M2" s="136" t="s">
        <v>350</v>
      </c>
      <c r="N2" s="136" t="s">
        <v>351</v>
      </c>
      <c r="O2" s="136" t="s">
        <v>352</v>
      </c>
      <c r="P2" s="136" t="s">
        <v>353</v>
      </c>
      <c r="Q2" s="136" t="s">
        <v>354</v>
      </c>
      <c r="R2" s="136" t="s">
        <v>355</v>
      </c>
      <c r="S2" s="136" t="s">
        <v>356</v>
      </c>
      <c r="T2" s="136" t="s">
        <v>357</v>
      </c>
    </row>
    <row r="3" spans="1:20" ht="15.75" x14ac:dyDescent="0.3">
      <c r="A3" s="151"/>
      <c r="B3" s="151"/>
      <c r="C3" s="151"/>
      <c r="D3" s="152" t="s">
        <v>358</v>
      </c>
      <c r="E3" s="152" t="s">
        <v>359</v>
      </c>
      <c r="F3" s="152" t="s">
        <v>360</v>
      </c>
      <c r="G3" s="152" t="s">
        <v>361</v>
      </c>
      <c r="H3" s="152" t="s">
        <v>362</v>
      </c>
      <c r="I3" s="152" t="s">
        <v>363</v>
      </c>
      <c r="J3" s="152" t="s">
        <v>364</v>
      </c>
      <c r="K3" s="152" t="s">
        <v>365</v>
      </c>
      <c r="L3" s="152" t="s">
        <v>366</v>
      </c>
      <c r="M3" s="139" t="s">
        <v>367</v>
      </c>
      <c r="N3" s="152" t="s">
        <v>368</v>
      </c>
      <c r="O3" s="152" t="s">
        <v>369</v>
      </c>
      <c r="P3" s="152" t="s">
        <v>370</v>
      </c>
      <c r="Q3" s="152" t="s">
        <v>371</v>
      </c>
      <c r="R3" s="151"/>
      <c r="S3" s="152" t="s">
        <v>369</v>
      </c>
      <c r="T3" s="151"/>
    </row>
    <row r="4" spans="1:20" ht="14.25" x14ac:dyDescent="0.2">
      <c r="A4" s="153"/>
      <c r="B4" s="153"/>
      <c r="C4" s="153"/>
      <c r="D4" s="153" t="s">
        <v>372</v>
      </c>
      <c r="E4" s="153" t="s">
        <v>372</v>
      </c>
      <c r="F4" s="153" t="s">
        <v>373</v>
      </c>
      <c r="G4" s="153" t="s">
        <v>373</v>
      </c>
      <c r="H4" s="153" t="s">
        <v>374</v>
      </c>
      <c r="I4" s="153" t="s">
        <v>375</v>
      </c>
      <c r="J4" s="153" t="s">
        <v>374</v>
      </c>
      <c r="K4" s="153" t="s">
        <v>376</v>
      </c>
      <c r="L4" s="153" t="s">
        <v>372</v>
      </c>
      <c r="M4" s="153" t="s">
        <v>314</v>
      </c>
      <c r="N4" s="153" t="s">
        <v>377</v>
      </c>
      <c r="O4" s="153" t="s">
        <v>372</v>
      </c>
      <c r="P4" s="153" t="s">
        <v>378</v>
      </c>
      <c r="Q4" s="153" t="s">
        <v>373</v>
      </c>
      <c r="R4" s="153"/>
      <c r="S4" s="153" t="s">
        <v>372</v>
      </c>
      <c r="T4" s="153"/>
    </row>
    <row r="5" spans="1:20" s="144" customFormat="1" x14ac:dyDescent="0.2">
      <c r="A5" s="142"/>
      <c r="B5" s="143" t="s">
        <v>114</v>
      </c>
      <c r="C5" s="154" t="s">
        <v>112</v>
      </c>
      <c r="D5" s="143" t="s">
        <v>379</v>
      </c>
      <c r="E5" s="143" t="s">
        <v>380</v>
      </c>
      <c r="F5" s="143" t="s">
        <v>381</v>
      </c>
      <c r="G5" s="143" t="s">
        <v>382</v>
      </c>
      <c r="H5" s="143" t="s">
        <v>383</v>
      </c>
      <c r="I5" s="142"/>
      <c r="J5" s="143" t="s">
        <v>384</v>
      </c>
      <c r="K5" s="143" t="s">
        <v>385</v>
      </c>
      <c r="L5" s="143" t="s">
        <v>386</v>
      </c>
      <c r="M5" s="142"/>
      <c r="N5" s="143" t="s">
        <v>387</v>
      </c>
      <c r="O5" s="143" t="s">
        <v>388</v>
      </c>
      <c r="P5" s="142"/>
      <c r="Q5" s="143" t="s">
        <v>389</v>
      </c>
      <c r="R5" s="142"/>
      <c r="S5" s="142"/>
      <c r="T5" s="142"/>
    </row>
    <row r="6" spans="1:20" x14ac:dyDescent="0.2">
      <c r="A6">
        <v>1</v>
      </c>
      <c r="B6" s="145">
        <v>0</v>
      </c>
      <c r="C6" s="75" t="s">
        <v>390</v>
      </c>
      <c r="D6" s="155">
        <v>437.51455743294599</v>
      </c>
      <c r="E6" s="155">
        <v>370.63855393367601</v>
      </c>
      <c r="F6" s="155">
        <v>22638446.388930202</v>
      </c>
      <c r="G6" s="155">
        <v>1024813.83952572</v>
      </c>
      <c r="H6" s="155">
        <v>4.1600238204403803</v>
      </c>
      <c r="I6">
        <v>1</v>
      </c>
      <c r="J6">
        <v>136</v>
      </c>
      <c r="K6">
        <v>4.2</v>
      </c>
      <c r="L6" s="156">
        <v>73.644745245852803</v>
      </c>
      <c r="M6">
        <f t="shared" ref="M6:M13" si="0">(1/(1/D6+1/E6)+L6)*(20--2)</f>
        <v>6034.5889598959593</v>
      </c>
      <c r="N6">
        <v>50</v>
      </c>
      <c r="O6">
        <f t="shared" ref="O6:O11" si="1">M6/(N6-20)</f>
        <v>201.15296532986531</v>
      </c>
      <c r="P6">
        <f t="shared" ref="P6:P13" si="2">14*M6/1000</f>
        <v>84.484245438543425</v>
      </c>
      <c r="Q6">
        <f t="shared" ref="Q6:Q13" si="3">P6*4200</f>
        <v>354833.83084188239</v>
      </c>
      <c r="R6">
        <v>0</v>
      </c>
      <c r="S6">
        <f t="shared" ref="S6:S13" si="4">(1/(1/D6+1/E6)+L6)*(50-25)/(25-R6)</f>
        <v>274.29949817708905</v>
      </c>
      <c r="T6">
        <f t="shared" ref="T6:T13" si="5">S6*(50-25)/(25-R6)*60</f>
        <v>16457.969890625343</v>
      </c>
    </row>
    <row r="7" spans="1:20" x14ac:dyDescent="0.2">
      <c r="A7">
        <v>2</v>
      </c>
      <c r="B7" s="145">
        <v>0</v>
      </c>
      <c r="C7" s="75" t="s">
        <v>391</v>
      </c>
      <c r="D7" s="155">
        <v>128.707768634182</v>
      </c>
      <c r="E7" s="155">
        <v>272.23206885014901</v>
      </c>
      <c r="F7" s="155">
        <v>24646439.591117699</v>
      </c>
      <c r="G7" s="155">
        <v>917297.17067234195</v>
      </c>
      <c r="H7" s="155">
        <v>4.4941882532923998</v>
      </c>
      <c r="I7">
        <v>0.4</v>
      </c>
      <c r="J7">
        <v>136</v>
      </c>
      <c r="K7">
        <v>4.2</v>
      </c>
      <c r="L7" s="156">
        <v>74.429876618426505</v>
      </c>
      <c r="M7">
        <f t="shared" si="0"/>
        <v>3560.0509888121842</v>
      </c>
      <c r="N7">
        <v>50</v>
      </c>
      <c r="O7">
        <f t="shared" si="1"/>
        <v>118.66836629373947</v>
      </c>
      <c r="P7">
        <f t="shared" si="2"/>
        <v>49.84071384337058</v>
      </c>
      <c r="Q7">
        <f t="shared" si="3"/>
        <v>209330.99814215643</v>
      </c>
      <c r="R7">
        <v>0</v>
      </c>
      <c r="S7">
        <f t="shared" si="4"/>
        <v>161.82049949146293</v>
      </c>
      <c r="T7">
        <f t="shared" si="5"/>
        <v>9709.2299694877747</v>
      </c>
    </row>
    <row r="8" spans="1:20" x14ac:dyDescent="0.2">
      <c r="A8">
        <v>3</v>
      </c>
      <c r="B8" s="145">
        <v>0</v>
      </c>
      <c r="C8" s="75" t="s">
        <v>392</v>
      </c>
      <c r="D8" s="155">
        <v>247.59854556397801</v>
      </c>
      <c r="E8" s="155">
        <v>298.90905921431897</v>
      </c>
      <c r="F8" s="155">
        <v>12876155.384328101</v>
      </c>
      <c r="G8" s="155">
        <v>409007.99021152401</v>
      </c>
      <c r="H8" s="155">
        <v>4.2699560210538898</v>
      </c>
      <c r="I8">
        <v>1</v>
      </c>
      <c r="J8">
        <v>87</v>
      </c>
      <c r="K8">
        <v>4.2</v>
      </c>
      <c r="L8" s="156">
        <v>46.683972330063497</v>
      </c>
      <c r="M8">
        <f t="shared" si="0"/>
        <v>4006.3432853093686</v>
      </c>
      <c r="N8">
        <v>50</v>
      </c>
      <c r="O8">
        <f t="shared" si="1"/>
        <v>133.54477617697896</v>
      </c>
      <c r="P8">
        <f t="shared" si="2"/>
        <v>56.08880599433116</v>
      </c>
      <c r="Q8">
        <f t="shared" si="3"/>
        <v>235572.98517619088</v>
      </c>
      <c r="R8">
        <v>0</v>
      </c>
      <c r="S8">
        <f t="shared" si="4"/>
        <v>182.10651296860769</v>
      </c>
      <c r="T8">
        <f t="shared" si="5"/>
        <v>10926.390778116462</v>
      </c>
    </row>
    <row r="9" spans="1:20" x14ac:dyDescent="0.2">
      <c r="A9">
        <v>4</v>
      </c>
      <c r="B9" s="145">
        <v>1</v>
      </c>
      <c r="C9" s="75" t="s">
        <v>393</v>
      </c>
      <c r="D9" s="155">
        <v>216.36576082538099</v>
      </c>
      <c r="E9" s="155">
        <v>301.57153053059301</v>
      </c>
      <c r="F9" s="155">
        <v>15647706.9148071</v>
      </c>
      <c r="G9" s="155">
        <v>530743.76211226301</v>
      </c>
      <c r="H9" s="155">
        <v>5.4558682137324004</v>
      </c>
      <c r="I9">
        <v>0.4</v>
      </c>
      <c r="J9">
        <v>87</v>
      </c>
      <c r="K9">
        <v>4.2</v>
      </c>
      <c r="L9" s="156">
        <v>10.4694892031851</v>
      </c>
      <c r="M9">
        <f t="shared" si="0"/>
        <v>3001.8893436080243</v>
      </c>
      <c r="N9">
        <v>50</v>
      </c>
      <c r="O9">
        <f t="shared" si="1"/>
        <v>100.06297812026747</v>
      </c>
      <c r="P9">
        <f t="shared" si="2"/>
        <v>42.026450810512337</v>
      </c>
      <c r="Q9">
        <f t="shared" si="3"/>
        <v>176511.09340415182</v>
      </c>
      <c r="R9">
        <v>0</v>
      </c>
      <c r="S9">
        <f t="shared" si="4"/>
        <v>136.44951561854657</v>
      </c>
      <c r="T9">
        <f t="shared" si="5"/>
        <v>8186.9709371127938</v>
      </c>
    </row>
    <row r="10" spans="1:20" x14ac:dyDescent="0.2">
      <c r="A10">
        <v>5</v>
      </c>
      <c r="B10" s="145">
        <v>0</v>
      </c>
      <c r="C10" s="75" t="s">
        <v>394</v>
      </c>
      <c r="D10" s="155">
        <v>197.27197220833401</v>
      </c>
      <c r="E10" s="155">
        <v>239.871302585021</v>
      </c>
      <c r="F10" s="155">
        <v>11863842.6060689</v>
      </c>
      <c r="G10" s="155">
        <v>467169.879709039</v>
      </c>
      <c r="H10" s="155">
        <v>2.6750486780290599</v>
      </c>
      <c r="I10">
        <v>1</v>
      </c>
      <c r="J10">
        <v>58</v>
      </c>
      <c r="K10">
        <v>4.2</v>
      </c>
      <c r="L10" s="156">
        <v>10.396222386109001</v>
      </c>
      <c r="M10">
        <f t="shared" si="0"/>
        <v>2610.1728787701954</v>
      </c>
      <c r="N10">
        <v>50</v>
      </c>
      <c r="O10">
        <f t="shared" si="1"/>
        <v>87.005762625673185</v>
      </c>
      <c r="P10">
        <f t="shared" si="2"/>
        <v>36.542420302782737</v>
      </c>
      <c r="Q10">
        <f t="shared" si="3"/>
        <v>153478.1652716875</v>
      </c>
      <c r="R10">
        <v>0</v>
      </c>
      <c r="S10">
        <f t="shared" si="4"/>
        <v>118.64422176228159</v>
      </c>
      <c r="T10">
        <f t="shared" si="5"/>
        <v>7118.6533057368952</v>
      </c>
    </row>
    <row r="11" spans="1:20" x14ac:dyDescent="0.2">
      <c r="A11">
        <v>6</v>
      </c>
      <c r="B11" s="145">
        <v>0</v>
      </c>
      <c r="C11" s="75" t="s">
        <v>395</v>
      </c>
      <c r="D11" s="155">
        <v>144.72928238527101</v>
      </c>
      <c r="E11" s="155">
        <v>205.21817655460001</v>
      </c>
      <c r="F11" s="155">
        <v>13021834.259108599</v>
      </c>
      <c r="G11" s="155">
        <v>492503.84670127701</v>
      </c>
      <c r="H11" s="155">
        <v>2.90551780890776</v>
      </c>
      <c r="I11">
        <v>0.4</v>
      </c>
      <c r="J11">
        <v>58</v>
      </c>
      <c r="K11">
        <v>4.2</v>
      </c>
      <c r="L11" s="156">
        <v>10.390531609290299</v>
      </c>
      <c r="M11">
        <f t="shared" si="0"/>
        <v>2095.7969876874704</v>
      </c>
      <c r="N11">
        <v>50</v>
      </c>
      <c r="O11">
        <f t="shared" si="1"/>
        <v>69.859899589582341</v>
      </c>
      <c r="P11">
        <f t="shared" si="2"/>
        <v>29.341157827624585</v>
      </c>
      <c r="Q11">
        <f t="shared" si="3"/>
        <v>123232.86287602325</v>
      </c>
      <c r="R11">
        <v>0</v>
      </c>
      <c r="S11">
        <f t="shared" si="4"/>
        <v>95.263499440339558</v>
      </c>
      <c r="T11">
        <f t="shared" si="5"/>
        <v>5715.8099664203737</v>
      </c>
    </row>
    <row r="12" spans="1:20" x14ac:dyDescent="0.2">
      <c r="A12">
        <v>7</v>
      </c>
      <c r="B12" s="145">
        <v>0</v>
      </c>
      <c r="C12" s="75" t="s">
        <v>396</v>
      </c>
      <c r="D12" s="155">
        <v>504.24603248061902</v>
      </c>
      <c r="E12" s="155">
        <v>504.24603248061902</v>
      </c>
      <c r="F12" s="155">
        <v>31683711</v>
      </c>
      <c r="G12" s="155">
        <f>F12/25</f>
        <v>1267348.44</v>
      </c>
      <c r="H12" s="155">
        <v>1.5</v>
      </c>
      <c r="I12">
        <v>1</v>
      </c>
      <c r="J12">
        <v>71</v>
      </c>
      <c r="K12">
        <v>2.4</v>
      </c>
      <c r="L12" s="156">
        <v>10.3848408324716</v>
      </c>
      <c r="M12">
        <f t="shared" si="0"/>
        <v>5775.1728556011849</v>
      </c>
      <c r="N12">
        <v>50</v>
      </c>
      <c r="O12">
        <f>M12/(20-R12)</f>
        <v>288.75864278005923</v>
      </c>
      <c r="P12">
        <f t="shared" si="2"/>
        <v>80.852419978416577</v>
      </c>
      <c r="Q12">
        <f t="shared" si="3"/>
        <v>339580.16390934965</v>
      </c>
      <c r="R12">
        <v>0</v>
      </c>
      <c r="S12">
        <f t="shared" si="4"/>
        <v>262.50785707278112</v>
      </c>
      <c r="T12">
        <f t="shared" si="5"/>
        <v>15750.471424366868</v>
      </c>
    </row>
    <row r="13" spans="1:20" x14ac:dyDescent="0.2">
      <c r="A13">
        <v>8</v>
      </c>
      <c r="B13" s="145">
        <v>0</v>
      </c>
      <c r="C13" s="75" t="s">
        <v>397</v>
      </c>
      <c r="D13" s="155">
        <v>351.48993268796198</v>
      </c>
      <c r="E13" s="155">
        <v>351.48993268796198</v>
      </c>
      <c r="F13" s="155">
        <v>15462038.971927101</v>
      </c>
      <c r="G13" s="155">
        <f>F13/25</f>
        <v>618481.55887708405</v>
      </c>
      <c r="H13" s="155">
        <v>1.5</v>
      </c>
      <c r="I13">
        <v>1</v>
      </c>
      <c r="J13">
        <v>30</v>
      </c>
      <c r="K13">
        <v>2.2000000000000002</v>
      </c>
      <c r="L13" s="156">
        <v>10.3791500556529</v>
      </c>
      <c r="M13">
        <f t="shared" si="0"/>
        <v>4094.7305607919457</v>
      </c>
      <c r="N13">
        <v>50</v>
      </c>
      <c r="O13">
        <f>M13/(20-R13)</f>
        <v>204.73652803959729</v>
      </c>
      <c r="P13">
        <f t="shared" si="2"/>
        <v>57.326227851087239</v>
      </c>
      <c r="Q13">
        <f t="shared" si="3"/>
        <v>240770.1569745664</v>
      </c>
      <c r="R13">
        <v>0</v>
      </c>
      <c r="S13">
        <f t="shared" si="4"/>
        <v>186.12411639963389</v>
      </c>
      <c r="T13">
        <f t="shared" si="5"/>
        <v>11167.446983978034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4"/>
  <sheetViews>
    <sheetView zoomScale="120" zoomScaleNormal="120" workbookViewId="0">
      <selection activeCell="A17" sqref="A17"/>
    </sheetView>
  </sheetViews>
  <sheetFormatPr defaultColWidth="11.5703125" defaultRowHeight="12.75" x14ac:dyDescent="0.2"/>
  <cols>
    <col min="2" max="2" width="19" customWidth="1"/>
    <col min="3" max="3" width="2.7109375" customWidth="1"/>
    <col min="4" max="4" width="17.5703125" customWidth="1"/>
    <col min="6" max="6" width="15" customWidth="1"/>
  </cols>
  <sheetData>
    <row r="2" spans="1:12" x14ac:dyDescent="0.2">
      <c r="B2" s="157" t="s">
        <v>398</v>
      </c>
      <c r="C2" s="158"/>
      <c r="D2" s="158"/>
      <c r="E2" s="159"/>
      <c r="F2" s="159"/>
      <c r="G2" s="159"/>
      <c r="H2" s="159"/>
      <c r="I2" s="159"/>
      <c r="J2" s="159"/>
      <c r="K2" s="159"/>
      <c r="L2" s="159"/>
    </row>
    <row r="3" spans="1:12" x14ac:dyDescent="0.2">
      <c r="B3" s="159"/>
      <c r="C3" s="158"/>
      <c r="D3" s="159"/>
      <c r="E3" s="159"/>
      <c r="F3" s="159"/>
      <c r="G3" s="159"/>
      <c r="H3" s="159"/>
      <c r="I3" s="159"/>
      <c r="J3" s="159"/>
      <c r="K3" s="159"/>
      <c r="L3" s="159"/>
    </row>
    <row r="4" spans="1:12" x14ac:dyDescent="0.2">
      <c r="B4" s="159"/>
      <c r="C4" s="158"/>
      <c r="D4" s="159"/>
      <c r="E4" s="159"/>
      <c r="F4" s="159"/>
      <c r="G4" s="159"/>
      <c r="H4" s="159"/>
      <c r="I4" s="159"/>
      <c r="J4" s="159"/>
      <c r="K4" s="159"/>
      <c r="L4" s="159"/>
    </row>
    <row r="5" spans="1:12" x14ac:dyDescent="0.2">
      <c r="B5" s="135" t="s">
        <v>399</v>
      </c>
      <c r="C5" s="158"/>
      <c r="D5" s="160" t="s">
        <v>400</v>
      </c>
      <c r="E5" s="161">
        <v>15</v>
      </c>
      <c r="F5" s="162" t="s">
        <v>401</v>
      </c>
      <c r="G5" s="161">
        <v>1</v>
      </c>
      <c r="H5" s="135" t="s">
        <v>402</v>
      </c>
      <c r="I5" s="159"/>
      <c r="J5" s="159"/>
      <c r="K5" s="159"/>
      <c r="L5" s="159"/>
    </row>
    <row r="6" spans="1:12" x14ac:dyDescent="0.2">
      <c r="B6" s="135"/>
      <c r="C6" s="158"/>
      <c r="D6" s="160"/>
      <c r="E6" s="161"/>
      <c r="F6" s="162"/>
      <c r="G6" s="161"/>
      <c r="H6" s="135"/>
      <c r="I6" s="159"/>
      <c r="J6" s="159"/>
      <c r="K6" s="159"/>
      <c r="L6" s="159"/>
    </row>
    <row r="7" spans="1:12" x14ac:dyDescent="0.2">
      <c r="B7" s="135" t="s">
        <v>403</v>
      </c>
      <c r="C7" s="158"/>
      <c r="D7" s="160" t="s">
        <v>404</v>
      </c>
      <c r="E7" s="161">
        <v>52.8</v>
      </c>
      <c r="F7" s="162" t="s">
        <v>405</v>
      </c>
      <c r="G7" s="161">
        <v>-1.2</v>
      </c>
      <c r="H7" s="159"/>
      <c r="I7" s="159"/>
      <c r="J7" s="159"/>
      <c r="K7" s="159"/>
      <c r="L7" s="159"/>
    </row>
    <row r="8" spans="1:12" x14ac:dyDescent="0.2">
      <c r="B8" s="135" t="s">
        <v>406</v>
      </c>
      <c r="C8" s="159"/>
      <c r="D8" s="159"/>
      <c r="E8" s="161">
        <v>10</v>
      </c>
      <c r="F8" s="159"/>
      <c r="G8" s="159"/>
      <c r="H8" s="159"/>
      <c r="I8" s="159"/>
      <c r="J8" s="159"/>
      <c r="K8" s="159"/>
      <c r="L8" s="159"/>
    </row>
    <row r="9" spans="1:12" x14ac:dyDescent="0.2">
      <c r="B9" s="135" t="s">
        <v>407</v>
      </c>
      <c r="C9" s="159"/>
      <c r="D9" s="159"/>
      <c r="E9" s="159"/>
      <c r="F9" s="163" t="s">
        <v>408</v>
      </c>
      <c r="G9" s="159"/>
      <c r="H9" s="159"/>
      <c r="I9" s="159"/>
      <c r="J9" s="159"/>
      <c r="K9" s="159"/>
      <c r="L9" s="159"/>
    </row>
    <row r="10" spans="1:12" x14ac:dyDescent="0.2">
      <c r="B10" s="135" t="s">
        <v>409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</row>
    <row r="11" spans="1:12" x14ac:dyDescent="0.2">
      <c r="B11" s="135" t="s">
        <v>410</v>
      </c>
      <c r="C11" s="159"/>
      <c r="D11" s="159"/>
      <c r="E11" s="159"/>
      <c r="F11" s="159"/>
      <c r="G11" s="159"/>
      <c r="H11" s="159"/>
      <c r="I11" s="159"/>
      <c r="J11" s="159"/>
      <c r="K11" s="159"/>
      <c r="L11" s="159"/>
    </row>
    <row r="12" spans="1:12" x14ac:dyDescent="0.2">
      <c r="B12" s="135" t="s">
        <v>411</v>
      </c>
      <c r="C12" s="159"/>
      <c r="D12" s="159"/>
      <c r="E12" s="159"/>
      <c r="F12" s="159"/>
      <c r="G12" s="159"/>
      <c r="H12" s="159"/>
      <c r="I12" s="159"/>
      <c r="J12" s="159"/>
      <c r="K12" s="159"/>
      <c r="L12" s="159"/>
    </row>
    <row r="15" spans="1:12" x14ac:dyDescent="0.2">
      <c r="A15">
        <v>1</v>
      </c>
      <c r="B15" s="164" t="s">
        <v>412</v>
      </c>
      <c r="D15">
        <v>10</v>
      </c>
    </row>
    <row r="16" spans="1:12" x14ac:dyDescent="0.2">
      <c r="A16">
        <v>2</v>
      </c>
      <c r="B16" t="s">
        <v>413</v>
      </c>
      <c r="D16" t="s">
        <v>414</v>
      </c>
      <c r="E16" t="s">
        <v>415</v>
      </c>
      <c r="F16" t="s">
        <v>416</v>
      </c>
    </row>
    <row r="17" spans="1:6" x14ac:dyDescent="0.2">
      <c r="A17">
        <v>3</v>
      </c>
      <c r="D17">
        <v>12</v>
      </c>
      <c r="E17">
        <v>4</v>
      </c>
      <c r="F17">
        <v>2005</v>
      </c>
    </row>
    <row r="18" spans="1:6" x14ac:dyDescent="0.2">
      <c r="A18">
        <v>4</v>
      </c>
    </row>
    <row r="19" spans="1:6" x14ac:dyDescent="0.2">
      <c r="A19">
        <v>5</v>
      </c>
    </row>
    <row r="20" spans="1:6" x14ac:dyDescent="0.2">
      <c r="A20">
        <v>6</v>
      </c>
    </row>
    <row r="21" spans="1:6" x14ac:dyDescent="0.2">
      <c r="A21">
        <v>7</v>
      </c>
    </row>
    <row r="22" spans="1:6" x14ac:dyDescent="0.2">
      <c r="A22">
        <v>8</v>
      </c>
    </row>
    <row r="23" spans="1:6" x14ac:dyDescent="0.2">
      <c r="A23">
        <v>9</v>
      </c>
    </row>
    <row r="24" spans="1:6" x14ac:dyDescent="0.2">
      <c r="A24">
        <v>10</v>
      </c>
    </row>
    <row r="25" spans="1:6" x14ac:dyDescent="0.2">
      <c r="A25">
        <v>11</v>
      </c>
    </row>
    <row r="26" spans="1:6" x14ac:dyDescent="0.2">
      <c r="A26">
        <v>12</v>
      </c>
    </row>
    <row r="27" spans="1:6" x14ac:dyDescent="0.2">
      <c r="A27">
        <v>13</v>
      </c>
    </row>
    <row r="28" spans="1:6" x14ac:dyDescent="0.2">
      <c r="A28">
        <v>14</v>
      </c>
    </row>
    <row r="29" spans="1:6" x14ac:dyDescent="0.2">
      <c r="A29">
        <v>15</v>
      </c>
    </row>
    <row r="30" spans="1:6" x14ac:dyDescent="0.2">
      <c r="A30">
        <v>16</v>
      </c>
    </row>
    <row r="31" spans="1:6" x14ac:dyDescent="0.2">
      <c r="A31">
        <v>17</v>
      </c>
    </row>
    <row r="32" spans="1:6" x14ac:dyDescent="0.2">
      <c r="A32">
        <v>18</v>
      </c>
    </row>
    <row r="33" spans="1:1" x14ac:dyDescent="0.2">
      <c r="A33">
        <v>19</v>
      </c>
    </row>
    <row r="34" spans="1:1" x14ac:dyDescent="0.2">
      <c r="A34">
        <v>20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E6E905"/>
  </sheetPr>
  <dimension ref="A1:H10"/>
  <sheetViews>
    <sheetView zoomScale="120" zoomScaleNormal="120" workbookViewId="0">
      <selection activeCell="E2" sqref="E2"/>
    </sheetView>
  </sheetViews>
  <sheetFormatPr defaultColWidth="11.5703125" defaultRowHeight="12.75" x14ac:dyDescent="0.2"/>
  <cols>
    <col min="7" max="8" width="16.42578125" customWidth="1"/>
  </cols>
  <sheetData>
    <row r="1" spans="1:8" ht="15.75" x14ac:dyDescent="0.25">
      <c r="A1" s="133" t="s">
        <v>417</v>
      </c>
      <c r="B1" s="133"/>
      <c r="C1" s="133"/>
      <c r="F1" s="134" t="s">
        <v>287</v>
      </c>
    </row>
    <row r="2" spans="1:8" ht="38.25" x14ac:dyDescent="0.2">
      <c r="A2" s="136" t="s">
        <v>418</v>
      </c>
      <c r="B2" s="136" t="s">
        <v>419</v>
      </c>
      <c r="C2" s="136" t="s">
        <v>420</v>
      </c>
      <c r="D2" s="136" t="s">
        <v>421</v>
      </c>
      <c r="E2" s="136" t="s">
        <v>422</v>
      </c>
      <c r="F2" s="136" t="s">
        <v>423</v>
      </c>
      <c r="G2" s="136" t="s">
        <v>424</v>
      </c>
      <c r="H2" s="136" t="s">
        <v>425</v>
      </c>
    </row>
    <row r="3" spans="1:8" x14ac:dyDescent="0.2">
      <c r="A3" s="138"/>
      <c r="B3" s="138"/>
      <c r="C3" s="138"/>
      <c r="D3" s="138"/>
      <c r="E3" s="138"/>
      <c r="F3" s="138"/>
      <c r="G3" s="138"/>
      <c r="H3" s="139"/>
    </row>
    <row r="4" spans="1:8" x14ac:dyDescent="0.2">
      <c r="A4" s="140"/>
      <c r="B4" s="140"/>
      <c r="C4" s="140"/>
      <c r="D4" s="140" t="s">
        <v>426</v>
      </c>
      <c r="E4" s="140" t="s">
        <v>427</v>
      </c>
      <c r="F4" s="141" t="s">
        <v>428</v>
      </c>
      <c r="G4" s="141" t="s">
        <v>428</v>
      </c>
      <c r="H4" s="140"/>
    </row>
    <row r="5" spans="1:8" x14ac:dyDescent="0.2">
      <c r="A5">
        <v>1</v>
      </c>
      <c r="B5" t="s">
        <v>429</v>
      </c>
      <c r="C5" s="145">
        <v>0.25</v>
      </c>
      <c r="D5" s="75">
        <v>79.2</v>
      </c>
      <c r="E5" s="75">
        <v>19</v>
      </c>
      <c r="F5" s="75">
        <v>11</v>
      </c>
      <c r="G5" s="75">
        <v>225</v>
      </c>
      <c r="H5" t="s">
        <v>430</v>
      </c>
    </row>
    <row r="6" spans="1:8" x14ac:dyDescent="0.2">
      <c r="A6">
        <v>2</v>
      </c>
      <c r="B6" t="s">
        <v>431</v>
      </c>
      <c r="C6" s="145">
        <v>0.25</v>
      </c>
      <c r="D6" s="75">
        <v>45</v>
      </c>
      <c r="E6" s="75">
        <v>14</v>
      </c>
      <c r="F6" s="75">
        <v>7.2</v>
      </c>
      <c r="G6" s="75">
        <v>100</v>
      </c>
      <c r="H6" t="s">
        <v>432</v>
      </c>
    </row>
    <row r="7" spans="1:8" x14ac:dyDescent="0.2">
      <c r="A7">
        <v>3</v>
      </c>
      <c r="B7" t="s">
        <v>433</v>
      </c>
      <c r="C7" s="145">
        <v>0.25</v>
      </c>
      <c r="D7" s="75">
        <v>95</v>
      </c>
      <c r="E7" s="75">
        <v>24</v>
      </c>
      <c r="F7" s="75">
        <v>11</v>
      </c>
      <c r="G7" s="75">
        <v>150</v>
      </c>
      <c r="H7" t="s">
        <v>434</v>
      </c>
    </row>
    <row r="8" spans="1:8" x14ac:dyDescent="0.2">
      <c r="A8">
        <v>4</v>
      </c>
      <c r="B8" t="s">
        <v>435</v>
      </c>
      <c r="C8" s="145">
        <v>0.25</v>
      </c>
      <c r="D8" s="75">
        <v>18.7</v>
      </c>
      <c r="E8">
        <v>12</v>
      </c>
      <c r="F8" s="75">
        <v>3.6</v>
      </c>
      <c r="G8" s="75">
        <v>40</v>
      </c>
      <c r="H8" s="149" t="s">
        <v>436</v>
      </c>
    </row>
    <row r="9" spans="1:8" x14ac:dyDescent="0.2">
      <c r="D9" s="75"/>
      <c r="F9" s="75"/>
      <c r="G9" s="75"/>
      <c r="H9" s="149"/>
    </row>
    <row r="10" spans="1:8" x14ac:dyDescent="0.2">
      <c r="D10" s="75"/>
      <c r="F10" s="75"/>
      <c r="G10" s="75"/>
      <c r="H10" s="149"/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E6E905"/>
  </sheetPr>
  <dimension ref="A1:F8"/>
  <sheetViews>
    <sheetView zoomScale="120" zoomScaleNormal="120" workbookViewId="0">
      <selection activeCell="C2" sqref="C2"/>
    </sheetView>
  </sheetViews>
  <sheetFormatPr defaultColWidth="11.5703125" defaultRowHeight="12.75" x14ac:dyDescent="0.2"/>
  <cols>
    <col min="2" max="2" width="24.7109375" customWidth="1"/>
  </cols>
  <sheetData>
    <row r="1" spans="1:6" ht="15.75" x14ac:dyDescent="0.25">
      <c r="A1" s="133" t="s">
        <v>437</v>
      </c>
      <c r="B1" s="133"/>
      <c r="C1" s="133"/>
      <c r="D1" s="134" t="s">
        <v>287</v>
      </c>
    </row>
    <row r="2" spans="1:6" ht="63.75" x14ac:dyDescent="0.2">
      <c r="A2" s="136" t="s">
        <v>418</v>
      </c>
      <c r="B2" s="136" t="s">
        <v>438</v>
      </c>
      <c r="C2" s="136" t="s">
        <v>439</v>
      </c>
      <c r="D2" s="136" t="s">
        <v>440</v>
      </c>
      <c r="E2" s="136"/>
      <c r="F2" t="s">
        <v>441</v>
      </c>
    </row>
    <row r="3" spans="1:6" x14ac:dyDescent="0.2">
      <c r="A3" s="138"/>
      <c r="B3" s="138"/>
      <c r="C3" s="138"/>
      <c r="D3" s="138"/>
      <c r="E3" s="139"/>
    </row>
    <row r="4" spans="1:6" x14ac:dyDescent="0.2">
      <c r="A4" s="140"/>
      <c r="B4" s="140"/>
      <c r="C4" s="140"/>
      <c r="D4" s="141" t="s">
        <v>428</v>
      </c>
      <c r="E4" s="140"/>
    </row>
    <row r="5" spans="1:6" x14ac:dyDescent="0.2">
      <c r="A5">
        <v>1</v>
      </c>
      <c r="B5" t="s">
        <v>442</v>
      </c>
      <c r="C5" s="145">
        <v>0.2</v>
      </c>
      <c r="D5" s="75">
        <v>2.2999999999999998</v>
      </c>
    </row>
    <row r="6" spans="1:6" x14ac:dyDescent="0.2">
      <c r="A6">
        <v>2</v>
      </c>
      <c r="B6" t="s">
        <v>443</v>
      </c>
      <c r="C6" s="145">
        <v>0.6</v>
      </c>
      <c r="D6" s="75">
        <v>7.4</v>
      </c>
    </row>
    <row r="7" spans="1:6" x14ac:dyDescent="0.2">
      <c r="A7">
        <v>3</v>
      </c>
      <c r="B7" t="s">
        <v>444</v>
      </c>
      <c r="C7" s="145">
        <v>0.2</v>
      </c>
      <c r="D7" s="75">
        <v>22</v>
      </c>
    </row>
    <row r="8" spans="1:6" x14ac:dyDescent="0.2">
      <c r="C8" s="147"/>
      <c r="D8" s="75"/>
      <c r="E8" s="149"/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8"/>
  <sheetViews>
    <sheetView zoomScale="120" zoomScaleNormal="120" workbookViewId="0">
      <selection activeCell="C19" sqref="C19"/>
    </sheetView>
  </sheetViews>
  <sheetFormatPr defaultColWidth="11.5703125" defaultRowHeight="12.75" x14ac:dyDescent="0.2"/>
  <sheetData>
    <row r="1" spans="1:4" x14ac:dyDescent="0.2">
      <c r="C1" t="s">
        <v>445</v>
      </c>
      <c r="D1" t="s">
        <v>71</v>
      </c>
    </row>
    <row r="2" spans="1:4" x14ac:dyDescent="0.2">
      <c r="A2" t="s">
        <v>446</v>
      </c>
      <c r="B2" t="s">
        <v>447</v>
      </c>
      <c r="C2" t="s">
        <v>448</v>
      </c>
      <c r="D2" t="s">
        <v>448</v>
      </c>
    </row>
    <row r="3" spans="1:4" x14ac:dyDescent="0.2">
      <c r="B3" t="s">
        <v>449</v>
      </c>
      <c r="C3" t="s">
        <v>448</v>
      </c>
      <c r="D3" t="s">
        <v>448</v>
      </c>
    </row>
    <row r="4" spans="1:4" x14ac:dyDescent="0.2">
      <c r="B4" t="s">
        <v>450</v>
      </c>
      <c r="C4" t="s">
        <v>451</v>
      </c>
      <c r="D4" t="s">
        <v>448</v>
      </c>
    </row>
    <row r="5" spans="1:4" x14ac:dyDescent="0.2">
      <c r="B5" t="s">
        <v>452</v>
      </c>
      <c r="C5" t="s">
        <v>451</v>
      </c>
      <c r="D5" t="s">
        <v>448</v>
      </c>
    </row>
    <row r="6" spans="1:4" x14ac:dyDescent="0.2">
      <c r="A6" t="s">
        <v>21</v>
      </c>
      <c r="B6" t="s">
        <v>453</v>
      </c>
      <c r="C6" t="s">
        <v>448</v>
      </c>
      <c r="D6" t="s">
        <v>448</v>
      </c>
    </row>
    <row r="7" spans="1:4" x14ac:dyDescent="0.2">
      <c r="B7" t="s">
        <v>454</v>
      </c>
      <c r="C7" t="s">
        <v>455</v>
      </c>
      <c r="D7" t="s">
        <v>456</v>
      </c>
    </row>
    <row r="8" spans="1:4" x14ac:dyDescent="0.2">
      <c r="B8" t="s">
        <v>457</v>
      </c>
      <c r="C8" t="s">
        <v>448</v>
      </c>
      <c r="D8" t="s">
        <v>458</v>
      </c>
    </row>
    <row r="9" spans="1:4" x14ac:dyDescent="0.2">
      <c r="B9" t="s">
        <v>459</v>
      </c>
      <c r="C9" t="s">
        <v>448</v>
      </c>
      <c r="D9" t="s">
        <v>460</v>
      </c>
    </row>
    <row r="10" spans="1:4" x14ac:dyDescent="0.2">
      <c r="A10" t="s">
        <v>461</v>
      </c>
      <c r="B10" t="s">
        <v>462</v>
      </c>
      <c r="C10" t="s">
        <v>448</v>
      </c>
      <c r="D10" t="s">
        <v>451</v>
      </c>
    </row>
    <row r="11" spans="1:4" x14ac:dyDescent="0.2">
      <c r="B11" t="s">
        <v>459</v>
      </c>
      <c r="C11" t="s">
        <v>448</v>
      </c>
      <c r="D11" t="s">
        <v>451</v>
      </c>
    </row>
    <row r="12" spans="1:4" x14ac:dyDescent="0.2">
      <c r="A12" t="s">
        <v>463</v>
      </c>
      <c r="B12" t="s">
        <v>464</v>
      </c>
      <c r="C12" t="s">
        <v>448</v>
      </c>
      <c r="D12" t="s">
        <v>458</v>
      </c>
    </row>
    <row r="13" spans="1:4" x14ac:dyDescent="0.2">
      <c r="B13" t="s">
        <v>465</v>
      </c>
      <c r="C13" t="s">
        <v>451</v>
      </c>
      <c r="D13" t="s">
        <v>448</v>
      </c>
    </row>
    <row r="14" spans="1:4" x14ac:dyDescent="0.2">
      <c r="B14" t="s">
        <v>466</v>
      </c>
      <c r="C14" t="s">
        <v>451</v>
      </c>
      <c r="D14" t="s">
        <v>467</v>
      </c>
    </row>
    <row r="15" spans="1:4" x14ac:dyDescent="0.2">
      <c r="B15" t="s">
        <v>468</v>
      </c>
      <c r="C15" t="s">
        <v>448</v>
      </c>
      <c r="D15" t="s">
        <v>458</v>
      </c>
    </row>
    <row r="16" spans="1:4" x14ac:dyDescent="0.2">
      <c r="A16" t="s">
        <v>469</v>
      </c>
      <c r="B16" t="s">
        <v>470</v>
      </c>
      <c r="C16" t="s">
        <v>451</v>
      </c>
      <c r="D16" t="s">
        <v>448</v>
      </c>
    </row>
    <row r="17" spans="2:4" x14ac:dyDescent="0.2">
      <c r="B17" t="s">
        <v>471</v>
      </c>
      <c r="C17" t="s">
        <v>451</v>
      </c>
      <c r="D17" t="s">
        <v>451</v>
      </c>
    </row>
    <row r="18" spans="2:4" x14ac:dyDescent="0.2">
      <c r="B18" t="s">
        <v>459</v>
      </c>
      <c r="C18" t="s">
        <v>451</v>
      </c>
      <c r="D18" t="s">
        <v>451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Appliances</vt:lpstr>
      <vt:lpstr>ActivityStats</vt:lpstr>
      <vt:lpstr>Lighting</vt:lpstr>
      <vt:lpstr>Heating Systems</vt:lpstr>
      <vt:lpstr>Buildings</vt:lpstr>
      <vt:lpstr>Main</vt:lpstr>
      <vt:lpstr>Electric Cars</vt:lpstr>
      <vt:lpstr>Charging Station</vt:lpstr>
      <vt:lpstr>Current track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Barsanti Matteo</cp:lastModifiedBy>
  <cp:revision>51</cp:revision>
  <dcterms:created xsi:type="dcterms:W3CDTF">2017-10-20T23:41:04Z</dcterms:created>
  <dcterms:modified xsi:type="dcterms:W3CDTF">2022-08-19T14:31:36Z</dcterms:modified>
  <dc:language>en-US</dc:language>
</cp:coreProperties>
</file>